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025" tabRatio="672" firstSheet="17" activeTab="34"/>
  </bookViews>
  <sheets>
    <sheet name="titl" sheetId="1" r:id="rId1"/>
    <sheet name="skut.MU 06" sheetId="2" r:id="rId2"/>
    <sheet name="skut fak." sheetId="3" r:id="rId3"/>
    <sheet name="skut ost." sheetId="4" r:id="rId4"/>
    <sheet name="plán MU 06" sheetId="5" r:id="rId5"/>
    <sheet name="plán fak." sheetId="6" r:id="rId6"/>
    <sheet name="plán ost. " sheetId="7" r:id="rId7"/>
    <sheet name="odhad MU " sheetId="8" r:id="rId8"/>
    <sheet name="odhad fak" sheetId="9" r:id="rId9"/>
    <sheet name="odhad ost" sheetId="10" r:id="rId10"/>
    <sheet name="LF" sheetId="11" r:id="rId11"/>
    <sheet name="FF" sheetId="12" r:id="rId12"/>
    <sheet name="PrF" sheetId="13" r:id="rId13"/>
    <sheet name="FSS" sheetId="14" r:id="rId14"/>
    <sheet name="PřF" sheetId="15" r:id="rId15"/>
    <sheet name="FI" sheetId="16" r:id="rId16"/>
    <sheet name="PdF" sheetId="17" r:id="rId17"/>
    <sheet name="FSpS" sheetId="18" r:id="rId18"/>
    <sheet name="ESF" sheetId="19" r:id="rId19"/>
    <sheet name="fak" sheetId="20" r:id="rId20"/>
    <sheet name="SKM" sheetId="21" r:id="rId21"/>
    <sheet name="SUKB" sheetId="22" r:id="rId22"/>
    <sheet name="UCT" sheetId="23" r:id="rId23"/>
    <sheet name="SPSSN" sheetId="24" r:id="rId24"/>
    <sheet name="IBA" sheetId="25" r:id="rId25"/>
    <sheet name="ÚVT" sheetId="26" r:id="rId26"/>
    <sheet name="VMU" sheetId="27" r:id="rId27"/>
    <sheet name="CJV" sheetId="28" r:id="rId28"/>
    <sheet name="CZS" sheetId="29" r:id="rId29"/>
    <sheet name="RMU" sheetId="30" r:id="rId30"/>
    <sheet name="ost." sheetId="31" r:id="rId31"/>
    <sheet name="MU 06 plan" sheetId="32" r:id="rId32"/>
    <sheet name="fak06-01" sheetId="33" r:id="rId33"/>
    <sheet name="ost06-01" sheetId="34" r:id="rId34"/>
    <sheet name="MU 06-01" sheetId="35" r:id="rId35"/>
    <sheet name="zkratky" sheetId="36" r:id="rId36"/>
  </sheets>
  <externalReferences>
    <externalReference r:id="rId39"/>
  </externalReferences>
  <definedNames>
    <definedName name="_xlnm.Print_Titles" localSheetId="32">'fak06-01'!$A:$E</definedName>
    <definedName name="_xlnm.Print_Titles" localSheetId="34">'MU 06-01'!$A:$E</definedName>
    <definedName name="_xlnm.Print_Titles" localSheetId="33">'ost06-01'!$A:$E</definedName>
    <definedName name="_xlnm.Print_Titles" localSheetId="29">'RMU'!$A:$H</definedName>
  </definedNames>
  <calcPr fullCalcOnLoad="1"/>
</workbook>
</file>

<file path=xl/sharedStrings.xml><?xml version="1.0" encoding="utf-8"?>
<sst xmlns="http://schemas.openxmlformats.org/spreadsheetml/2006/main" count="2481" uniqueCount="235">
  <si>
    <t>energie</t>
  </si>
  <si>
    <t>opravy, údržba</t>
  </si>
  <si>
    <t>materiál</t>
  </si>
  <si>
    <t>služby</t>
  </si>
  <si>
    <t>cestovné</t>
  </si>
  <si>
    <t>odpisy</t>
  </si>
  <si>
    <t>stipendia</t>
  </si>
  <si>
    <t>Plán</t>
  </si>
  <si>
    <t>Skutečnost</t>
  </si>
  <si>
    <t>ostatní</t>
  </si>
  <si>
    <t xml:space="preserve">   z toho:</t>
  </si>
  <si>
    <t>Upravený</t>
  </si>
  <si>
    <t>plán</t>
  </si>
  <si>
    <t xml:space="preserve">v tom - </t>
  </si>
  <si>
    <t>C-doktorská stipendia</t>
  </si>
  <si>
    <t>D-zahr.st.,CEEPUS,AKTION,Socrates</t>
  </si>
  <si>
    <t>G-FRVŠ</t>
  </si>
  <si>
    <t>mzdy</t>
  </si>
  <si>
    <t>OON</t>
  </si>
  <si>
    <t xml:space="preserve">odvody </t>
  </si>
  <si>
    <t>F-vzdělávací projekty, I-rozvojové programy, J,M,H,E</t>
  </si>
  <si>
    <t>č.ř.</t>
  </si>
  <si>
    <t>Dotace na SKM</t>
  </si>
  <si>
    <t>A-dotace na vzdělávací činnost</t>
  </si>
  <si>
    <t>Ostatní dotace ze SR a od úz.celků bez VaV</t>
  </si>
  <si>
    <t>Výzkumné záměry</t>
  </si>
  <si>
    <t>Projekty VaV ze SR a od úz.celků</t>
  </si>
  <si>
    <t>Projekty VaV mimorozpočtové</t>
  </si>
  <si>
    <t xml:space="preserve">Mimorozpočtové vlastní </t>
  </si>
  <si>
    <t>Čerpání fondů</t>
  </si>
  <si>
    <t>Doplňková činnost</t>
  </si>
  <si>
    <t>Mimorozpočtové účelové bez VaV</t>
  </si>
  <si>
    <t>Hospodářský výsledek dílčí (ř.25+30+33+37+38+39-2-23)</t>
  </si>
  <si>
    <t>Hospodářský výsledek (ř.24-1)</t>
  </si>
  <si>
    <t>Výnosy celkem (ř.25 až 39)</t>
  </si>
  <si>
    <t>Náklady celkem (ř.2+14až23)</t>
  </si>
  <si>
    <t>Dotace na nespecif. výzkum (tvůrčí č.)</t>
  </si>
  <si>
    <t>31 - PřF</t>
  </si>
  <si>
    <t>Hosp.středisko:</t>
  </si>
  <si>
    <t xml:space="preserve">Hosp.středisko: </t>
  </si>
  <si>
    <t>21 - FF</t>
  </si>
  <si>
    <t xml:space="preserve"> </t>
  </si>
  <si>
    <t>81 - SKM</t>
  </si>
  <si>
    <t>fakulty celkem</t>
  </si>
  <si>
    <t>ostatní celkem</t>
  </si>
  <si>
    <t>96 - CJV</t>
  </si>
  <si>
    <t>97 - CZS</t>
  </si>
  <si>
    <t>22 - PrF</t>
  </si>
  <si>
    <t>92 - ÚVT</t>
  </si>
  <si>
    <t>33 - FI</t>
  </si>
  <si>
    <t>41 - PdF</t>
  </si>
  <si>
    <t>56 - ESF</t>
  </si>
  <si>
    <t>23 - FSS</t>
  </si>
  <si>
    <t>51 - FSpS</t>
  </si>
  <si>
    <t>11 - LF</t>
  </si>
  <si>
    <t>vydav.</t>
  </si>
  <si>
    <t>CZS</t>
  </si>
  <si>
    <t>RMU</t>
  </si>
  <si>
    <t>99 - RMU</t>
  </si>
  <si>
    <t>LF</t>
  </si>
  <si>
    <t>FF</t>
  </si>
  <si>
    <t>FSS</t>
  </si>
  <si>
    <t>PrF</t>
  </si>
  <si>
    <t>PřF</t>
  </si>
  <si>
    <t>FI</t>
  </si>
  <si>
    <t>PdF</t>
  </si>
  <si>
    <t>FSpS</t>
  </si>
  <si>
    <t>ESF</t>
  </si>
  <si>
    <t>celk.</t>
  </si>
  <si>
    <t>SKM</t>
  </si>
  <si>
    <t>ÚVT</t>
  </si>
  <si>
    <t>CJV</t>
  </si>
  <si>
    <t>fakulty</t>
  </si>
  <si>
    <t>11- LF</t>
  </si>
  <si>
    <t>21-FF</t>
  </si>
  <si>
    <t>22-PrF</t>
  </si>
  <si>
    <t>23-FSS</t>
  </si>
  <si>
    <t>31-PřF</t>
  </si>
  <si>
    <t>33-FI</t>
  </si>
  <si>
    <t>41-PdF</t>
  </si>
  <si>
    <t>51-FSpS</t>
  </si>
  <si>
    <t>56-ESF</t>
  </si>
  <si>
    <t>celk.2002</t>
  </si>
  <si>
    <t>celk.2001</t>
  </si>
  <si>
    <t>MU celkem</t>
  </si>
  <si>
    <t xml:space="preserve">Dotace na specifický výzkum </t>
  </si>
  <si>
    <t>celk.2003</t>
  </si>
  <si>
    <t>MU</t>
  </si>
  <si>
    <t>index</t>
  </si>
  <si>
    <t>03/02</t>
  </si>
  <si>
    <t>02/01</t>
  </si>
  <si>
    <t xml:space="preserve"> A-vzděl.č.,specif.VaV,SKM + mimor.vlastní:</t>
  </si>
  <si>
    <t>č.HS</t>
  </si>
  <si>
    <t>název</t>
  </si>
  <si>
    <t>zkratka</t>
  </si>
  <si>
    <t>Lékařská fakulta</t>
  </si>
  <si>
    <t>Filozofická fakulta</t>
  </si>
  <si>
    <t>Právnická fakulta</t>
  </si>
  <si>
    <t>Fakulta sociálních studií</t>
  </si>
  <si>
    <t>Přírodovědecká fakulta</t>
  </si>
  <si>
    <t>Fakulta informatiky</t>
  </si>
  <si>
    <t>Pedagogická fakulta</t>
  </si>
  <si>
    <t>Fakulta sportovních studií</t>
  </si>
  <si>
    <t>Ekonomicko správní fakulta</t>
  </si>
  <si>
    <t>Správa kolejí a menz</t>
  </si>
  <si>
    <t>Ústav výpočetní techniky</t>
  </si>
  <si>
    <t>Centrum jazykového vzdělávání</t>
  </si>
  <si>
    <t>Centrum zahraničních studií</t>
  </si>
  <si>
    <t>Rektorát</t>
  </si>
  <si>
    <t>VaV</t>
  </si>
  <si>
    <t>výzkum a vývoj</t>
  </si>
  <si>
    <t>FRVŠ</t>
  </si>
  <si>
    <t>Fond rozvoje vysokých škol</t>
  </si>
  <si>
    <t>SR</t>
  </si>
  <si>
    <t>státní rozpočet</t>
  </si>
  <si>
    <t>Seznam ostatních používaných zkratek u rozpočtu MU:</t>
  </si>
  <si>
    <t xml:space="preserve"> celkem</t>
  </si>
  <si>
    <t>Hospodářský výsledek dílčí (ř.26+31+34+38+39+40-2-23)</t>
  </si>
  <si>
    <t xml:space="preserve">        81 - SKM</t>
  </si>
  <si>
    <t xml:space="preserve">           92- ÚVT</t>
  </si>
  <si>
    <t xml:space="preserve">     94-vydav.</t>
  </si>
  <si>
    <t xml:space="preserve">          96 - CJV</t>
  </si>
  <si>
    <t xml:space="preserve">          97-CZS</t>
  </si>
  <si>
    <t xml:space="preserve">            99-RMU</t>
  </si>
  <si>
    <t>Skut.</t>
  </si>
  <si>
    <t>z toho:</t>
  </si>
  <si>
    <t>04/03</t>
  </si>
  <si>
    <t>celk.2004</t>
  </si>
  <si>
    <t>celk.2005</t>
  </si>
  <si>
    <t>celkem</t>
  </si>
  <si>
    <r>
      <t xml:space="preserve">Rozpočet 2001-2005  </t>
    </r>
    <r>
      <rPr>
        <sz val="9"/>
        <rFont val="Arial CE"/>
        <family val="2"/>
      </rPr>
      <t>v tis. Kč</t>
    </r>
  </si>
  <si>
    <t>05/04</t>
  </si>
  <si>
    <t>83 - UCT</t>
  </si>
  <si>
    <t>84 - SPSSN</t>
  </si>
  <si>
    <t>UCT</t>
  </si>
  <si>
    <t>SPSSN</t>
  </si>
  <si>
    <t xml:space="preserve">          91 - VPC</t>
  </si>
  <si>
    <t>Rozpočet MU 2006 - neinvestiční</t>
  </si>
  <si>
    <t>Rozpočet 2006</t>
  </si>
  <si>
    <r>
      <t>Rozpočet 2006 - plán</t>
    </r>
    <r>
      <rPr>
        <sz val="10"/>
        <rFont val="Arial CE"/>
        <family val="2"/>
      </rPr>
      <t xml:space="preserve"> (v tis.Kč)</t>
    </r>
  </si>
  <si>
    <t>Schváleno v AS fakulty dne xx.2.2006</t>
  </si>
  <si>
    <r>
      <t xml:space="preserve">1) </t>
    </r>
    <r>
      <rPr>
        <i/>
        <sz val="8"/>
        <rFont val="Arial CE"/>
        <family val="0"/>
      </rPr>
      <t>celkové náklady na odpisy (dotační i nedotační)</t>
    </r>
  </si>
  <si>
    <r>
      <t xml:space="preserve">2) </t>
    </r>
    <r>
      <rPr>
        <i/>
        <sz val="8"/>
        <rFont val="Arial CE"/>
        <family val="0"/>
      </rPr>
      <t>včetně částky na nedotační odpisy</t>
    </r>
  </si>
  <si>
    <r>
      <t xml:space="preserve">3) </t>
    </r>
    <r>
      <rPr>
        <i/>
        <sz val="8"/>
        <rFont val="Arial CE"/>
        <family val="0"/>
      </rPr>
      <t>včetně výnosu, souvisejícího s dotačními odpisy</t>
    </r>
  </si>
  <si>
    <r>
      <t xml:space="preserve">5) </t>
    </r>
    <r>
      <rPr>
        <i/>
        <sz val="8"/>
        <rFont val="Arial CE"/>
        <family val="0"/>
      </rPr>
      <t>včetně částky na tvorbu sociálního fondu (2% z ř.3)</t>
    </r>
  </si>
  <si>
    <r>
      <t xml:space="preserve">4) </t>
    </r>
    <r>
      <rPr>
        <i/>
        <sz val="8"/>
        <rFont val="Arial CE"/>
        <family val="0"/>
      </rPr>
      <t>včetně částky na tvorbu sociálního fondu (2% z ř.3)</t>
    </r>
  </si>
  <si>
    <t xml:space="preserve">přiděleno na ukazatel A bez nedotačních odpisů (CP - č.č.1112) </t>
  </si>
  <si>
    <t>82 - SUKB</t>
  </si>
  <si>
    <t>SUKB</t>
  </si>
  <si>
    <t>sl.3+4</t>
  </si>
  <si>
    <t>součet</t>
  </si>
  <si>
    <t>zak zzz2</t>
  </si>
  <si>
    <t>sl.5 až 7</t>
  </si>
  <si>
    <t>(+)</t>
  </si>
  <si>
    <t>(-)</t>
  </si>
  <si>
    <t>součet SUKB</t>
  </si>
  <si>
    <t>pozor dotační odpisy jsem kalkulovala u PřF a LF !!!</t>
  </si>
  <si>
    <r>
      <t xml:space="preserve">Náklady celkem </t>
    </r>
    <r>
      <rPr>
        <sz val="10"/>
        <rFont val="Arial CE"/>
        <family val="0"/>
      </rPr>
      <t>(ř.2+14až23)</t>
    </r>
  </si>
  <si>
    <r>
      <t xml:space="preserve">Výnosy celkem </t>
    </r>
    <r>
      <rPr>
        <sz val="10"/>
        <rFont val="Arial CE"/>
        <family val="0"/>
      </rPr>
      <t>(ř.25 až 39)</t>
    </r>
  </si>
  <si>
    <t>zak 1001</t>
  </si>
  <si>
    <t>zak 1002</t>
  </si>
  <si>
    <t>zak 1921</t>
  </si>
  <si>
    <t>ze sl.3</t>
  </si>
  <si>
    <t>3a</t>
  </si>
  <si>
    <t>3b</t>
  </si>
  <si>
    <r>
      <t xml:space="preserve">Hospodářský výsledek </t>
    </r>
    <r>
      <rPr>
        <sz val="10"/>
        <rFont val="Arial CE"/>
        <family val="0"/>
      </rPr>
      <t>(ř.24-1)</t>
    </r>
  </si>
  <si>
    <t>2005 (s VPC)</t>
  </si>
  <si>
    <t>Schváleno ve vedení MU dne 14.3.2006</t>
  </si>
  <si>
    <r>
      <t xml:space="preserve">2) </t>
    </r>
    <r>
      <rPr>
        <i/>
        <sz val="8"/>
        <rFont val="Arial CE"/>
        <family val="0"/>
      </rPr>
      <t>včetně částky na nedotační odpisy a přísp.z CP na akad.hry</t>
    </r>
  </si>
  <si>
    <t>celkem z ukazatele A</t>
  </si>
  <si>
    <t>přiděleno na ukazatel A bez nedot.odpisů (č.č.1111)</t>
  </si>
  <si>
    <t>plus nedotační odpisy</t>
  </si>
  <si>
    <t xml:space="preserve">Plán </t>
  </si>
  <si>
    <t>Dotace na SKM, ubytovací stipendia</t>
  </si>
  <si>
    <t>Schváleno v AS fakulty dne 7.3.2006</t>
  </si>
  <si>
    <t>Schváleno v AS fakulty dne 13.3.2006</t>
  </si>
  <si>
    <t>Schváleno v AS fakulty dne 27.2.2006</t>
  </si>
  <si>
    <t>Schváleno v AS fakulty dne 6.3.2006</t>
  </si>
  <si>
    <r>
      <t xml:space="preserve">odpisy </t>
    </r>
    <r>
      <rPr>
        <i/>
        <vertAlign val="superscript"/>
        <sz val="9"/>
        <rFont val="Arial CE"/>
        <family val="0"/>
      </rPr>
      <t>1)</t>
    </r>
  </si>
  <si>
    <r>
      <t xml:space="preserve">A-dotace na vzdělávací činnost </t>
    </r>
    <r>
      <rPr>
        <vertAlign val="superscript"/>
        <sz val="9"/>
        <rFont val="Arial CE"/>
        <family val="0"/>
      </rPr>
      <t>2)</t>
    </r>
  </si>
  <si>
    <r>
      <t xml:space="preserve">Mimorozpočtové vlastní </t>
    </r>
    <r>
      <rPr>
        <vertAlign val="superscript"/>
        <sz val="9"/>
        <rFont val="Arial CE"/>
        <family val="0"/>
      </rPr>
      <t>3)</t>
    </r>
  </si>
  <si>
    <t>Žerotínovo nám. 9, Brno</t>
  </si>
  <si>
    <t xml:space="preserve">Masarykova univerzita </t>
  </si>
  <si>
    <t>celkem z ukazatele A, sníženého o 99 mil. Kč</t>
  </si>
  <si>
    <t xml:space="preserve">   tak, aby plán byl uveden jen u HS hlavního řešitele (bez plánovaných převodů)</t>
  </si>
  <si>
    <t>ÚVT uvedlo v plánu na ř. 34-VZ částku 1,083 mil., správně patří 0 Kč</t>
  </si>
  <si>
    <t>ESF uvedla v plánu na ř. 34-VZ částku 0,94 mil., správně patří 0 Kč</t>
  </si>
  <si>
    <t>mil. Kč</t>
  </si>
  <si>
    <t xml:space="preserve">   opraveno snížením na ř.20 a současně snížením na ř. 34 o </t>
  </si>
  <si>
    <t>Univerzitní centrum Telč</t>
  </si>
  <si>
    <t>VMU</t>
  </si>
  <si>
    <t>Vydavatelství MU</t>
  </si>
  <si>
    <t>Středisko pro pomoc …- dr.Peňáz</t>
  </si>
  <si>
    <t>Seznam hospodářských středisek MU (HS) v roce 2006:</t>
  </si>
  <si>
    <t>Zpracovala: Ing.Foukalová</t>
  </si>
  <si>
    <t>94 - VMU (vydavatelství)</t>
  </si>
  <si>
    <t>plnění</t>
  </si>
  <si>
    <t>odhad</t>
  </si>
  <si>
    <t>nárok</t>
  </si>
  <si>
    <t>v %</t>
  </si>
  <si>
    <t>1a</t>
  </si>
  <si>
    <t>2a</t>
  </si>
  <si>
    <r>
      <t>Rozpočet 2006 - skutečnost</t>
    </r>
    <r>
      <rPr>
        <sz val="10"/>
        <rFont val="Arial CE"/>
        <family val="2"/>
      </rPr>
      <t xml:space="preserve"> (v tis.Kč)</t>
    </r>
  </si>
  <si>
    <t>přij.říz.</t>
  </si>
  <si>
    <r>
      <t xml:space="preserve">Mimorozpočtové vlastní </t>
    </r>
    <r>
      <rPr>
        <vertAlign val="superscript"/>
        <sz val="9"/>
        <rFont val="Arial CE"/>
        <family val="0"/>
      </rPr>
      <t xml:space="preserve">3) </t>
    </r>
    <r>
      <rPr>
        <sz val="9"/>
        <rFont val="Arial CE"/>
        <family val="0"/>
      </rPr>
      <t>- vč.dotač.odpisů</t>
    </r>
  </si>
  <si>
    <r>
      <t>Rozpočet 2006 - odhad</t>
    </r>
    <r>
      <rPr>
        <sz val="10"/>
        <rFont val="Arial CE"/>
        <family val="2"/>
      </rPr>
      <t xml:space="preserve"> (v tis.Kč)</t>
    </r>
  </si>
  <si>
    <t>skutecnost</t>
  </si>
  <si>
    <t>bez CP</t>
  </si>
  <si>
    <t>RR</t>
  </si>
  <si>
    <t>CPbezRR</t>
  </si>
  <si>
    <t>odhad (rovnom.)</t>
  </si>
  <si>
    <t>ostatní + ubyt.stip.???</t>
  </si>
  <si>
    <t>FÚUP</t>
  </si>
  <si>
    <t>vč.FÚUP</t>
  </si>
  <si>
    <t>celk.2006</t>
  </si>
  <si>
    <t>06/05</t>
  </si>
  <si>
    <t>CBA</t>
  </si>
  <si>
    <r>
      <t xml:space="preserve">Rozpočet 2006 - 2001 </t>
    </r>
    <r>
      <rPr>
        <sz val="9"/>
        <rFont val="Arial CE"/>
        <family val="2"/>
      </rPr>
      <t>(v tis.Kč)</t>
    </r>
  </si>
  <si>
    <r>
      <t xml:space="preserve">Rozpočet 2001-2006 </t>
    </r>
    <r>
      <rPr>
        <sz val="8"/>
        <rFont val="Arial CE"/>
        <family val="0"/>
      </rPr>
      <t>v tis.Kč</t>
    </r>
  </si>
  <si>
    <t>ost.</t>
  </si>
  <si>
    <t>85 - IBA</t>
  </si>
  <si>
    <t>Dotace na SKM, ubytovací stipendia,soc.st.</t>
  </si>
  <si>
    <t>Dotace na SKM, ubytovací stipendia, soc.st.</t>
  </si>
  <si>
    <t>1 - 12 2006</t>
  </si>
  <si>
    <t>skutečnost k 31.12.2006</t>
  </si>
  <si>
    <t>(po snížení ukazatele A o 99 mil o výměnu NIV za INV)</t>
  </si>
  <si>
    <t>FÚUP z</t>
  </si>
  <si>
    <t>dotace 05</t>
  </si>
  <si>
    <t>dotace 06</t>
  </si>
  <si>
    <t>zůst.</t>
  </si>
  <si>
    <t>z toho: 19 mil.dary</t>
  </si>
  <si>
    <t>8,960 mil. zůst.darů ve FÚUP</t>
  </si>
  <si>
    <t>05</t>
  </si>
  <si>
    <t>04</t>
  </si>
  <si>
    <t>V Brně dne 1.3.2007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</si>
</sst>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color indexed="8"/>
      <name val="Arial CE"/>
      <family val="2"/>
    </font>
    <font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2"/>
    </font>
    <font>
      <sz val="9"/>
      <color indexed="12"/>
      <name val="Arial CE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9"/>
      <name val="Arial CE"/>
      <family val="0"/>
    </font>
    <font>
      <i/>
      <sz val="9"/>
      <color indexed="10"/>
      <name val="Arial CE"/>
      <family val="0"/>
    </font>
    <font>
      <b/>
      <sz val="9"/>
      <color indexed="10"/>
      <name val="Arial CE"/>
      <family val="0"/>
    </font>
    <font>
      <i/>
      <vertAlign val="superscript"/>
      <sz val="9"/>
      <name val="Arial CE"/>
      <family val="0"/>
    </font>
    <font>
      <b/>
      <i/>
      <sz val="9"/>
      <color indexed="10"/>
      <name val="Arial CE"/>
      <family val="0"/>
    </font>
    <font>
      <b/>
      <sz val="8"/>
      <color indexed="17"/>
      <name val="Arial CE"/>
      <family val="0"/>
    </font>
    <font>
      <sz val="10"/>
      <color indexed="10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sz val="10"/>
      <color indexed="12"/>
      <name val="Arial CE"/>
      <family val="0"/>
    </font>
    <font>
      <i/>
      <sz val="9"/>
      <color indexed="12"/>
      <name val="Arial CE"/>
      <family val="0"/>
    </font>
    <font>
      <b/>
      <sz val="8"/>
      <color indexed="12"/>
      <name val="Arial CE"/>
      <family val="0"/>
    </font>
    <font>
      <sz val="10"/>
      <color indexed="8"/>
      <name val="Arial CE"/>
      <family val="0"/>
    </font>
    <font>
      <i/>
      <sz val="9"/>
      <color indexed="8"/>
      <name val="Arial CE"/>
      <family val="0"/>
    </font>
    <font>
      <i/>
      <sz val="8"/>
      <color indexed="8"/>
      <name val="Arial CE"/>
      <family val="0"/>
    </font>
    <font>
      <b/>
      <i/>
      <sz val="8"/>
      <color indexed="12"/>
      <name val="Arial CE"/>
      <family val="0"/>
    </font>
    <font>
      <i/>
      <vertAlign val="superscript"/>
      <sz val="8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8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2" fontId="14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3" fontId="15" fillId="2" borderId="15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3" borderId="28" xfId="0" applyFont="1" applyFill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3" borderId="13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45" xfId="0" applyFont="1" applyFill="1" applyBorder="1" applyAlignment="1">
      <alignment/>
    </xf>
    <xf numFmtId="3" fontId="5" fillId="3" borderId="46" xfId="0" applyNumberFormat="1" applyFont="1" applyFill="1" applyBorder="1" applyAlignment="1">
      <alignment/>
    </xf>
    <xf numFmtId="3" fontId="5" fillId="3" borderId="45" xfId="0" applyNumberFormat="1" applyFont="1" applyFill="1" applyBorder="1" applyAlignment="1">
      <alignment/>
    </xf>
    <xf numFmtId="3" fontId="5" fillId="3" borderId="29" xfId="0" applyNumberFormat="1" applyFont="1" applyFill="1" applyBorder="1" applyAlignment="1">
      <alignment/>
    </xf>
    <xf numFmtId="3" fontId="5" fillId="3" borderId="47" xfId="0" applyNumberFormat="1" applyFont="1" applyFill="1" applyBorder="1" applyAlignment="1">
      <alignment/>
    </xf>
    <xf numFmtId="3" fontId="11" fillId="0" borderId="48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4" fillId="3" borderId="49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/>
    </xf>
    <xf numFmtId="3" fontId="5" fillId="3" borderId="47" xfId="0" applyNumberFormat="1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5" fillId="3" borderId="45" xfId="0" applyFont="1" applyFill="1" applyBorder="1" applyAlignment="1">
      <alignment/>
    </xf>
    <xf numFmtId="3" fontId="14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4" fillId="0" borderId="40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3" fillId="0" borderId="15" xfId="0" applyFont="1" applyBorder="1" applyAlignment="1">
      <alignment horizontal="center"/>
    </xf>
    <xf numFmtId="3" fontId="5" fillId="3" borderId="13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2" fontId="4" fillId="3" borderId="46" xfId="0" applyNumberFormat="1" applyFont="1" applyFill="1" applyBorder="1" applyAlignment="1">
      <alignment/>
    </xf>
    <xf numFmtId="2" fontId="4" fillId="3" borderId="29" xfId="0" applyNumberFormat="1" applyFont="1" applyFill="1" applyBorder="1" applyAlignment="1">
      <alignment/>
    </xf>
    <xf numFmtId="2" fontId="4" fillId="3" borderId="47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2" fontId="11" fillId="0" borderId="32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3" fontId="5" fillId="3" borderId="18" xfId="0" applyNumberFormat="1" applyFont="1" applyFill="1" applyBorder="1" applyAlignment="1">
      <alignment/>
    </xf>
    <xf numFmtId="3" fontId="11" fillId="0" borderId="55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3" borderId="57" xfId="0" applyFont="1" applyFill="1" applyBorder="1" applyAlignment="1">
      <alignment/>
    </xf>
    <xf numFmtId="0" fontId="6" fillId="3" borderId="58" xfId="0" applyFont="1" applyFill="1" applyBorder="1" applyAlignment="1">
      <alignment horizontal="center"/>
    </xf>
    <xf numFmtId="3" fontId="11" fillId="0" borderId="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2" fillId="3" borderId="59" xfId="0" applyNumberFormat="1" applyFont="1" applyFill="1" applyBorder="1" applyAlignment="1">
      <alignment/>
    </xf>
    <xf numFmtId="3" fontId="2" fillId="3" borderId="6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0" fontId="13" fillId="0" borderId="61" xfId="0" applyFont="1" applyBorder="1" applyAlignment="1">
      <alignment horizontal="center"/>
    </xf>
    <xf numFmtId="3" fontId="5" fillId="3" borderId="61" xfId="0" applyNumberFormat="1" applyFont="1" applyFill="1" applyBorder="1" applyAlignment="1">
      <alignment/>
    </xf>
    <xf numFmtId="3" fontId="4" fillId="0" borderId="62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5" fillId="3" borderId="64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3" fontId="11" fillId="0" borderId="6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41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3" fontId="11" fillId="0" borderId="8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5" fillId="3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2" fontId="11" fillId="0" borderId="65" xfId="0" applyNumberFormat="1" applyFont="1" applyBorder="1" applyAlignment="1">
      <alignment/>
    </xf>
    <xf numFmtId="2" fontId="11" fillId="0" borderId="32" xfId="0" applyNumberFormat="1" applyFont="1" applyBorder="1" applyAlignment="1">
      <alignment/>
    </xf>
    <xf numFmtId="2" fontId="4" fillId="0" borderId="65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6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3" fontId="4" fillId="3" borderId="59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14" fillId="4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4" fillId="5" borderId="12" xfId="0" applyNumberFormat="1" applyFont="1" applyFill="1" applyBorder="1" applyAlignment="1">
      <alignment/>
    </xf>
    <xf numFmtId="3" fontId="6" fillId="6" borderId="32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3" fontId="11" fillId="0" borderId="14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11" fillId="0" borderId="51" xfId="0" applyNumberFormat="1" applyFont="1" applyFill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51" xfId="0" applyFont="1" applyBorder="1" applyAlignment="1">
      <alignment/>
    </xf>
    <xf numFmtId="0" fontId="2" fillId="3" borderId="60" xfId="0" applyFont="1" applyFill="1" applyBorder="1" applyAlignment="1">
      <alignment/>
    </xf>
    <xf numFmtId="0" fontId="6" fillId="0" borderId="51" xfId="0" applyFont="1" applyBorder="1" applyAlignment="1">
      <alignment/>
    </xf>
    <xf numFmtId="0" fontId="14" fillId="0" borderId="51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3" fontId="6" fillId="0" borderId="63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0" fontId="15" fillId="0" borderId="66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3" fontId="15" fillId="3" borderId="59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3" fontId="15" fillId="3" borderId="59" xfId="0" applyNumberFormat="1" applyFont="1" applyFill="1" applyBorder="1" applyAlignment="1">
      <alignment/>
    </xf>
    <xf numFmtId="0" fontId="6" fillId="0" borderId="5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5" fillId="3" borderId="57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75" xfId="0" applyBorder="1" applyAlignment="1">
      <alignment horizontal="center"/>
    </xf>
    <xf numFmtId="0" fontId="9" fillId="0" borderId="51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0" fontId="6" fillId="3" borderId="76" xfId="0" applyFont="1" applyFill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6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3" fontId="15" fillId="3" borderId="60" xfId="0" applyNumberFormat="1" applyFont="1" applyFill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14" fillId="0" borderId="51" xfId="0" applyNumberFormat="1" applyFont="1" applyBorder="1" applyAlignment="1">
      <alignment horizontal="right"/>
    </xf>
    <xf numFmtId="0" fontId="15" fillId="0" borderId="5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3" fontId="15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3" fontId="33" fillId="0" borderId="30" xfId="0" applyNumberFormat="1" applyFont="1" applyBorder="1" applyAlignment="1">
      <alignment horizontal="right"/>
    </xf>
    <xf numFmtId="0" fontId="6" fillId="0" borderId="69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3" fontId="33" fillId="0" borderId="30" xfId="0" applyNumberFormat="1" applyFont="1" applyBorder="1" applyAlignment="1">
      <alignment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3" fontId="6" fillId="3" borderId="79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6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3" fontId="2" fillId="3" borderId="59" xfId="0" applyNumberFormat="1" applyFont="1" applyFill="1" applyBorder="1" applyAlignment="1">
      <alignment/>
    </xf>
    <xf numFmtId="3" fontId="5" fillId="0" borderId="80" xfId="0" applyNumberFormat="1" applyFont="1" applyBorder="1" applyAlignment="1">
      <alignment/>
    </xf>
    <xf numFmtId="0" fontId="2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3" fontId="29" fillId="0" borderId="51" xfId="0" applyNumberFormat="1" applyFont="1" applyBorder="1" applyAlignment="1">
      <alignment/>
    </xf>
    <xf numFmtId="0" fontId="37" fillId="0" borderId="0" xfId="0" applyFont="1" applyAlignment="1">
      <alignment/>
    </xf>
    <xf numFmtId="3" fontId="35" fillId="0" borderId="32" xfId="0" applyNumberFormat="1" applyFont="1" applyBorder="1" applyAlignment="1">
      <alignment/>
    </xf>
    <xf numFmtId="0" fontId="33" fillId="0" borderId="73" xfId="0" applyFont="1" applyBorder="1" applyAlignment="1">
      <alignment horizontal="center"/>
    </xf>
    <xf numFmtId="3" fontId="33" fillId="0" borderId="73" xfId="0" applyNumberFormat="1" applyFont="1" applyBorder="1" applyAlignment="1">
      <alignment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3" fontId="4" fillId="3" borderId="79" xfId="0" applyNumberFormat="1" applyFont="1" applyFill="1" applyBorder="1" applyAlignment="1">
      <alignment/>
    </xf>
    <xf numFmtId="3" fontId="4" fillId="0" borderId="74" xfId="0" applyNumberFormat="1" applyFont="1" applyBorder="1" applyAlignment="1">
      <alignment/>
    </xf>
    <xf numFmtId="3" fontId="11" fillId="0" borderId="73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15" fillId="0" borderId="7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3" fontId="15" fillId="3" borderId="60" xfId="0" applyNumberFormat="1" applyFont="1" applyFill="1" applyBorder="1" applyAlignment="1">
      <alignment/>
    </xf>
    <xf numFmtId="3" fontId="15" fillId="0" borderId="50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5" fillId="0" borderId="81" xfId="0" applyNumberFormat="1" applyFont="1" applyBorder="1" applyAlignment="1">
      <alignment/>
    </xf>
    <xf numFmtId="3" fontId="33" fillId="0" borderId="5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5" fillId="3" borderId="57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4" fillId="3" borderId="59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3" fontId="6" fillId="3" borderId="57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4" fontId="6" fillId="3" borderId="59" xfId="0" applyNumberFormat="1" applyFont="1" applyFill="1" applyBorder="1" applyAlignment="1">
      <alignment/>
    </xf>
    <xf numFmtId="0" fontId="24" fillId="0" borderId="30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5" fillId="3" borderId="59" xfId="0" applyNumberFormat="1" applyFont="1" applyFill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15" fillId="0" borderId="8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0" fillId="3" borderId="59" xfId="0" applyNumberFormat="1" applyFont="1" applyFill="1" applyBorder="1" applyAlignment="1">
      <alignment/>
    </xf>
    <xf numFmtId="3" fontId="14" fillId="4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3" fontId="11" fillId="4" borderId="12" xfId="0" applyNumberFormat="1" applyFont="1" applyFill="1" applyBorder="1" applyAlignment="1">
      <alignment/>
    </xf>
    <xf numFmtId="3" fontId="4" fillId="3" borderId="57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3" fontId="4" fillId="3" borderId="60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0" fontId="24" fillId="0" borderId="73" xfId="0" applyFont="1" applyBorder="1" applyAlignment="1">
      <alignment horizontal="center"/>
    </xf>
    <xf numFmtId="3" fontId="5" fillId="3" borderId="59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0" fontId="6" fillId="3" borderId="0" xfId="0" applyFont="1" applyFill="1" applyAlignment="1">
      <alignment/>
    </xf>
    <xf numFmtId="0" fontId="4" fillId="0" borderId="66" xfId="0" applyFont="1" applyBorder="1" applyAlignment="1">
      <alignment/>
    </xf>
    <xf numFmtId="0" fontId="4" fillId="0" borderId="55" xfId="0" applyFont="1" applyBorder="1" applyAlignment="1">
      <alignment/>
    </xf>
    <xf numFmtId="0" fontId="11" fillId="0" borderId="30" xfId="0" applyFont="1" applyBorder="1" applyAlignment="1">
      <alignment/>
    </xf>
    <xf numFmtId="4" fontId="4" fillId="3" borderId="59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3" borderId="59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11" fillId="3" borderId="5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1" xfId="0" applyFont="1" applyBorder="1" applyAlignment="1">
      <alignment horizontal="center"/>
    </xf>
    <xf numFmtId="3" fontId="6" fillId="3" borderId="60" xfId="0" applyNumberFormat="1" applyFont="1" applyFill="1" applyBorder="1" applyAlignment="1">
      <alignment/>
    </xf>
    <xf numFmtId="3" fontId="14" fillId="0" borderId="51" xfId="0" applyNumberFormat="1" applyFont="1" applyBorder="1" applyAlignment="1">
      <alignment/>
    </xf>
    <xf numFmtId="0" fontId="30" fillId="0" borderId="0" xfId="0" applyFont="1" applyAlignment="1">
      <alignment/>
    </xf>
    <xf numFmtId="0" fontId="5" fillId="0" borderId="6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3" fontId="5" fillId="3" borderId="60" xfId="0" applyNumberFormat="1" applyFont="1" applyFill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0" fontId="24" fillId="0" borderId="30" xfId="0" applyFont="1" applyBorder="1" applyAlignment="1">
      <alignment/>
    </xf>
    <xf numFmtId="4" fontId="4" fillId="0" borderId="66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4" fillId="0" borderId="66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2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/>
    </xf>
    <xf numFmtId="4" fontId="6" fillId="3" borderId="59" xfId="0" applyNumberFormat="1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8" fillId="0" borderId="32" xfId="0" applyNumberFormat="1" applyFont="1" applyBorder="1" applyAlignment="1">
      <alignment/>
    </xf>
    <xf numFmtId="3" fontId="14" fillId="2" borderId="1" xfId="0" applyNumberFormat="1" applyFont="1" applyFill="1" applyBorder="1" applyAlignment="1">
      <alignment/>
    </xf>
    <xf numFmtId="0" fontId="39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3" fontId="4" fillId="7" borderId="12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40" fillId="0" borderId="0" xfId="0" applyFont="1" applyFill="1" applyBorder="1" applyAlignment="1">
      <alignment horizontal="center"/>
    </xf>
    <xf numFmtId="2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0" fillId="0" borderId="68" xfId="0" applyNumberFormat="1" applyFont="1" applyBorder="1" applyAlignment="1">
      <alignment/>
    </xf>
    <xf numFmtId="3" fontId="40" fillId="6" borderId="12" xfId="0" applyNumberFormat="1" applyFont="1" applyFill="1" applyBorder="1" applyAlignment="1">
      <alignment/>
    </xf>
    <xf numFmtId="3" fontId="31" fillId="3" borderId="59" xfId="0" applyNumberFormat="1" applyFont="1" applyFill="1" applyBorder="1" applyAlignment="1">
      <alignment/>
    </xf>
    <xf numFmtId="3" fontId="40" fillId="0" borderId="32" xfId="0" applyNumberFormat="1" applyFont="1" applyBorder="1" applyAlignment="1">
      <alignment/>
    </xf>
    <xf numFmtId="0" fontId="40" fillId="0" borderId="66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4" fillId="2" borderId="32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20" fillId="3" borderId="0" xfId="0" applyFont="1" applyFill="1" applyAlignment="1">
      <alignment/>
    </xf>
    <xf numFmtId="0" fontId="4" fillId="0" borderId="7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3" fontId="5" fillId="3" borderId="48" xfId="0" applyNumberFormat="1" applyFont="1" applyFill="1" applyBorder="1" applyAlignment="1">
      <alignment/>
    </xf>
    <xf numFmtId="3" fontId="4" fillId="0" borderId="62" xfId="0" applyNumberFormat="1" applyFont="1" applyBorder="1" applyAlignment="1">
      <alignment/>
    </xf>
    <xf numFmtId="0" fontId="4" fillId="0" borderId="61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3" fontId="5" fillId="3" borderId="28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 horizontal="right"/>
    </xf>
    <xf numFmtId="0" fontId="13" fillId="0" borderId="43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26" fillId="0" borderId="8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5" fillId="3" borderId="85" xfId="0" applyNumberFormat="1" applyFont="1" applyFill="1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3" fontId="11" fillId="0" borderId="86" xfId="0" applyNumberFormat="1" applyFont="1" applyBorder="1" applyAlignment="1">
      <alignment/>
    </xf>
    <xf numFmtId="0" fontId="44" fillId="0" borderId="87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4" fillId="0" borderId="8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0" fontId="48" fillId="0" borderId="8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3" fontId="5" fillId="3" borderId="13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/>
    </xf>
    <xf numFmtId="3" fontId="5" fillId="3" borderId="28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5" fillId="3" borderId="15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24" fillId="3" borderId="18" xfId="0" applyNumberFormat="1" applyFont="1" applyFill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5" fillId="3" borderId="18" xfId="0" applyNumberFormat="1" applyFont="1" applyFill="1" applyBorder="1" applyAlignment="1">
      <alignment horizontal="right"/>
    </xf>
    <xf numFmtId="0" fontId="11" fillId="0" borderId="8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5" fillId="3" borderId="19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24" fillId="3" borderId="29" xfId="0" applyNumberFormat="1" applyFont="1" applyFill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5" fillId="3" borderId="29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40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/>
    </xf>
    <xf numFmtId="3" fontId="13" fillId="0" borderId="32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3" fontId="47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3" fontId="48" fillId="0" borderId="8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63" xfId="0" applyNumberFormat="1" applyFont="1" applyBorder="1" applyAlignment="1">
      <alignment/>
    </xf>
    <xf numFmtId="4" fontId="26" fillId="0" borderId="12" xfId="0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4" fillId="0" borderId="6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4" fillId="5" borderId="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6" fillId="0" borderId="2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3" fillId="0" borderId="74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40" fillId="0" borderId="0" xfId="0" applyNumberFormat="1" applyFont="1" applyFill="1" applyAlignment="1">
      <alignment/>
    </xf>
    <xf numFmtId="3" fontId="46" fillId="0" borderId="50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81" xfId="0" applyNumberFormat="1" applyFont="1" applyBorder="1" applyAlignment="1">
      <alignment/>
    </xf>
    <xf numFmtId="3" fontId="16" fillId="3" borderId="60" xfId="0" applyNumberFormat="1" applyFont="1" applyFill="1" applyBorder="1" applyAlignment="1">
      <alignment/>
    </xf>
    <xf numFmtId="3" fontId="13" fillId="3" borderId="59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89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0" fontId="15" fillId="0" borderId="8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5" fillId="0" borderId="57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0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" fontId="4" fillId="3" borderId="79" xfId="0" applyNumberFormat="1" applyFont="1" applyFill="1" applyBorder="1" applyAlignment="1">
      <alignment horizontal="center"/>
    </xf>
    <xf numFmtId="4" fontId="4" fillId="0" borderId="63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3" fontId="41" fillId="0" borderId="51" xfId="0" applyNumberFormat="1" applyFont="1" applyBorder="1" applyAlignment="1">
      <alignment/>
    </xf>
    <xf numFmtId="49" fontId="13" fillId="0" borderId="90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91" xfId="0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9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OVAROVA\LOCALS~1\TEMP\rozpo&#269;et%20MU%2004-re&#382;.prac.-pl&#225;n-1.3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3"/>
  </sheetPr>
  <dimension ref="A1:M29"/>
  <sheetViews>
    <sheetView workbookViewId="0" topLeftCell="A1">
      <selection activeCell="B25" sqref="B25"/>
    </sheetView>
  </sheetViews>
  <sheetFormatPr defaultColWidth="9.00390625" defaultRowHeight="12.75"/>
  <cols>
    <col min="1" max="1" width="7.875" style="43" customWidth="1"/>
    <col min="2" max="4" width="9.125" style="43" customWidth="1"/>
    <col min="5" max="5" width="10.125" style="43" bestFit="1" customWidth="1"/>
    <col min="6" max="6" width="11.375" style="43" bestFit="1" customWidth="1"/>
    <col min="7" max="7" width="11.25390625" style="43" customWidth="1"/>
    <col min="8" max="8" width="4.625" style="43" customWidth="1"/>
    <col min="9" max="11" width="9.125" style="43" customWidth="1"/>
    <col min="12" max="12" width="11.375" style="43" bestFit="1" customWidth="1"/>
    <col min="13" max="16384" width="9.125" style="43" customWidth="1"/>
  </cols>
  <sheetData>
    <row r="1" ht="15">
      <c r="A1" s="42" t="s">
        <v>182</v>
      </c>
    </row>
    <row r="2" ht="15">
      <c r="A2" s="42" t="s">
        <v>181</v>
      </c>
    </row>
    <row r="4" s="452" customFormat="1" ht="12.75"/>
    <row r="5" s="7" customFormat="1" ht="12.75">
      <c r="B5" s="452"/>
    </row>
    <row r="9" ht="78" customHeight="1"/>
    <row r="10" ht="15" hidden="1"/>
    <row r="12" spans="1:13" ht="30">
      <c r="A12" s="607" t="s">
        <v>137</v>
      </c>
      <c r="B12" s="608"/>
      <c r="C12" s="608"/>
      <c r="D12" s="608"/>
      <c r="E12" s="608"/>
      <c r="F12" s="608"/>
      <c r="G12" s="608"/>
      <c r="H12" s="608"/>
      <c r="I12" s="608"/>
      <c r="J12" s="93"/>
      <c r="K12" s="93"/>
      <c r="L12" s="93"/>
      <c r="M12" s="93"/>
    </row>
    <row r="13" ht="8.25" customHeight="1"/>
    <row r="14" spans="1:13" ht="20.25">
      <c r="A14" s="609" t="s">
        <v>224</v>
      </c>
      <c r="B14" s="608"/>
      <c r="C14" s="608"/>
      <c r="D14" s="608"/>
      <c r="E14" s="608"/>
      <c r="F14" s="608"/>
      <c r="G14" s="608"/>
      <c r="H14" s="608"/>
      <c r="I14" s="608"/>
      <c r="J14" s="93"/>
      <c r="K14" s="93"/>
      <c r="L14" s="93"/>
      <c r="M14" s="93"/>
    </row>
    <row r="15" spans="3:6" ht="15.75">
      <c r="C15" s="232"/>
      <c r="F15" s="88"/>
    </row>
    <row r="18" spans="5:6" ht="15">
      <c r="E18" s="6" t="s">
        <v>225</v>
      </c>
      <c r="F18" s="86"/>
    </row>
    <row r="19" spans="5:6" ht="78.75" customHeight="1">
      <c r="E19" s="6"/>
      <c r="F19" s="140"/>
    </row>
    <row r="20" spans="5:6" ht="15">
      <c r="E20" s="7"/>
      <c r="F20" s="7"/>
    </row>
    <row r="21" spans="5:6" ht="15">
      <c r="E21" s="7"/>
      <c r="F21" s="7"/>
    </row>
    <row r="23" spans="8:9" ht="15">
      <c r="H23" s="7"/>
      <c r="I23" s="85"/>
    </row>
    <row r="24" spans="8:9" ht="15">
      <c r="H24" s="7"/>
      <c r="I24" s="86"/>
    </row>
    <row r="25" spans="1:2" ht="15">
      <c r="A25" s="394" t="s">
        <v>234</v>
      </c>
      <c r="B25" s="488"/>
    </row>
    <row r="26" ht="15">
      <c r="A26" s="5" t="s">
        <v>194</v>
      </c>
    </row>
    <row r="29" ht="15">
      <c r="A29" s="5"/>
    </row>
  </sheetData>
  <mergeCells count="2">
    <mergeCell ref="A12:I12"/>
    <mergeCell ref="A14:I14"/>
  </mergeCells>
  <printOptions verticalCentered="1"/>
  <pageMargins left="0.8267716535433072" right="0.7874015748031497" top="0.61" bottom="0.64" header="0.5118110236220472" footer="0.5118110236220472"/>
  <pageSetup fitToHeight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>
    <tabColor indexed="38"/>
  </sheetPr>
  <dimension ref="A1:R53"/>
  <sheetViews>
    <sheetView workbookViewId="0" topLeftCell="A1">
      <selection activeCell="J48" sqref="J48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9.75390625" style="5" customWidth="1"/>
    <col min="5" max="5" width="3.75390625" style="5" customWidth="1"/>
    <col min="6" max="15" width="9.25390625" style="5" customWidth="1"/>
    <col min="16" max="16" width="10.25390625" style="5" customWidth="1"/>
    <col min="17" max="17" width="9.625" style="5" hidden="1" customWidth="1"/>
    <col min="18" max="18" width="7.875" style="5" customWidth="1"/>
    <col min="19" max="16384" width="9.125" style="5" customWidth="1"/>
  </cols>
  <sheetData>
    <row r="1" spans="1:18" ht="12.75">
      <c r="A1" s="610" t="s">
        <v>205</v>
      </c>
      <c r="B1" s="611"/>
      <c r="C1" s="611"/>
      <c r="D1" s="612"/>
      <c r="E1" s="242"/>
      <c r="F1" s="260" t="s">
        <v>69</v>
      </c>
      <c r="G1" s="260" t="s">
        <v>148</v>
      </c>
      <c r="H1" s="260" t="s">
        <v>134</v>
      </c>
      <c r="I1" s="260" t="s">
        <v>135</v>
      </c>
      <c r="J1" s="260" t="s">
        <v>216</v>
      </c>
      <c r="K1" s="260" t="s">
        <v>70</v>
      </c>
      <c r="L1" s="260" t="s">
        <v>55</v>
      </c>
      <c r="M1" s="260" t="s">
        <v>71</v>
      </c>
      <c r="N1" s="260" t="s">
        <v>56</v>
      </c>
      <c r="O1" s="260" t="s">
        <v>57</v>
      </c>
      <c r="P1" s="287" t="s">
        <v>9</v>
      </c>
      <c r="Q1" s="31" t="s">
        <v>11</v>
      </c>
      <c r="R1" s="476" t="s">
        <v>212</v>
      </c>
    </row>
    <row r="2" spans="1:18" ht="13.5" thickBot="1">
      <c r="A2" s="240" t="s">
        <v>39</v>
      </c>
      <c r="B2" s="256"/>
      <c r="C2" s="256"/>
      <c r="D2" s="257" t="s">
        <v>44</v>
      </c>
      <c r="E2" s="244" t="s">
        <v>21</v>
      </c>
      <c r="F2" s="276">
        <v>81</v>
      </c>
      <c r="G2" s="276">
        <v>82</v>
      </c>
      <c r="H2" s="276">
        <v>83</v>
      </c>
      <c r="I2" s="276">
        <v>84</v>
      </c>
      <c r="J2" s="276">
        <v>85</v>
      </c>
      <c r="K2" s="276">
        <v>92</v>
      </c>
      <c r="L2" s="276">
        <v>94</v>
      </c>
      <c r="M2" s="276">
        <v>96</v>
      </c>
      <c r="N2" s="276">
        <v>97</v>
      </c>
      <c r="O2" s="276">
        <v>99</v>
      </c>
      <c r="P2" s="288" t="s">
        <v>129</v>
      </c>
      <c r="Q2" s="34" t="s">
        <v>12</v>
      </c>
      <c r="R2" s="468">
        <v>2005</v>
      </c>
    </row>
    <row r="3" spans="1:17" ht="13.5" thickBot="1">
      <c r="A3" s="239" t="s">
        <v>157</v>
      </c>
      <c r="B3" s="171"/>
      <c r="C3" s="171"/>
      <c r="D3" s="171"/>
      <c r="E3" s="245">
        <v>1</v>
      </c>
      <c r="F3" s="262">
        <f aca="true" t="shared" si="0" ref="F3:Q3">SUM(F5:F25)</f>
        <v>152400.61818</v>
      </c>
      <c r="G3" s="262">
        <f t="shared" si="0"/>
        <v>14601.233160000002</v>
      </c>
      <c r="H3" s="262">
        <f t="shared" si="0"/>
        <v>4656.371770000002</v>
      </c>
      <c r="I3" s="262">
        <f t="shared" si="0"/>
        <v>15608.59545</v>
      </c>
      <c r="J3" s="262">
        <f>SUM(J5:J25)</f>
        <v>34997.574440000004</v>
      </c>
      <c r="K3" s="262">
        <f t="shared" si="0"/>
        <v>187433.77196</v>
      </c>
      <c r="L3" s="262">
        <f t="shared" si="0"/>
        <v>1016.7192999999996</v>
      </c>
      <c r="M3" s="262">
        <f t="shared" si="0"/>
        <v>27858.485960000005</v>
      </c>
      <c r="N3" s="262">
        <f t="shared" si="0"/>
        <v>59034.04575</v>
      </c>
      <c r="O3" s="262">
        <f t="shared" si="0"/>
        <v>345345.27130545455</v>
      </c>
      <c r="P3" s="255">
        <f t="shared" si="0"/>
        <v>842952.6872754546</v>
      </c>
      <c r="Q3" s="46" t="e">
        <f t="shared" si="0"/>
        <v>#REF!</v>
      </c>
    </row>
    <row r="4" spans="1:17" ht="12">
      <c r="A4" s="240" t="s">
        <v>10</v>
      </c>
      <c r="B4" s="3" t="s">
        <v>91</v>
      </c>
      <c r="C4" s="3"/>
      <c r="D4" s="3"/>
      <c r="E4" s="246">
        <v>2</v>
      </c>
      <c r="F4" s="37">
        <f aca="true" t="shared" si="1" ref="F4:Q4">SUM(F5:F15)</f>
        <v>127012.0644</v>
      </c>
      <c r="G4" s="37">
        <f t="shared" si="1"/>
        <v>14601.233160000002</v>
      </c>
      <c r="H4" s="37">
        <f t="shared" si="1"/>
        <v>4656.371770000002</v>
      </c>
      <c r="I4" s="37">
        <f t="shared" si="1"/>
        <v>3036.57992</v>
      </c>
      <c r="J4" s="37">
        <f>SUM(J5:J15)</f>
        <v>29627.721250000002</v>
      </c>
      <c r="K4" s="37">
        <f t="shared" si="1"/>
        <v>134700.04116000002</v>
      </c>
      <c r="L4" s="37">
        <f t="shared" si="1"/>
        <v>175.3529499999995</v>
      </c>
      <c r="M4" s="37">
        <f t="shared" si="1"/>
        <v>23079.765860000003</v>
      </c>
      <c r="N4" s="37">
        <f t="shared" si="1"/>
        <v>11791.684249999998</v>
      </c>
      <c r="O4" s="37">
        <f t="shared" si="1"/>
        <v>324769.9212</v>
      </c>
      <c r="P4" s="289">
        <f t="shared" si="1"/>
        <v>673450.7359199999</v>
      </c>
      <c r="Q4" s="47" t="e">
        <f t="shared" si="1"/>
        <v>#REF!</v>
      </c>
    </row>
    <row r="5" spans="1:17" s="29" customFormat="1" ht="12">
      <c r="A5" s="241"/>
      <c r="B5" s="27"/>
      <c r="C5" s="27" t="s">
        <v>13</v>
      </c>
      <c r="D5" s="28" t="s">
        <v>17</v>
      </c>
      <c r="E5" s="246">
        <v>3</v>
      </c>
      <c r="F5" s="38">
        <f>SKM!J6/1000</f>
        <v>29728.75</v>
      </c>
      <c r="G5" s="38">
        <f>SUKB!J6/1000</f>
        <v>0</v>
      </c>
      <c r="H5" s="38">
        <f>UCT!J6/1000</f>
        <v>1052.747</v>
      </c>
      <c r="I5" s="38">
        <f>SPSSN!J6/1000</f>
        <v>1163.536</v>
      </c>
      <c r="J5" s="38">
        <f>IBA!J6/1000</f>
        <v>3455.928</v>
      </c>
      <c r="K5" s="38">
        <f>ÚVT!J6/1000</f>
        <v>39768.489</v>
      </c>
      <c r="L5" s="38">
        <f>VMU!J6/1000</f>
        <v>1712.579</v>
      </c>
      <c r="M5" s="38">
        <f>CJV!J6/1000</f>
        <v>15432.53</v>
      </c>
      <c r="N5" s="38">
        <f>CZS!J6/1000</f>
        <v>3812.708</v>
      </c>
      <c r="O5" s="38">
        <f>RMU!J6/1000</f>
        <v>56725.27833</v>
      </c>
      <c r="P5" s="222">
        <f aca="true" t="shared" si="2" ref="P5:P25">SUM(F5:O5)</f>
        <v>152852.54533</v>
      </c>
      <c r="Q5" s="48" t="e">
        <f>#REF!+#REF!+#REF!+#REF!+#REF!+#REF!+#REF!</f>
        <v>#REF!</v>
      </c>
    </row>
    <row r="6" spans="1:17" s="29" customFormat="1" ht="12">
      <c r="A6" s="241"/>
      <c r="B6" s="27"/>
      <c r="C6" s="27"/>
      <c r="D6" s="28" t="s">
        <v>18</v>
      </c>
      <c r="E6" s="246">
        <v>4</v>
      </c>
      <c r="F6" s="38">
        <f>SKM!J7/1000</f>
        <v>485.655</v>
      </c>
      <c r="G6" s="38">
        <f>SUKB!J7/1000</f>
        <v>0</v>
      </c>
      <c r="H6" s="38">
        <f>UCT!J7/1000</f>
        <v>139.912</v>
      </c>
      <c r="I6" s="38">
        <f>SPSSN!J7/1000</f>
        <v>46.67</v>
      </c>
      <c r="J6" s="38">
        <f>IBA!J7/1000</f>
        <v>4125.246</v>
      </c>
      <c r="K6" s="38">
        <f>ÚVT!J7/1000</f>
        <v>1639</v>
      </c>
      <c r="L6" s="38">
        <f>VMU!J7/1000</f>
        <v>100.8</v>
      </c>
      <c r="M6" s="38">
        <f>CJV!J7/1000</f>
        <v>729.9</v>
      </c>
      <c r="N6" s="38">
        <f>CZS!J7/1000</f>
        <v>371.282</v>
      </c>
      <c r="O6" s="38">
        <f>RMU!J7/1000</f>
        <v>2294.996</v>
      </c>
      <c r="P6" s="222">
        <f t="shared" si="2"/>
        <v>9933.461</v>
      </c>
      <c r="Q6" s="48" t="e">
        <f>SKM!#REF!</f>
        <v>#REF!</v>
      </c>
    </row>
    <row r="7" spans="1:17" s="29" customFormat="1" ht="12">
      <c r="A7" s="241"/>
      <c r="B7" s="27"/>
      <c r="C7" s="27"/>
      <c r="D7" s="28" t="s">
        <v>19</v>
      </c>
      <c r="E7" s="246">
        <v>5</v>
      </c>
      <c r="F7" s="38">
        <f>SKM!J8/1000</f>
        <v>10515.164</v>
      </c>
      <c r="G7" s="38">
        <f>SUKB!J8/1000</f>
        <v>0</v>
      </c>
      <c r="H7" s="38">
        <f>UCT!J8/1000</f>
        <v>417.429</v>
      </c>
      <c r="I7" s="38">
        <f>SPSSN!J8/1000</f>
        <v>409.215</v>
      </c>
      <c r="J7" s="38">
        <f>IBA!J8/1000</f>
        <v>1209.934</v>
      </c>
      <c r="K7" s="38">
        <f>ÚVT!J8/1000</f>
        <v>14414.854</v>
      </c>
      <c r="L7" s="38">
        <f>VMU!J8/1000</f>
        <v>634.684</v>
      </c>
      <c r="M7" s="38">
        <f>CJV!J8/1000</f>
        <v>5628.863</v>
      </c>
      <c r="N7" s="38">
        <f>CZS!J8/1000</f>
        <v>1380.052</v>
      </c>
      <c r="O7" s="38">
        <f>RMU!J8/1000</f>
        <v>20787.044670000003</v>
      </c>
      <c r="P7" s="222">
        <f t="shared" si="2"/>
        <v>55397.23967</v>
      </c>
      <c r="Q7" s="48" t="e">
        <f>SKM!#REF!</f>
        <v>#REF!</v>
      </c>
    </row>
    <row r="8" spans="1:17" s="29" customFormat="1" ht="12">
      <c r="A8" s="241"/>
      <c r="B8" s="27"/>
      <c r="C8" s="27"/>
      <c r="D8" s="28" t="s">
        <v>0</v>
      </c>
      <c r="E8" s="246">
        <v>6</v>
      </c>
      <c r="F8" s="38">
        <f>SKM!J9/1000</f>
        <v>28670.058979999998</v>
      </c>
      <c r="G8" s="38">
        <f>SUKB!J9/1000</f>
        <v>0.45982000000000006</v>
      </c>
      <c r="H8" s="38">
        <f>UCT!J9/1000</f>
        <v>971.2283399999999</v>
      </c>
      <c r="I8" s="38">
        <f>SPSSN!J9/1000</f>
        <v>10.6244</v>
      </c>
      <c r="J8" s="38">
        <f>IBA!J9/1000</f>
        <v>32.99543</v>
      </c>
      <c r="K8" s="38">
        <f>ÚVT!J9/1000</f>
        <v>2801.83918</v>
      </c>
      <c r="L8" s="38">
        <f>VMU!J9/1000</f>
        <v>204.40679999999998</v>
      </c>
      <c r="M8" s="38">
        <f>CJV!J9/1000</f>
        <v>25.949479999999998</v>
      </c>
      <c r="N8" s="38">
        <f>CZS!J9/1000</f>
        <v>85.59552000000001</v>
      </c>
      <c r="O8" s="38">
        <f>RMU!J9/1000</f>
        <v>3525.2140099999997</v>
      </c>
      <c r="P8" s="222">
        <f t="shared" si="2"/>
        <v>36328.371960000004</v>
      </c>
      <c r="Q8" s="48" t="e">
        <f>SKM!#REF!</f>
        <v>#REF!</v>
      </c>
    </row>
    <row r="9" spans="1:17" s="29" customFormat="1" ht="12">
      <c r="A9" s="241"/>
      <c r="B9" s="27"/>
      <c r="C9" s="27"/>
      <c r="D9" s="28" t="s">
        <v>1</v>
      </c>
      <c r="E9" s="246">
        <v>7</v>
      </c>
      <c r="F9" s="38">
        <f>SKM!J10/1000</f>
        <v>13074.77273</v>
      </c>
      <c r="G9" s="38">
        <f>SUKB!J10/1000</f>
        <v>37.63</v>
      </c>
      <c r="H9" s="38">
        <f>UCT!J10/1000</f>
        <v>260.3051</v>
      </c>
      <c r="I9" s="38">
        <f>SPSSN!J10/1000</f>
        <v>1.19</v>
      </c>
      <c r="J9" s="38">
        <f>IBA!J10/1000</f>
        <v>0</v>
      </c>
      <c r="K9" s="38">
        <f>ÚVT!J10/1000</f>
        <v>2480.6239</v>
      </c>
      <c r="L9" s="38">
        <f>VMU!J10/1000</f>
        <v>248.52589999999998</v>
      </c>
      <c r="M9" s="38">
        <f>CJV!J10/1000</f>
        <v>42.2455</v>
      </c>
      <c r="N9" s="38">
        <f>CZS!J10/1000</f>
        <v>6.2906</v>
      </c>
      <c r="O9" s="38">
        <f>RMU!J10/1000</f>
        <v>14562.361850000001</v>
      </c>
      <c r="P9" s="222">
        <f t="shared" si="2"/>
        <v>30713.945580000003</v>
      </c>
      <c r="Q9" s="48" t="e">
        <f>SKM!#REF!</f>
        <v>#REF!</v>
      </c>
    </row>
    <row r="10" spans="1:17" s="29" customFormat="1" ht="12">
      <c r="A10" s="241"/>
      <c r="B10" s="27"/>
      <c r="C10" s="27"/>
      <c r="D10" s="28" t="s">
        <v>2</v>
      </c>
      <c r="E10" s="246">
        <v>8</v>
      </c>
      <c r="F10" s="38">
        <f>SKM!J11/1000</f>
        <v>22085.35023</v>
      </c>
      <c r="G10" s="38">
        <f>SUKB!J11/1000</f>
        <v>8.2655</v>
      </c>
      <c r="H10" s="38">
        <f>UCT!J11/1000</f>
        <v>1073.25087</v>
      </c>
      <c r="I10" s="38">
        <f>SPSSN!J11/1000</f>
        <v>603.1913900000001</v>
      </c>
      <c r="J10" s="38">
        <f>IBA!J11/1000</f>
        <v>46.489940000000004</v>
      </c>
      <c r="K10" s="38">
        <f>ÚVT!J11/1000</f>
        <v>13110.76408</v>
      </c>
      <c r="L10" s="38">
        <f>VMU!J11/1000</f>
        <v>1078.53826</v>
      </c>
      <c r="M10" s="38">
        <f>CJV!J11/1000</f>
        <v>909.58425</v>
      </c>
      <c r="N10" s="38">
        <f>CZS!J11/1000</f>
        <v>814.99022</v>
      </c>
      <c r="O10" s="38">
        <f>RMU!J11/1000</f>
        <v>10586.59083</v>
      </c>
      <c r="P10" s="222">
        <f t="shared" si="2"/>
        <v>50317.01557</v>
      </c>
      <c r="Q10" s="48" t="e">
        <f>SKM!#REF!</f>
        <v>#REF!</v>
      </c>
    </row>
    <row r="11" spans="1:17" s="29" customFormat="1" ht="12">
      <c r="A11" s="241"/>
      <c r="B11" s="27"/>
      <c r="C11" s="27"/>
      <c r="D11" s="28" t="s">
        <v>3</v>
      </c>
      <c r="E11" s="246">
        <v>9</v>
      </c>
      <c r="F11" s="38">
        <f>SKM!J12/1000</f>
        <v>17429.51592</v>
      </c>
      <c r="G11" s="38">
        <f>SUKB!J12/1000</f>
        <v>0</v>
      </c>
      <c r="H11" s="38">
        <f>UCT!J12/1000</f>
        <v>109.6663</v>
      </c>
      <c r="I11" s="38">
        <f>SPSSN!J12/1000</f>
        <v>177.00773</v>
      </c>
      <c r="J11" s="38">
        <f>IBA!J12/1000</f>
        <v>1015.98765</v>
      </c>
      <c r="K11" s="38">
        <f>ÚVT!J12/1000</f>
        <v>20256.40043</v>
      </c>
      <c r="L11" s="38">
        <f>VMU!J12/1000</f>
        <v>882.97533</v>
      </c>
      <c r="M11" s="38">
        <f>CJV!J12/1000</f>
        <v>90.00557</v>
      </c>
      <c r="N11" s="38">
        <f>CZS!J12/1000</f>
        <v>1369.2303200000001</v>
      </c>
      <c r="O11" s="38">
        <f>RMU!J12/1000</f>
        <v>28402.609049999995</v>
      </c>
      <c r="P11" s="222">
        <f t="shared" si="2"/>
        <v>69733.3983</v>
      </c>
      <c r="Q11" s="48" t="e">
        <f>SKM!#REF!</f>
        <v>#REF!</v>
      </c>
    </row>
    <row r="12" spans="1:17" s="29" customFormat="1" ht="12">
      <c r="A12" s="241"/>
      <c r="B12" s="27"/>
      <c r="C12" s="27"/>
      <c r="D12" s="28" t="s">
        <v>4</v>
      </c>
      <c r="E12" s="246">
        <v>10</v>
      </c>
      <c r="F12" s="38">
        <f>SKM!J13/1000</f>
        <v>102.64383000000001</v>
      </c>
      <c r="G12" s="38">
        <f>SUKB!J13/1000</f>
        <v>0</v>
      </c>
      <c r="H12" s="38">
        <f>UCT!J13/1000</f>
        <v>17.126900000000003</v>
      </c>
      <c r="I12" s="38">
        <f>SPSSN!J13/1000</f>
        <v>20.727439999999998</v>
      </c>
      <c r="J12" s="38">
        <f>IBA!J13/1000</f>
        <v>397.85254000000003</v>
      </c>
      <c r="K12" s="38">
        <f>ÚVT!J13/1000</f>
        <v>908.15105</v>
      </c>
      <c r="L12" s="38">
        <f>VMU!J13/1000</f>
        <v>0</v>
      </c>
      <c r="M12" s="38">
        <f>CJV!J13/1000</f>
        <v>43.646300000000004</v>
      </c>
      <c r="N12" s="38">
        <f>CZS!J13/1000</f>
        <v>680.04446</v>
      </c>
      <c r="O12" s="38">
        <f>RMU!J13/1000</f>
        <v>1910.4810800000002</v>
      </c>
      <c r="P12" s="222">
        <f t="shared" si="2"/>
        <v>4080.6736</v>
      </c>
      <c r="Q12" s="48" t="e">
        <f>SKM!#REF!</f>
        <v>#REF!</v>
      </c>
    </row>
    <row r="13" spans="1:17" s="29" customFormat="1" ht="13.5">
      <c r="A13" s="241"/>
      <c r="B13" s="27"/>
      <c r="C13" s="27"/>
      <c r="D13" s="28" t="s">
        <v>178</v>
      </c>
      <c r="E13" s="246">
        <v>11</v>
      </c>
      <c r="F13" s="38">
        <f>SKM!J14/1000</f>
        <v>10651.9949</v>
      </c>
      <c r="G13" s="38">
        <f>SUKB!J14/1000</f>
        <v>14554.771</v>
      </c>
      <c r="H13" s="38">
        <f>UCT!J14/1000</f>
        <v>398.676</v>
      </c>
      <c r="I13" s="38">
        <f>SPSSN!J14/1000</f>
        <v>379.074</v>
      </c>
      <c r="J13" s="38">
        <f>IBA!J14/1000</f>
        <v>190.235</v>
      </c>
      <c r="K13" s="38">
        <f>ÚVT!J14/1000</f>
        <v>34514.79865</v>
      </c>
      <c r="L13" s="38">
        <f>VMU!J14/1000</f>
        <v>377.1841</v>
      </c>
      <c r="M13" s="38">
        <f>CJV!J14/1000</f>
        <v>43.422650000000004</v>
      </c>
      <c r="N13" s="38">
        <f>CZS!J14/1000</f>
        <v>80.543</v>
      </c>
      <c r="O13" s="38">
        <f>RMU!J14/1000</f>
        <v>3895.95648</v>
      </c>
      <c r="P13" s="222">
        <f t="shared" si="2"/>
        <v>65086.655779999994</v>
      </c>
      <c r="Q13" s="48" t="e">
        <f>SKM!#REF!</f>
        <v>#REF!</v>
      </c>
    </row>
    <row r="14" spans="1:17" s="29" customFormat="1" ht="12">
      <c r="A14" s="241"/>
      <c r="B14" s="27"/>
      <c r="C14" s="27"/>
      <c r="D14" s="28" t="s">
        <v>6</v>
      </c>
      <c r="E14" s="246">
        <v>12</v>
      </c>
      <c r="F14" s="38">
        <f>SKM!J15/1000</f>
        <v>0</v>
      </c>
      <c r="G14" s="38">
        <f>SUKB!J15/1000</f>
        <v>0</v>
      </c>
      <c r="H14" s="38">
        <f>UCT!J15/1000</f>
        <v>0</v>
      </c>
      <c r="I14" s="38">
        <f>SPSSN!J15/1000</f>
        <v>0</v>
      </c>
      <c r="J14" s="38">
        <f>IBA!J15/1000</f>
        <v>0</v>
      </c>
      <c r="K14" s="38">
        <f>ÚVT!J15/1000</f>
        <v>0</v>
      </c>
      <c r="L14" s="38">
        <f>VMU!J15/1000</f>
        <v>0</v>
      </c>
      <c r="M14" s="38">
        <f>CJV!J15/1000</f>
        <v>0</v>
      </c>
      <c r="N14" s="38">
        <f>CZS!J15/1000</f>
        <v>1165.5105</v>
      </c>
      <c r="O14" s="38">
        <f>RMU!J15/1000</f>
        <v>3430.423</v>
      </c>
      <c r="P14" s="222">
        <f t="shared" si="2"/>
        <v>4595.9335</v>
      </c>
      <c r="Q14" s="48" t="e">
        <f>SKM!#REF!</f>
        <v>#REF!</v>
      </c>
    </row>
    <row r="15" spans="1:17" s="29" customFormat="1" ht="12">
      <c r="A15" s="241"/>
      <c r="B15" s="28"/>
      <c r="C15" s="28"/>
      <c r="D15" s="28" t="s">
        <v>9</v>
      </c>
      <c r="E15" s="246">
        <v>13</v>
      </c>
      <c r="F15" s="38">
        <f>SKM!J16/1000</f>
        <v>-5731.84119</v>
      </c>
      <c r="G15" s="38">
        <f>SUKB!J16/1000</f>
        <v>0.10684</v>
      </c>
      <c r="H15" s="38">
        <f>UCT!J16/1000</f>
        <v>216.03026</v>
      </c>
      <c r="I15" s="38">
        <f>SPSSN!J16/1000</f>
        <v>225.34396</v>
      </c>
      <c r="J15" s="38">
        <f>IBA!J16/1000</f>
        <v>19153.05269</v>
      </c>
      <c r="K15" s="38">
        <f>ÚVT!J16/1000</f>
        <v>4805.12087</v>
      </c>
      <c r="L15" s="38">
        <f>VMU!J16/1000</f>
        <v>-5064.340440000001</v>
      </c>
      <c r="M15" s="38">
        <f>CJV!J16/1000</f>
        <v>133.61910999999998</v>
      </c>
      <c r="N15" s="38">
        <f>CZS!J16/1000</f>
        <v>2025.43763</v>
      </c>
      <c r="O15" s="38">
        <f>RMU!J16/1000</f>
        <v>178648.9659</v>
      </c>
      <c r="P15" s="222">
        <f t="shared" si="2"/>
        <v>194411.49563000002</v>
      </c>
      <c r="Q15" s="48" t="e">
        <f>SKM!#REF!</f>
        <v>#REF!</v>
      </c>
    </row>
    <row r="16" spans="1:17" ht="12">
      <c r="A16" s="240"/>
      <c r="B16" s="4" t="s">
        <v>14</v>
      </c>
      <c r="C16" s="3"/>
      <c r="D16" s="3"/>
      <c r="E16" s="246">
        <v>14</v>
      </c>
      <c r="F16" s="224">
        <f>SKM!J17/1000</f>
        <v>0</v>
      </c>
      <c r="G16" s="224">
        <f>SUKB!J17/1000</f>
        <v>0</v>
      </c>
      <c r="H16" s="224">
        <f>UCT!J17/1000</f>
        <v>0</v>
      </c>
      <c r="I16" s="224">
        <f>SPSSN!J17/1000</f>
        <v>0</v>
      </c>
      <c r="J16" s="224">
        <f>IBA!J17/1000</f>
        <v>0</v>
      </c>
      <c r="K16" s="224">
        <f>ÚVT!J17/1000</f>
        <v>0</v>
      </c>
      <c r="L16" s="224">
        <f>VMU!J17/1000</f>
        <v>0</v>
      </c>
      <c r="M16" s="224">
        <f>CJV!J17/1000</f>
        <v>0</v>
      </c>
      <c r="N16" s="224">
        <f>CZS!J17/1000</f>
        <v>0</v>
      </c>
      <c r="O16" s="224">
        <f>RMU!J17/1000</f>
        <v>0</v>
      </c>
      <c r="P16" s="289">
        <f t="shared" si="2"/>
        <v>0</v>
      </c>
      <c r="Q16" s="49" t="e">
        <f>SKM!#REF!</f>
        <v>#REF!</v>
      </c>
    </row>
    <row r="17" spans="1:17" ht="12">
      <c r="A17" s="240"/>
      <c r="B17" s="4" t="s">
        <v>15</v>
      </c>
      <c r="C17" s="3"/>
      <c r="D17" s="3"/>
      <c r="E17" s="246">
        <v>15</v>
      </c>
      <c r="F17" s="224">
        <f>SKM!J18/1000</f>
        <v>731</v>
      </c>
      <c r="G17" s="224">
        <f>SUKB!J18/1000</f>
        <v>0</v>
      </c>
      <c r="H17" s="224">
        <f>UCT!J18/1000</f>
        <v>0</v>
      </c>
      <c r="I17" s="224">
        <f>SPSSN!J18/1000</f>
        <v>0</v>
      </c>
      <c r="J17" s="224">
        <f>IBA!J18/1000</f>
        <v>0</v>
      </c>
      <c r="K17" s="224">
        <f>ÚVT!J18/1000</f>
        <v>0</v>
      </c>
      <c r="L17" s="224">
        <f>VMU!J18/1000</f>
        <v>0</v>
      </c>
      <c r="M17" s="224">
        <f>CJV!J18/1000</f>
        <v>0</v>
      </c>
      <c r="N17" s="224">
        <f>CZS!J18/1000</f>
        <v>25126.890760000002</v>
      </c>
      <c r="O17" s="224">
        <f>RMU!J18/1000</f>
        <v>0</v>
      </c>
      <c r="P17" s="289">
        <f t="shared" si="2"/>
        <v>25857.890760000002</v>
      </c>
      <c r="Q17" s="49" t="e">
        <f>SKM!#REF!</f>
        <v>#REF!</v>
      </c>
    </row>
    <row r="18" spans="1:17" ht="12">
      <c r="A18" s="240"/>
      <c r="B18" s="4" t="s">
        <v>20</v>
      </c>
      <c r="C18" s="3"/>
      <c r="D18" s="3"/>
      <c r="E18" s="246">
        <v>16</v>
      </c>
      <c r="F18" s="224">
        <f>SKM!J19/1000</f>
        <v>0</v>
      </c>
      <c r="G18" s="224">
        <f>SUKB!J19/1000</f>
        <v>0</v>
      </c>
      <c r="H18" s="224">
        <f>UCT!J19/1000</f>
        <v>0</v>
      </c>
      <c r="I18" s="224">
        <f>SPSSN!J19/1000</f>
        <v>8120</v>
      </c>
      <c r="J18" s="224">
        <f>IBA!J19/1000</f>
        <v>0</v>
      </c>
      <c r="K18" s="224">
        <f>ÚVT!J19/1000</f>
        <v>15907.63974</v>
      </c>
      <c r="L18" s="224">
        <f>VMU!J19/1000</f>
        <v>0</v>
      </c>
      <c r="M18" s="224">
        <f>CJV!J19/1000</f>
        <v>2223.095</v>
      </c>
      <c r="N18" s="224">
        <f>CZS!J19/1000</f>
        <v>4800</v>
      </c>
      <c r="O18" s="224">
        <f>RMU!J19/1000</f>
        <v>10725.241</v>
      </c>
      <c r="P18" s="289">
        <f t="shared" si="2"/>
        <v>41775.97574</v>
      </c>
      <c r="Q18" s="49" t="e">
        <f>SKM!#REF!</f>
        <v>#REF!</v>
      </c>
    </row>
    <row r="19" spans="1:17" ht="12">
      <c r="A19" s="240"/>
      <c r="B19" s="4" t="s">
        <v>16</v>
      </c>
      <c r="C19" s="3"/>
      <c r="D19" s="3"/>
      <c r="E19" s="246">
        <v>17</v>
      </c>
      <c r="F19" s="224">
        <f>SKM!J20/1000</f>
        <v>0</v>
      </c>
      <c r="G19" s="224">
        <f>SUKB!J20/1000</f>
        <v>0</v>
      </c>
      <c r="H19" s="224">
        <f>UCT!J20/1000</f>
        <v>0</v>
      </c>
      <c r="I19" s="224">
        <f>SPSSN!J20/1000</f>
        <v>0</v>
      </c>
      <c r="J19" s="224">
        <f>IBA!J20/1000</f>
        <v>0</v>
      </c>
      <c r="K19" s="224">
        <f>ÚVT!J20/1000</f>
        <v>0</v>
      </c>
      <c r="L19" s="224">
        <f>VMU!J20/1000</f>
        <v>0</v>
      </c>
      <c r="M19" s="224">
        <f>CJV!J20/1000</f>
        <v>0</v>
      </c>
      <c r="N19" s="224">
        <f>CZS!J20/1000</f>
        <v>0</v>
      </c>
      <c r="O19" s="224">
        <f>RMU!J20/1000</f>
        <v>0</v>
      </c>
      <c r="P19" s="289">
        <f t="shared" si="2"/>
        <v>0</v>
      </c>
      <c r="Q19" s="49" t="e">
        <f>SKM!#REF!</f>
        <v>#REF!</v>
      </c>
    </row>
    <row r="20" spans="1:17" ht="12">
      <c r="A20" s="240"/>
      <c r="B20" s="4" t="s">
        <v>24</v>
      </c>
      <c r="C20" s="4"/>
      <c r="D20" s="4"/>
      <c r="E20" s="246">
        <v>18</v>
      </c>
      <c r="F20" s="224">
        <f>SKM!J21/1000</f>
        <v>0</v>
      </c>
      <c r="G20" s="224">
        <f>SUKB!J21/1000</f>
        <v>0</v>
      </c>
      <c r="H20" s="224">
        <f>UCT!J21/1000</f>
        <v>0</v>
      </c>
      <c r="I20" s="224">
        <f>SPSSN!J21/1000</f>
        <v>0</v>
      </c>
      <c r="J20" s="224">
        <f>IBA!J21/1000</f>
        <v>0</v>
      </c>
      <c r="K20" s="224">
        <f>ÚVT!J21/1000</f>
        <v>0</v>
      </c>
      <c r="L20" s="224">
        <f>VMU!J21/1000</f>
        <v>0</v>
      </c>
      <c r="M20" s="224">
        <f>CJV!J21/1000</f>
        <v>0</v>
      </c>
      <c r="N20" s="224">
        <f>CZS!J21/1000</f>
        <v>0</v>
      </c>
      <c r="O20" s="224">
        <f>RMU!J21/1000</f>
        <v>4934.780465454545</v>
      </c>
      <c r="P20" s="289">
        <f t="shared" si="2"/>
        <v>4934.780465454545</v>
      </c>
      <c r="Q20" s="49" t="e">
        <f>SKM!#REF!</f>
        <v>#REF!</v>
      </c>
    </row>
    <row r="21" spans="1:17" ht="12">
      <c r="A21" s="240"/>
      <c r="B21" s="4" t="s">
        <v>31</v>
      </c>
      <c r="C21" s="4"/>
      <c r="D21" s="4"/>
      <c r="E21" s="246">
        <v>19</v>
      </c>
      <c r="F21" s="224">
        <f>SKM!J22/1000</f>
        <v>0</v>
      </c>
      <c r="G21" s="224">
        <f>SUKB!J22/1000</f>
        <v>0</v>
      </c>
      <c r="H21" s="224">
        <f>UCT!J22/1000</f>
        <v>0</v>
      </c>
      <c r="I21" s="224">
        <f>SPSSN!J22/1000</f>
        <v>4452.015530000001</v>
      </c>
      <c r="J21" s="224">
        <f>IBA!J22/1000</f>
        <v>0</v>
      </c>
      <c r="K21" s="224">
        <f>ÚVT!J22/1000</f>
        <v>811.62</v>
      </c>
      <c r="L21" s="224">
        <f>VMU!J22/1000</f>
        <v>0</v>
      </c>
      <c r="M21" s="224">
        <f>CJV!J22/1000</f>
        <v>2545.5381</v>
      </c>
      <c r="N21" s="224">
        <f>CZS!J22/1000</f>
        <v>17315.470739999997</v>
      </c>
      <c r="O21" s="224">
        <f>RMU!J22/1000</f>
        <v>3297.25386</v>
      </c>
      <c r="P21" s="289">
        <f t="shared" si="2"/>
        <v>28421.89823</v>
      </c>
      <c r="Q21" s="49" t="e">
        <f>SKM!#REF!</f>
        <v>#REF!</v>
      </c>
    </row>
    <row r="22" spans="1:17" ht="12">
      <c r="A22" s="240"/>
      <c r="B22" s="4" t="s">
        <v>25</v>
      </c>
      <c r="C22" s="4"/>
      <c r="D22" s="4"/>
      <c r="E22" s="246">
        <v>20</v>
      </c>
      <c r="F22" s="224">
        <f>SKM!J23/1000</f>
        <v>0</v>
      </c>
      <c r="G22" s="224">
        <f>SUKB!J23/1000</f>
        <v>0</v>
      </c>
      <c r="H22" s="224">
        <f>UCT!J23/1000</f>
        <v>0</v>
      </c>
      <c r="I22" s="224">
        <f>SPSSN!J23/1000</f>
        <v>0</v>
      </c>
      <c r="J22" s="224">
        <f>IBA!J23/1000</f>
        <v>0</v>
      </c>
      <c r="K22" s="224">
        <f>ÚVT!J23/1000</f>
        <v>1111.13661</v>
      </c>
      <c r="L22" s="224">
        <f>VMU!J23/1000</f>
        <v>0</v>
      </c>
      <c r="M22" s="224">
        <f>CJV!J23/1000</f>
        <v>0</v>
      </c>
      <c r="N22" s="224">
        <f>CZS!J23/1000</f>
        <v>0</v>
      </c>
      <c r="O22" s="224">
        <f>RMU!J23/1000</f>
        <v>0</v>
      </c>
      <c r="P22" s="289">
        <f t="shared" si="2"/>
        <v>1111.13661</v>
      </c>
      <c r="Q22" s="49" t="e">
        <f>SKM!#REF!</f>
        <v>#REF!</v>
      </c>
    </row>
    <row r="23" spans="1:17" ht="12">
      <c r="A23" s="240"/>
      <c r="B23" s="4" t="s">
        <v>26</v>
      </c>
      <c r="C23" s="4"/>
      <c r="D23" s="4"/>
      <c r="E23" s="246">
        <v>21</v>
      </c>
      <c r="F23" s="224">
        <f>SKM!J24/1000</f>
        <v>0</v>
      </c>
      <c r="G23" s="224">
        <f>SUKB!J24/1000</f>
        <v>0</v>
      </c>
      <c r="H23" s="224">
        <f>UCT!J24/1000</f>
        <v>0</v>
      </c>
      <c r="I23" s="224">
        <f>SPSSN!J24/1000</f>
        <v>0</v>
      </c>
      <c r="J23" s="224">
        <f>IBA!J24/1000</f>
        <v>0</v>
      </c>
      <c r="K23" s="224">
        <f>ÚVT!J24/1000</f>
        <v>12068</v>
      </c>
      <c r="L23" s="224">
        <f>VMU!J24/1000</f>
        <v>0</v>
      </c>
      <c r="M23" s="224">
        <f>CJV!J24/1000</f>
        <v>10.087</v>
      </c>
      <c r="N23" s="224">
        <f>CZS!J24/1000</f>
        <v>0</v>
      </c>
      <c r="O23" s="224">
        <f>RMU!J24/1000</f>
        <v>100</v>
      </c>
      <c r="P23" s="289">
        <f t="shared" si="2"/>
        <v>12178.087</v>
      </c>
      <c r="Q23" s="49" t="e">
        <f>SKM!#REF!</f>
        <v>#REF!</v>
      </c>
    </row>
    <row r="24" spans="1:17" ht="12">
      <c r="A24" s="240"/>
      <c r="B24" s="4" t="s">
        <v>27</v>
      </c>
      <c r="C24" s="4"/>
      <c r="D24" s="4"/>
      <c r="E24" s="246">
        <v>22</v>
      </c>
      <c r="F24" s="224">
        <f>SKM!J25/1000</f>
        <v>0</v>
      </c>
      <c r="G24" s="224">
        <f>SUKB!J25/1000</f>
        <v>0</v>
      </c>
      <c r="H24" s="224">
        <f>UCT!J25/1000</f>
        <v>0</v>
      </c>
      <c r="I24" s="224">
        <f>SPSSN!J25/1000</f>
        <v>0</v>
      </c>
      <c r="J24" s="224">
        <f>IBA!J25/1000</f>
        <v>0</v>
      </c>
      <c r="K24" s="224">
        <f>ÚVT!J25/1000</f>
        <v>4094.96083</v>
      </c>
      <c r="L24" s="224">
        <f>VMU!J25/1000</f>
        <v>0</v>
      </c>
      <c r="M24" s="224">
        <f>CJV!J25/1000</f>
        <v>0</v>
      </c>
      <c r="N24" s="224">
        <f>CZS!J25/1000</f>
        <v>0</v>
      </c>
      <c r="O24" s="224">
        <f>RMU!J25/1000</f>
        <v>0</v>
      </c>
      <c r="P24" s="289">
        <f t="shared" si="2"/>
        <v>4094.96083</v>
      </c>
      <c r="Q24" s="49" t="e">
        <f>SKM!#REF!</f>
        <v>#REF!</v>
      </c>
    </row>
    <row r="25" spans="1:17" ht="12.75" thickBot="1">
      <c r="A25" s="240"/>
      <c r="B25" s="95" t="s">
        <v>30</v>
      </c>
      <c r="C25" s="95"/>
      <c r="D25" s="95"/>
      <c r="E25" s="247">
        <v>23</v>
      </c>
      <c r="F25" s="280">
        <f>SKM!J26/1000</f>
        <v>24657.553780000002</v>
      </c>
      <c r="G25" s="280">
        <f>SUKB!J26/1000</f>
        <v>0</v>
      </c>
      <c r="H25" s="280">
        <f>UCT!J26/1000</f>
        <v>0</v>
      </c>
      <c r="I25" s="280">
        <f>SPSSN!J26/1000</f>
        <v>0</v>
      </c>
      <c r="J25" s="280">
        <f>IBA!J26/1000</f>
        <v>5369.853190000001</v>
      </c>
      <c r="K25" s="280">
        <f>ÚVT!J26/1000</f>
        <v>18740.373620000002</v>
      </c>
      <c r="L25" s="280">
        <f>VMU!J26/1000</f>
        <v>841.3663500000001</v>
      </c>
      <c r="M25" s="280">
        <f>CJV!J26/1000</f>
        <v>0</v>
      </c>
      <c r="N25" s="280">
        <f>CZS!J26/1000</f>
        <v>0</v>
      </c>
      <c r="O25" s="280">
        <f>RMU!J26/1000</f>
        <v>1518.07478</v>
      </c>
      <c r="P25" s="291">
        <f t="shared" si="2"/>
        <v>51127.22172000001</v>
      </c>
      <c r="Q25" s="49" t="e">
        <f>SKM!#REF!</f>
        <v>#REF!</v>
      </c>
    </row>
    <row r="26" spans="1:17" ht="13.5" thickBot="1">
      <c r="A26" s="239" t="s">
        <v>158</v>
      </c>
      <c r="B26" s="171"/>
      <c r="C26" s="171"/>
      <c r="D26" s="171"/>
      <c r="E26" s="245">
        <v>24</v>
      </c>
      <c r="F26" s="262">
        <f aca="true" t="shared" si="3" ref="F26:Q26">SUM(F27:F41)</f>
        <v>155220.33462</v>
      </c>
      <c r="G26" s="262">
        <f t="shared" si="3"/>
        <v>14605.4555</v>
      </c>
      <c r="H26" s="262">
        <f t="shared" si="3"/>
        <v>4959.56799</v>
      </c>
      <c r="I26" s="262">
        <f t="shared" si="3"/>
        <v>15715.75473</v>
      </c>
      <c r="J26" s="262">
        <f t="shared" si="3"/>
        <v>35148.964349999995</v>
      </c>
      <c r="K26" s="262">
        <f t="shared" si="3"/>
        <v>190570.43438</v>
      </c>
      <c r="L26" s="262">
        <f t="shared" si="3"/>
        <v>1041.91213</v>
      </c>
      <c r="M26" s="262">
        <f t="shared" si="3"/>
        <v>27943.90103</v>
      </c>
      <c r="N26" s="262">
        <f t="shared" si="3"/>
        <v>59525.2272</v>
      </c>
      <c r="O26" s="262">
        <f t="shared" si="3"/>
        <v>359278.92083</v>
      </c>
      <c r="P26" s="255">
        <f t="shared" si="3"/>
        <v>864010.4727600003</v>
      </c>
      <c r="Q26" s="50" t="e">
        <f t="shared" si="3"/>
        <v>#REF!</v>
      </c>
    </row>
    <row r="27" spans="1:18" ht="13.5">
      <c r="A27" s="240" t="s">
        <v>10</v>
      </c>
      <c r="B27" s="3" t="s">
        <v>179</v>
      </c>
      <c r="C27" s="3"/>
      <c r="D27" s="3"/>
      <c r="E27" s="246">
        <v>25</v>
      </c>
      <c r="F27" s="224">
        <f>SKM!J28/1000</f>
        <v>0</v>
      </c>
      <c r="G27" s="224">
        <f>SUKB!J28/1000</f>
        <v>0</v>
      </c>
      <c r="H27" s="224">
        <f>UCT!J28/1000</f>
        <v>3895</v>
      </c>
      <c r="I27" s="224">
        <f>SPSSN!J28/1000</f>
        <v>2040</v>
      </c>
      <c r="J27" s="224">
        <f>IBA!J28/1000</f>
        <v>0</v>
      </c>
      <c r="K27" s="224">
        <f>ÚVT!J28/1000</f>
        <v>116968</v>
      </c>
      <c r="L27" s="224">
        <f>VMU!J28/1000</f>
        <v>0</v>
      </c>
      <c r="M27" s="224">
        <f>CJV!J28/1000</f>
        <v>22810</v>
      </c>
      <c r="N27" s="224">
        <f>CZS!J28/1000</f>
        <v>7524</v>
      </c>
      <c r="O27" s="224">
        <f>RMU!J28/1000</f>
        <v>196978.665</v>
      </c>
      <c r="P27" s="289">
        <f aca="true" t="shared" si="4" ref="P27:P41">SUM(F27:O27)</f>
        <v>350215.66500000004</v>
      </c>
      <c r="Q27" s="49" t="e">
        <f>SKM!#REF!</f>
        <v>#REF!</v>
      </c>
      <c r="R27" s="465">
        <f>SKM!P28+SUKB!V28+UCT!L28+SPSSN!L28+ÚVT!P28+VMU!P28+CJV!P28+CZS!P28+RMU!Y28</f>
        <v>998515</v>
      </c>
    </row>
    <row r="28" spans="1:18" ht="12">
      <c r="A28" s="240"/>
      <c r="B28" s="4" t="s">
        <v>14</v>
      </c>
      <c r="C28" s="4"/>
      <c r="D28" s="4"/>
      <c r="E28" s="246">
        <v>26</v>
      </c>
      <c r="F28" s="224">
        <f>SKM!J29/1000</f>
        <v>0</v>
      </c>
      <c r="G28" s="224">
        <f>SUKB!J29/1000</f>
        <v>0</v>
      </c>
      <c r="H28" s="224">
        <f>UCT!J29/1000</f>
        <v>0</v>
      </c>
      <c r="I28" s="224">
        <f>SPSSN!J29/1000</f>
        <v>0</v>
      </c>
      <c r="J28" s="224">
        <f>IBA!J29/1000</f>
        <v>0</v>
      </c>
      <c r="K28" s="224">
        <f>ÚVT!J29/1000</f>
        <v>0</v>
      </c>
      <c r="L28" s="224">
        <f>VMU!J29/1000</f>
        <v>0</v>
      </c>
      <c r="M28" s="224">
        <f>CJV!J29/1000</f>
        <v>0</v>
      </c>
      <c r="N28" s="224">
        <f>CZS!J29/1000</f>
        <v>0</v>
      </c>
      <c r="O28" s="224">
        <f>RMU!J29/1000</f>
        <v>0</v>
      </c>
      <c r="P28" s="289">
        <f t="shared" si="4"/>
        <v>0</v>
      </c>
      <c r="Q28" s="49" t="e">
        <f>SKM!#REF!</f>
        <v>#REF!</v>
      </c>
      <c r="R28" s="465">
        <f>SKM!P29+SUKB!V29+UCT!L29+SPSSN!L29+ÚVT!P29+VMU!P29+CJV!P29+CZS!P29+RMU!Y29</f>
        <v>0</v>
      </c>
    </row>
    <row r="29" spans="1:18" ht="12">
      <c r="A29" s="240"/>
      <c r="B29" s="4" t="s">
        <v>15</v>
      </c>
      <c r="C29" s="4"/>
      <c r="D29" s="4"/>
      <c r="E29" s="246">
        <v>27</v>
      </c>
      <c r="F29" s="224">
        <f>SKM!J30/1000</f>
        <v>731</v>
      </c>
      <c r="G29" s="224">
        <f>SUKB!J30/1000</f>
        <v>0</v>
      </c>
      <c r="H29" s="224">
        <f>UCT!J30/1000</f>
        <v>0</v>
      </c>
      <c r="I29" s="224">
        <f>SPSSN!J30/1000</f>
        <v>0</v>
      </c>
      <c r="J29" s="224">
        <f>IBA!J30/1000</f>
        <v>0</v>
      </c>
      <c r="K29" s="224">
        <f>ÚVT!J30/1000</f>
        <v>0</v>
      </c>
      <c r="L29" s="224">
        <f>VMU!J30/1000</f>
        <v>0</v>
      </c>
      <c r="M29" s="224">
        <f>CJV!J30/1000</f>
        <v>0</v>
      </c>
      <c r="N29" s="224">
        <f>CZS!J30/1000</f>
        <v>25126.890760000002</v>
      </c>
      <c r="O29" s="224">
        <f>RMU!J30/1000</f>
        <v>0</v>
      </c>
      <c r="P29" s="289">
        <f t="shared" si="4"/>
        <v>25857.890760000002</v>
      </c>
      <c r="Q29" s="49" t="e">
        <f>SKM!#REF!</f>
        <v>#REF!</v>
      </c>
      <c r="R29" s="465">
        <f>SKM!P30+SUKB!V30+UCT!L30+SPSSN!L30+ÚVT!P30+VMU!P30+CJV!P30+CZS!P30+RMU!Y30</f>
        <v>0</v>
      </c>
    </row>
    <row r="30" spans="1:18" ht="12">
      <c r="A30" s="240"/>
      <c r="B30" s="4" t="s">
        <v>20</v>
      </c>
      <c r="C30" s="3"/>
      <c r="D30" s="3"/>
      <c r="E30" s="246">
        <v>28</v>
      </c>
      <c r="F30" s="224">
        <f>SKM!J31/1000</f>
        <v>0</v>
      </c>
      <c r="G30" s="224">
        <f>SUKB!J31/1000</f>
        <v>0</v>
      </c>
      <c r="H30" s="224">
        <f>UCT!J31/1000</f>
        <v>0</v>
      </c>
      <c r="I30" s="224">
        <f>SPSSN!J31/1000</f>
        <v>8120</v>
      </c>
      <c r="J30" s="224">
        <f>IBA!J31/1000</f>
        <v>0</v>
      </c>
      <c r="K30" s="224">
        <f>ÚVT!J31/1000</f>
        <v>15907.63974</v>
      </c>
      <c r="L30" s="224">
        <f>VMU!J31/1000</f>
        <v>0</v>
      </c>
      <c r="M30" s="224">
        <f>CJV!J31/1000</f>
        <v>2223.095</v>
      </c>
      <c r="N30" s="224">
        <f>CZS!J31/1000</f>
        <v>4800</v>
      </c>
      <c r="O30" s="224">
        <f>RMU!J31/1000</f>
        <v>10725.241</v>
      </c>
      <c r="P30" s="289">
        <f t="shared" si="4"/>
        <v>41775.97574</v>
      </c>
      <c r="Q30" s="49" t="e">
        <f>SKM!#REF!</f>
        <v>#REF!</v>
      </c>
      <c r="R30" s="465">
        <f>SKM!P31+SUKB!V31+UCT!L31+SPSSN!L31+ÚVT!P31+VMU!P31+CJV!P31+CZS!P31+RMU!Y31</f>
        <v>0</v>
      </c>
    </row>
    <row r="31" spans="1:18" ht="12">
      <c r="A31" s="240"/>
      <c r="B31" s="4" t="s">
        <v>16</v>
      </c>
      <c r="C31" s="4"/>
      <c r="D31" s="4"/>
      <c r="E31" s="246">
        <v>29</v>
      </c>
      <c r="F31" s="224">
        <f>SKM!J32/1000</f>
        <v>0</v>
      </c>
      <c r="G31" s="224">
        <f>SUKB!J32/1000</f>
        <v>0</v>
      </c>
      <c r="H31" s="224">
        <f>UCT!J32/1000</f>
        <v>0</v>
      </c>
      <c r="I31" s="224">
        <f>SPSSN!J32/1000</f>
        <v>0</v>
      </c>
      <c r="J31" s="224">
        <f>IBA!J32/1000</f>
        <v>0</v>
      </c>
      <c r="K31" s="224">
        <f>ÚVT!J32/1000</f>
        <v>0</v>
      </c>
      <c r="L31" s="224">
        <f>VMU!J32/1000</f>
        <v>0</v>
      </c>
      <c r="M31" s="224">
        <f>CJV!J32/1000</f>
        <v>0</v>
      </c>
      <c r="N31" s="224">
        <f>CZS!J32/1000</f>
        <v>0</v>
      </c>
      <c r="O31" s="224">
        <f>RMU!J32/1000</f>
        <v>0</v>
      </c>
      <c r="P31" s="289">
        <f t="shared" si="4"/>
        <v>0</v>
      </c>
      <c r="Q31" s="49" t="e">
        <f>SKM!#REF!</f>
        <v>#REF!</v>
      </c>
      <c r="R31" s="465">
        <f>SKM!P32+SUKB!V32+UCT!L32+SPSSN!L32+ÚVT!P32+VMU!P32+CJV!P32+CZS!P32+RMU!Y32</f>
        <v>0</v>
      </c>
    </row>
    <row r="32" spans="1:18" ht="12">
      <c r="A32" s="240"/>
      <c r="B32" s="4" t="s">
        <v>222</v>
      </c>
      <c r="C32" s="4"/>
      <c r="D32" s="4"/>
      <c r="E32" s="246">
        <v>30</v>
      </c>
      <c r="F32" s="224">
        <f>SKM!J33/1000</f>
        <v>16674</v>
      </c>
      <c r="G32" s="224">
        <f>SUKB!J33/1000</f>
        <v>0</v>
      </c>
      <c r="H32" s="224">
        <f>UCT!J33/1000</f>
        <v>0</v>
      </c>
      <c r="I32" s="224">
        <f>SPSSN!J33/1000</f>
        <v>0</v>
      </c>
      <c r="J32" s="224">
        <f>IBA!J33/1000</f>
        <v>0</v>
      </c>
      <c r="K32" s="224">
        <f>ÚVT!J33/1000</f>
        <v>0</v>
      </c>
      <c r="L32" s="224">
        <f>VMU!J33/1000</f>
        <v>0</v>
      </c>
      <c r="M32" s="224">
        <f>CJV!J33/1000</f>
        <v>0</v>
      </c>
      <c r="N32" s="224">
        <f>CZS!J33/1000</f>
        <v>0</v>
      </c>
      <c r="O32" s="224">
        <f>RMU!J33/1000</f>
        <v>86533.037</v>
      </c>
      <c r="P32" s="289">
        <f t="shared" si="4"/>
        <v>103207.037</v>
      </c>
      <c r="Q32" s="49" t="e">
        <f>SKM!#REF!</f>
        <v>#REF!</v>
      </c>
      <c r="R32" s="465">
        <f>SKM!P33+SUKB!V33+UCT!L33+SPSSN!L33+ÚVT!P33+VMU!P33+CJV!P33+CZS!P33+RMU!Y33</f>
        <v>20037</v>
      </c>
    </row>
    <row r="33" spans="1:18" ht="12">
      <c r="A33" s="240"/>
      <c r="B33" s="4" t="s">
        <v>24</v>
      </c>
      <c r="C33" s="4"/>
      <c r="D33" s="4"/>
      <c r="E33" s="246">
        <v>31</v>
      </c>
      <c r="F33" s="224">
        <f>SKM!J34/1000</f>
        <v>0</v>
      </c>
      <c r="G33" s="224">
        <f>SUKB!J34/1000</f>
        <v>0</v>
      </c>
      <c r="H33" s="224">
        <f>UCT!J34/1000</f>
        <v>0</v>
      </c>
      <c r="I33" s="224">
        <f>SPSSN!J34/1000</f>
        <v>0</v>
      </c>
      <c r="J33" s="224">
        <f>IBA!J34/1000</f>
        <v>0</v>
      </c>
      <c r="K33" s="224">
        <f>ÚVT!J34/1000</f>
        <v>0</v>
      </c>
      <c r="L33" s="224">
        <f>VMU!J34/1000</f>
        <v>0</v>
      </c>
      <c r="M33" s="224">
        <f>CJV!J34/1000</f>
        <v>0</v>
      </c>
      <c r="N33" s="224">
        <f>CZS!J34/1000</f>
        <v>0</v>
      </c>
      <c r="O33" s="224">
        <f>RMU!J34/1000</f>
        <v>2854</v>
      </c>
      <c r="P33" s="289">
        <f t="shared" si="4"/>
        <v>2854</v>
      </c>
      <c r="Q33" s="49" t="e">
        <f>SKM!#REF!</f>
        <v>#REF!</v>
      </c>
      <c r="R33" s="465">
        <f>SKM!P34+SUKB!V34+UCT!L34+SPSSN!L34+ÚVT!P34+VMU!P34+CJV!P34+CZS!P34+RMU!Y34</f>
        <v>0</v>
      </c>
    </row>
    <row r="34" spans="1:18" ht="12">
      <c r="A34" s="240"/>
      <c r="B34" s="4" t="s">
        <v>31</v>
      </c>
      <c r="C34" s="4"/>
      <c r="D34" s="4"/>
      <c r="E34" s="246">
        <v>32</v>
      </c>
      <c r="F34" s="224">
        <f>SKM!J35/1000</f>
        <v>0</v>
      </c>
      <c r="G34" s="224">
        <f>SUKB!J35/1000</f>
        <v>0</v>
      </c>
      <c r="H34" s="224">
        <f>UCT!J35/1000</f>
        <v>0</v>
      </c>
      <c r="I34" s="224">
        <f>SPSSN!J35/1000</f>
        <v>4452.015530000001</v>
      </c>
      <c r="J34" s="224">
        <f>IBA!J35/1000</f>
        <v>0</v>
      </c>
      <c r="K34" s="224">
        <f>ÚVT!J35/1000</f>
        <v>811.62</v>
      </c>
      <c r="L34" s="224">
        <f>VMU!J35/1000</f>
        <v>0</v>
      </c>
      <c r="M34" s="224">
        <f>CJV!J35/1000</f>
        <v>2545.5381</v>
      </c>
      <c r="N34" s="224">
        <f>CZS!J35/1000</f>
        <v>17315.470739999997</v>
      </c>
      <c r="O34" s="224">
        <f>RMU!J35/1000</f>
        <v>3297.25386</v>
      </c>
      <c r="P34" s="289">
        <f t="shared" si="4"/>
        <v>28421.89823</v>
      </c>
      <c r="Q34" s="49" t="e">
        <f>SKM!#REF!</f>
        <v>#REF!</v>
      </c>
      <c r="R34" s="465">
        <f>SKM!P35+SUKB!V35+UCT!L35+SPSSN!L35+ÚVT!P35+VMU!P35+CJV!P35+CZS!P35+RMU!Y35</f>
        <v>0</v>
      </c>
    </row>
    <row r="35" spans="1:18" ht="12">
      <c r="A35" s="240"/>
      <c r="B35" s="4" t="s">
        <v>85</v>
      </c>
      <c r="C35" s="4"/>
      <c r="D35" s="4"/>
      <c r="E35" s="246">
        <v>33</v>
      </c>
      <c r="F35" s="224">
        <f>SKM!J36/1000</f>
        <v>0</v>
      </c>
      <c r="G35" s="224">
        <f>SUKB!J36/1000</f>
        <v>0</v>
      </c>
      <c r="H35" s="224">
        <f>UCT!J36/1000</f>
        <v>0</v>
      </c>
      <c r="I35" s="224">
        <f>SPSSN!J36/1000</f>
        <v>0</v>
      </c>
      <c r="J35" s="224">
        <f>IBA!J36/1000</f>
        <v>0</v>
      </c>
      <c r="K35" s="224">
        <f>ÚVT!J36/1000</f>
        <v>0</v>
      </c>
      <c r="L35" s="224">
        <f>VMU!J36/1000</f>
        <v>0</v>
      </c>
      <c r="M35" s="224">
        <f>CJV!J36/1000</f>
        <v>0</v>
      </c>
      <c r="N35" s="224">
        <f>CZS!J36/1000</f>
        <v>0</v>
      </c>
      <c r="O35" s="224">
        <f>RMU!J36/1000</f>
        <v>0</v>
      </c>
      <c r="P35" s="289">
        <f t="shared" si="4"/>
        <v>0</v>
      </c>
      <c r="Q35" s="49" t="e">
        <f>SKM!#REF!</f>
        <v>#REF!</v>
      </c>
      <c r="R35" s="465">
        <f>SKM!P36+SUKB!V36+UCT!L36+SPSSN!L36+ÚVT!P36+VMU!P36+CJV!P36+CZS!P36+RMU!Y36</f>
        <v>0</v>
      </c>
    </row>
    <row r="36" spans="1:18" ht="12">
      <c r="A36" s="240"/>
      <c r="B36" s="4" t="s">
        <v>25</v>
      </c>
      <c r="C36" s="4"/>
      <c r="D36" s="4"/>
      <c r="E36" s="246">
        <v>34</v>
      </c>
      <c r="F36" s="224">
        <f>SKM!J37/1000</f>
        <v>0</v>
      </c>
      <c r="G36" s="224">
        <f>SUKB!J37/1000</f>
        <v>0</v>
      </c>
      <c r="H36" s="224">
        <f>UCT!J37/1000</f>
        <v>0</v>
      </c>
      <c r="I36" s="224">
        <f>SPSSN!J37/1000</f>
        <v>0</v>
      </c>
      <c r="J36" s="224">
        <f>IBA!J37/1000</f>
        <v>0</v>
      </c>
      <c r="K36" s="224">
        <f>ÚVT!J37/1000</f>
        <v>1111.13661</v>
      </c>
      <c r="L36" s="224">
        <f>VMU!J37/1000</f>
        <v>0</v>
      </c>
      <c r="M36" s="224">
        <f>CJV!J37/1000</f>
        <v>0</v>
      </c>
      <c r="N36" s="224">
        <f>CZS!J37/1000</f>
        <v>0</v>
      </c>
      <c r="O36" s="224">
        <f>RMU!J37/1000</f>
        <v>0</v>
      </c>
      <c r="P36" s="289">
        <f t="shared" si="4"/>
        <v>1111.13661</v>
      </c>
      <c r="Q36" s="49" t="e">
        <f>SKM!#REF!</f>
        <v>#REF!</v>
      </c>
      <c r="R36" s="465">
        <f>SKM!P37+SUKB!V37+UCT!L37+SPSSN!L37+ÚVT!P37+VMU!P37+CJV!P37+CZS!P37+RMU!Y37</f>
        <v>0</v>
      </c>
    </row>
    <row r="37" spans="1:18" ht="12">
      <c r="A37" s="240"/>
      <c r="B37" s="4" t="s">
        <v>26</v>
      </c>
      <c r="C37" s="4"/>
      <c r="D37" s="4"/>
      <c r="E37" s="246">
        <v>35</v>
      </c>
      <c r="F37" s="224">
        <f>SKM!J38/1000</f>
        <v>0</v>
      </c>
      <c r="G37" s="224">
        <f>SUKB!J38/1000</f>
        <v>0</v>
      </c>
      <c r="H37" s="224">
        <f>UCT!J38/1000</f>
        <v>0</v>
      </c>
      <c r="I37" s="224">
        <f>SPSSN!J38/1000</f>
        <v>0</v>
      </c>
      <c r="J37" s="224">
        <f>IBA!J38/1000</f>
        <v>0</v>
      </c>
      <c r="K37" s="224">
        <f>ÚVT!J38/1000</f>
        <v>12068</v>
      </c>
      <c r="L37" s="224">
        <f>VMU!J38/1000</f>
        <v>0</v>
      </c>
      <c r="M37" s="224">
        <f>CJV!J38/1000</f>
        <v>10.087</v>
      </c>
      <c r="N37" s="224">
        <f>CZS!J38/1000</f>
        <v>0</v>
      </c>
      <c r="O37" s="224">
        <f>RMU!J38/1000</f>
        <v>100</v>
      </c>
      <c r="P37" s="289">
        <f t="shared" si="4"/>
        <v>12178.087</v>
      </c>
      <c r="Q37" s="49" t="e">
        <f>SKM!#REF!</f>
        <v>#REF!</v>
      </c>
      <c r="R37" s="465">
        <f>SKM!P38+SUKB!V38+UCT!L38+SPSSN!L38+ÚVT!P38+VMU!P38+CJV!P38+CZS!P38+RMU!Y38</f>
        <v>0</v>
      </c>
    </row>
    <row r="38" spans="1:18" ht="12">
      <c r="A38" s="240"/>
      <c r="B38" s="4" t="s">
        <v>27</v>
      </c>
      <c r="C38" s="4"/>
      <c r="D38" s="4"/>
      <c r="E38" s="246">
        <v>36</v>
      </c>
      <c r="F38" s="224">
        <f>SKM!J39/1000</f>
        <v>0</v>
      </c>
      <c r="G38" s="224">
        <f>SUKB!J39/1000</f>
        <v>0</v>
      </c>
      <c r="H38" s="224">
        <f>UCT!J39/1000</f>
        <v>0</v>
      </c>
      <c r="I38" s="224">
        <f>SPSSN!J39/1000</f>
        <v>0</v>
      </c>
      <c r="J38" s="224">
        <f>IBA!J39/1000</f>
        <v>0</v>
      </c>
      <c r="K38" s="224">
        <f>ÚVT!J39/1000</f>
        <v>4094.96083</v>
      </c>
      <c r="L38" s="224">
        <f>VMU!J39/1000</f>
        <v>0</v>
      </c>
      <c r="M38" s="224">
        <f>CJV!J39/1000</f>
        <v>0</v>
      </c>
      <c r="N38" s="224">
        <f>CZS!J39/1000</f>
        <v>0</v>
      </c>
      <c r="O38" s="224">
        <f>RMU!J39/1000</f>
        <v>0</v>
      </c>
      <c r="P38" s="289">
        <f t="shared" si="4"/>
        <v>4094.96083</v>
      </c>
      <c r="Q38" s="49" t="e">
        <f>SKM!#REF!</f>
        <v>#REF!</v>
      </c>
      <c r="R38" s="465">
        <f>SKM!P39+SUKB!V39+UCT!L39+SPSSN!L39+ÚVT!P39+VMU!P39+CJV!P39+CZS!P39+RMU!Y39</f>
        <v>0</v>
      </c>
    </row>
    <row r="39" spans="1:18" ht="13.5">
      <c r="A39" s="240"/>
      <c r="B39" s="4" t="s">
        <v>180</v>
      </c>
      <c r="C39" s="4"/>
      <c r="D39" s="4"/>
      <c r="E39" s="246">
        <v>37</v>
      </c>
      <c r="F39" s="224">
        <f>SKM!J40/1000</f>
        <v>103647.8647</v>
      </c>
      <c r="G39" s="224">
        <f>SUKB!J40/1000</f>
        <v>14605.4555</v>
      </c>
      <c r="H39" s="224">
        <f>UCT!J40/1000</f>
        <v>1064.56799</v>
      </c>
      <c r="I39" s="224">
        <f>SPSSN!J40/1000</f>
        <v>1103.7392</v>
      </c>
      <c r="J39" s="224">
        <f>IBA!J40/1000</f>
        <v>29627.72125</v>
      </c>
      <c r="K39" s="224">
        <f>ÚVT!J40/1000</f>
        <v>17492.5086</v>
      </c>
      <c r="L39" s="224">
        <f>VMU!J40/1000</f>
        <v>61.670199999999994</v>
      </c>
      <c r="M39" s="224">
        <f>CJV!J40/1000</f>
        <v>355.18093</v>
      </c>
      <c r="N39" s="224">
        <f>CZS!J40/1000</f>
        <v>4758.8657</v>
      </c>
      <c r="O39" s="224">
        <f>RMU!J40/1000</f>
        <v>39314.629740000004</v>
      </c>
      <c r="P39" s="289">
        <f t="shared" si="4"/>
        <v>212032.20380999998</v>
      </c>
      <c r="Q39" s="49" t="e">
        <f>SKM!#REF!</f>
        <v>#REF!</v>
      </c>
      <c r="R39" s="465">
        <f>SKM!P40+SUKB!V40+UCT!L40+SPSSN!L40+ÚVT!P40+VMU!P40+CJV!P40+CZS!P40+RMU!Y40</f>
        <v>0</v>
      </c>
    </row>
    <row r="40" spans="1:18" ht="12">
      <c r="A40" s="240"/>
      <c r="B40" s="4" t="s">
        <v>29</v>
      </c>
      <c r="C40" s="4"/>
      <c r="D40" s="4"/>
      <c r="E40" s="246">
        <v>38</v>
      </c>
      <c r="F40" s="224">
        <f>SKM!J41/1000</f>
        <v>0</v>
      </c>
      <c r="G40" s="224">
        <f>SUKB!J41/1000</f>
        <v>0</v>
      </c>
      <c r="H40" s="224">
        <f>UCT!J41/1000</f>
        <v>0</v>
      </c>
      <c r="I40" s="224">
        <f>SPSSN!J41/1000</f>
        <v>0</v>
      </c>
      <c r="J40" s="224">
        <f>IBA!J41/1000</f>
        <v>0</v>
      </c>
      <c r="K40" s="224">
        <f>ÚVT!J41/1000</f>
        <v>0</v>
      </c>
      <c r="L40" s="224">
        <f>VMU!J41/1000</f>
        <v>103.95</v>
      </c>
      <c r="M40" s="224">
        <f>CJV!J41/1000</f>
        <v>0</v>
      </c>
      <c r="N40" s="224">
        <f>CZS!J41/1000</f>
        <v>0</v>
      </c>
      <c r="O40" s="224">
        <f>RMU!J41/1000</f>
        <v>17682.936</v>
      </c>
      <c r="P40" s="289">
        <f t="shared" si="4"/>
        <v>17786.886000000002</v>
      </c>
      <c r="Q40" s="49" t="e">
        <f>SKM!#REF!</f>
        <v>#REF!</v>
      </c>
      <c r="R40" s="465">
        <f>SKM!P41+SUKB!V41+UCT!L41+SPSSN!L41+ÚVT!P41+VMU!P41+CJV!P41+CZS!P41+RMU!Y41</f>
        <v>0</v>
      </c>
    </row>
    <row r="41" spans="1:18" ht="12.75" thickBot="1">
      <c r="A41" s="240"/>
      <c r="B41" s="4" t="s">
        <v>30</v>
      </c>
      <c r="C41" s="4"/>
      <c r="D41" s="4"/>
      <c r="E41" s="246">
        <v>39</v>
      </c>
      <c r="F41" s="224">
        <f>SKM!J42/1000</f>
        <v>34167.46992</v>
      </c>
      <c r="G41" s="224">
        <f>SUKB!J42/1000</f>
        <v>0</v>
      </c>
      <c r="H41" s="224">
        <f>UCT!J42/1000</f>
        <v>0</v>
      </c>
      <c r="I41" s="224">
        <f>SPSSN!J42/1000</f>
        <v>0</v>
      </c>
      <c r="J41" s="224">
        <f>IBA!J42/1000</f>
        <v>5521.2431</v>
      </c>
      <c r="K41" s="224">
        <f>ÚVT!J42/1000</f>
        <v>22116.568600000002</v>
      </c>
      <c r="L41" s="224">
        <f>VMU!J42/1000</f>
        <v>876.29193</v>
      </c>
      <c r="M41" s="224">
        <f>CJV!J42/1000</f>
        <v>0</v>
      </c>
      <c r="N41" s="224">
        <f>CZS!J42/1000</f>
        <v>0</v>
      </c>
      <c r="O41" s="224">
        <f>RMU!J42/1000</f>
        <v>1793.15823</v>
      </c>
      <c r="P41" s="292">
        <f t="shared" si="4"/>
        <v>64474.73178000001</v>
      </c>
      <c r="Q41" s="49" t="e">
        <f>SKM!#REF!</f>
        <v>#REF!</v>
      </c>
      <c r="R41" s="465">
        <f>SKM!P42+SUKB!V42+UCT!L42+SPSSN!L42+ÚVT!P42+VMU!P42+CJV!P42+CZS!P42+RMU!Y42</f>
        <v>0</v>
      </c>
    </row>
    <row r="42" spans="1:18" s="29" customFormat="1" ht="12.75" hidden="1" thickBot="1">
      <c r="A42" s="241" t="s">
        <v>32</v>
      </c>
      <c r="B42" s="27"/>
      <c r="C42" s="27"/>
      <c r="D42" s="27"/>
      <c r="E42" s="247">
        <v>42</v>
      </c>
      <c r="F42" s="181">
        <f>SKM!F43/1000</f>
        <v>0</v>
      </c>
      <c r="G42" s="181">
        <f>SUKB!J43</f>
        <v>0</v>
      </c>
      <c r="H42" s="181">
        <f>UCT!J43/1000</f>
        <v>303.19622000000066</v>
      </c>
      <c r="I42" s="181">
        <f>SPSSN!J43/1000</f>
        <v>107.15928000000027</v>
      </c>
      <c r="J42" s="181"/>
      <c r="K42" s="181">
        <f>ÚVT!J43/1000</f>
        <v>3136.6624199999906</v>
      </c>
      <c r="L42" s="181">
        <f>VMU!J43/1000</f>
        <v>25.19283000000054</v>
      </c>
      <c r="M42" s="181">
        <f>CJV!J43/1000</f>
        <v>85.4150700000003</v>
      </c>
      <c r="N42" s="181">
        <f>CZS!J43/1000</f>
        <v>491.18144999999924</v>
      </c>
      <c r="O42" s="181">
        <f>RMU!J43/1000</f>
        <v>16014.429989999982</v>
      </c>
      <c r="P42" s="293">
        <f>P27+P32+P35+P39+P40+P41-P4-P25</f>
        <v>23138.565950000215</v>
      </c>
      <c r="Q42" s="51" t="e">
        <f>Q27+Q32+Q35+Q39+Q40+Q41-Q4-Q25</f>
        <v>#REF!</v>
      </c>
      <c r="R42" s="478"/>
    </row>
    <row r="43" spans="1:18" ht="13.5" thickBot="1">
      <c r="A43" s="239" t="s">
        <v>165</v>
      </c>
      <c r="B43" s="171"/>
      <c r="C43" s="171"/>
      <c r="D43" s="171"/>
      <c r="E43" s="245">
        <v>40</v>
      </c>
      <c r="F43" s="262">
        <f aca="true" t="shared" si="5" ref="F43:Q43">F26-F3</f>
        <v>2819.7164400000183</v>
      </c>
      <c r="G43" s="262">
        <f t="shared" si="5"/>
        <v>4.2223399999984395</v>
      </c>
      <c r="H43" s="262">
        <f t="shared" si="5"/>
        <v>303.196219999998</v>
      </c>
      <c r="I43" s="262">
        <f t="shared" si="5"/>
        <v>107.15927999999985</v>
      </c>
      <c r="J43" s="262">
        <f t="shared" si="5"/>
        <v>151.38990999999078</v>
      </c>
      <c r="K43" s="262">
        <f t="shared" si="5"/>
        <v>3136.6624199999787</v>
      </c>
      <c r="L43" s="262">
        <f t="shared" si="5"/>
        <v>25.1928300000003</v>
      </c>
      <c r="M43" s="262">
        <f t="shared" si="5"/>
        <v>85.41506999999547</v>
      </c>
      <c r="N43" s="262">
        <f t="shared" si="5"/>
        <v>491.1814500000037</v>
      </c>
      <c r="O43" s="262">
        <f t="shared" si="5"/>
        <v>13933.649524545472</v>
      </c>
      <c r="P43" s="255">
        <f t="shared" si="5"/>
        <v>21057.78548454563</v>
      </c>
      <c r="Q43" s="50" t="e">
        <f t="shared" si="5"/>
        <v>#REF!</v>
      </c>
      <c r="R43" s="465"/>
    </row>
    <row r="44" spans="1:18" s="459" customFormat="1" ht="11.25">
      <c r="A44" s="459" t="s">
        <v>167</v>
      </c>
      <c r="O44" s="554">
        <f>RMU!H45/1000</f>
        <v>3152.91855</v>
      </c>
      <c r="P44" s="554">
        <f>SUM(F44:O44)</f>
        <v>3152.91855</v>
      </c>
      <c r="R44" s="459" t="s">
        <v>203</v>
      </c>
    </row>
    <row r="45" spans="1:16" s="89" customFormat="1" ht="11.25">
      <c r="A45" s="210" t="s">
        <v>141</v>
      </c>
      <c r="B45" s="90"/>
      <c r="C45" s="90"/>
      <c r="D45" s="90"/>
      <c r="E45" s="90"/>
      <c r="F45" s="91">
        <f>SKM!F46/1000</f>
        <v>9300</v>
      </c>
      <c r="G45" s="91">
        <f>SUKB!F46/1000</f>
        <v>0</v>
      </c>
      <c r="H45" s="91">
        <f>UCT!F46/1000</f>
        <v>627</v>
      </c>
      <c r="I45" s="91">
        <f>SPSSN!F46/1000</f>
        <v>30</v>
      </c>
      <c r="J45" s="91"/>
      <c r="K45" s="91">
        <f>ÚVT!F46/1000</f>
        <v>35583</v>
      </c>
      <c r="L45" s="91">
        <f>VMU!F46/1000</f>
        <v>446</v>
      </c>
      <c r="M45" s="91">
        <f>CJV!F46/1000</f>
        <v>42</v>
      </c>
      <c r="N45" s="91">
        <f>CZS!F46/1000</f>
        <v>74</v>
      </c>
      <c r="O45" s="91">
        <f>RMU!F46/1000</f>
        <v>10197</v>
      </c>
      <c r="P45" s="234">
        <f aca="true" t="shared" si="6" ref="P45:P53">SUM(F45:O45)</f>
        <v>56299</v>
      </c>
    </row>
    <row r="46" spans="1:16" s="89" customFormat="1" ht="11.25">
      <c r="A46" s="142" t="s">
        <v>142</v>
      </c>
      <c r="B46" s="90"/>
      <c r="C46" s="90"/>
      <c r="D46" s="90"/>
      <c r="E46" s="90"/>
      <c r="F46" s="91">
        <f>SKM!F47/1000</f>
        <v>3843</v>
      </c>
      <c r="G46" s="91">
        <f>SUKB!F47/1000</f>
        <v>0</v>
      </c>
      <c r="H46" s="91">
        <f>UCT!F47/1000</f>
        <v>395</v>
      </c>
      <c r="I46" s="91">
        <f>SPSSN!F47/1000</f>
        <v>30</v>
      </c>
      <c r="J46" s="91"/>
      <c r="K46" s="91">
        <f>ÚVT!F47/1000</f>
        <v>20182</v>
      </c>
      <c r="L46" s="91">
        <f>VMU!F47/1000</f>
        <v>363</v>
      </c>
      <c r="M46" s="91">
        <f>CJV!F47/1000</f>
        <v>42</v>
      </c>
      <c r="N46" s="91">
        <f>CZS!F47/1000</f>
        <v>64</v>
      </c>
      <c r="O46" s="91">
        <f>RMU!F47/1000</f>
        <v>1807</v>
      </c>
      <c r="P46" s="234">
        <f t="shared" si="6"/>
        <v>26726</v>
      </c>
    </row>
    <row r="47" spans="1:16" s="89" customFormat="1" ht="11.25">
      <c r="A47" s="142" t="s">
        <v>143</v>
      </c>
      <c r="B47" s="90"/>
      <c r="C47" s="90"/>
      <c r="D47" s="90"/>
      <c r="E47" s="90"/>
      <c r="F47" s="91">
        <f>SKM!F48/1000</f>
        <v>5457</v>
      </c>
      <c r="G47" s="91">
        <f>SUKB!F48/1000</f>
        <v>0</v>
      </c>
      <c r="H47" s="91">
        <f>UCT!F48/1000</f>
        <v>232</v>
      </c>
      <c r="I47" s="91">
        <f>SPSSN!F48/1000</f>
        <v>0</v>
      </c>
      <c r="J47" s="91"/>
      <c r="K47" s="91">
        <f>ÚVT!F48/1000</f>
        <v>15401</v>
      </c>
      <c r="L47" s="91">
        <f>VMU!F48/1000</f>
        <v>83</v>
      </c>
      <c r="M47" s="91">
        <f>CJV!F48/1000</f>
        <v>0</v>
      </c>
      <c r="N47" s="91">
        <f>CZS!F48/1000</f>
        <v>10</v>
      </c>
      <c r="O47" s="91">
        <f>RMU!F48/1000</f>
        <v>8390</v>
      </c>
      <c r="P47" s="234">
        <f t="shared" si="6"/>
        <v>29573</v>
      </c>
    </row>
    <row r="48" spans="1:16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234">
        <f t="shared" si="6"/>
        <v>0</v>
      </c>
    </row>
    <row r="49" spans="1:16" s="89" customFormat="1" ht="11.25">
      <c r="A49" s="90" t="s">
        <v>170</v>
      </c>
      <c r="B49" s="90"/>
      <c r="C49" s="90"/>
      <c r="D49" s="90"/>
      <c r="E49" s="90"/>
      <c r="F49" s="91">
        <f>SKM!F50/1000</f>
        <v>0</v>
      </c>
      <c r="G49" s="91">
        <f>SUKB!F50/1000</f>
        <v>0</v>
      </c>
      <c r="H49" s="91">
        <f>UCT!F50/1000</f>
        <v>3500</v>
      </c>
      <c r="I49" s="91">
        <f>SPSSN!F50/1000</f>
        <v>1710</v>
      </c>
      <c r="J49" s="91"/>
      <c r="K49" s="91">
        <f>ÚVT!F50/1000</f>
        <v>88369</v>
      </c>
      <c r="L49" s="91">
        <f>VMU!F50/1000</f>
        <v>0</v>
      </c>
      <c r="M49" s="91">
        <f>CJV!F50/1000</f>
        <v>21961</v>
      </c>
      <c r="N49" s="91">
        <f>CZS!F50/1000</f>
        <v>7380</v>
      </c>
      <c r="O49" s="91">
        <f>RMU!F50/1000</f>
        <v>74128</v>
      </c>
      <c r="P49" s="234">
        <f t="shared" si="6"/>
        <v>197048</v>
      </c>
    </row>
    <row r="50" spans="1:16" s="89" customFormat="1" ht="11.25">
      <c r="A50" s="90" t="s">
        <v>146</v>
      </c>
      <c r="B50" s="90"/>
      <c r="C50" s="90"/>
      <c r="D50" s="90"/>
      <c r="E50" s="90"/>
      <c r="F50" s="91">
        <f>SKM!F51/1000</f>
        <v>0</v>
      </c>
      <c r="G50" s="91">
        <f>SUKB!F51/1000</f>
        <v>0</v>
      </c>
      <c r="H50" s="91">
        <f>UCT!F51/1000</f>
        <v>0</v>
      </c>
      <c r="I50" s="91">
        <f>SPSSN!F51/1000</f>
        <v>0</v>
      </c>
      <c r="J50" s="91"/>
      <c r="K50" s="91">
        <f>ÚVT!F51/1000</f>
        <v>26640</v>
      </c>
      <c r="L50" s="91">
        <f>VMU!F51/1000</f>
        <v>0</v>
      </c>
      <c r="M50" s="91">
        <f>CJV!F51/1000</f>
        <v>0</v>
      </c>
      <c r="N50" s="91">
        <f>CZS!F51/1000</f>
        <v>0</v>
      </c>
      <c r="O50" s="91">
        <f>RMU!F51/1000</f>
        <v>91090</v>
      </c>
      <c r="P50" s="234">
        <f t="shared" si="6"/>
        <v>117730</v>
      </c>
    </row>
    <row r="51" spans="1:16" s="89" customFormat="1" ht="11.25">
      <c r="A51" s="90" t="s">
        <v>171</v>
      </c>
      <c r="B51" s="90"/>
      <c r="C51" s="90"/>
      <c r="D51" s="90"/>
      <c r="F51" s="91">
        <f>SKM!F52/1000</f>
        <v>0</v>
      </c>
      <c r="G51" s="91">
        <f>SUKB!F52/1000</f>
        <v>0</v>
      </c>
      <c r="H51" s="91">
        <f>UCT!F52/1000</f>
        <v>395</v>
      </c>
      <c r="I51" s="91">
        <f>SPSSN!F52/1000</f>
        <v>30</v>
      </c>
      <c r="J51" s="91"/>
      <c r="K51" s="91">
        <f>ÚVT!F52/1000</f>
        <v>20182</v>
      </c>
      <c r="L51" s="91">
        <f>VMU!F52/1000</f>
        <v>0</v>
      </c>
      <c r="M51" s="91">
        <f>CJV!F52/1000</f>
        <v>42</v>
      </c>
      <c r="N51" s="91">
        <f>CZS!F52/1000</f>
        <v>64</v>
      </c>
      <c r="O51" s="91">
        <f>RMU!F52/1000</f>
        <v>1807</v>
      </c>
      <c r="P51" s="234">
        <f t="shared" si="6"/>
        <v>22520</v>
      </c>
    </row>
    <row r="52" spans="1:16" s="89" customFormat="1" ht="11.25">
      <c r="A52" s="90" t="s">
        <v>169</v>
      </c>
      <c r="B52" s="90"/>
      <c r="C52" s="90"/>
      <c r="D52" s="90"/>
      <c r="F52" s="91">
        <f>SKM!F53/1000</f>
        <v>0</v>
      </c>
      <c r="G52" s="91">
        <f>SUKB!F53/1000</f>
        <v>0</v>
      </c>
      <c r="H52" s="91">
        <f>UCT!F53/1000</f>
        <v>3895</v>
      </c>
      <c r="I52" s="91">
        <f>SPSSN!F53/1000</f>
        <v>1740</v>
      </c>
      <c r="J52" s="91"/>
      <c r="K52" s="91">
        <f>ÚVT!F53/1000</f>
        <v>135191</v>
      </c>
      <c r="L52" s="91">
        <f>VMU!F53/1000</f>
        <v>0</v>
      </c>
      <c r="M52" s="91">
        <f>CJV!F53/1000</f>
        <v>22003</v>
      </c>
      <c r="N52" s="91">
        <f>CZS!F53/1000</f>
        <v>7444</v>
      </c>
      <c r="O52" s="91">
        <f>RMU!F53/1000</f>
        <v>167025</v>
      </c>
      <c r="P52" s="234">
        <f t="shared" si="6"/>
        <v>337298</v>
      </c>
    </row>
    <row r="53" spans="1:16" s="89" customFormat="1" ht="11.25">
      <c r="A53" s="90"/>
      <c r="B53" s="90"/>
      <c r="C53" s="90"/>
      <c r="D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234">
        <f t="shared" si="6"/>
        <v>0</v>
      </c>
    </row>
  </sheetData>
  <mergeCells count="1">
    <mergeCell ref="A1:D1"/>
  </mergeCells>
  <printOptions/>
  <pageMargins left="0.5" right="0.16" top="0.39" bottom="0.46" header="0.2" footer="0.2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/>
  <dimension ref="A1:T54"/>
  <sheetViews>
    <sheetView workbookViewId="0" topLeftCell="B1">
      <selection activeCell="L30" sqref="L3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75390625" style="0" customWidth="1"/>
    <col min="5" max="5" width="3.75390625" style="0" customWidth="1"/>
    <col min="6" max="6" width="11.375" style="216" bestFit="1" customWidth="1"/>
    <col min="7" max="7" width="9.625" style="216" bestFit="1" customWidth="1"/>
    <col min="8" max="8" width="10.875" style="216" bestFit="1" customWidth="1"/>
    <col min="9" max="9" width="6.75390625" style="413" bestFit="1" customWidth="1"/>
    <col min="10" max="10" width="10.875" style="216" hidden="1" customWidth="1"/>
    <col min="11" max="13" width="10.125" style="89" bestFit="1" customWidth="1"/>
    <col min="14" max="15" width="9.625" style="89" bestFit="1" customWidth="1"/>
    <col min="16" max="16" width="8.25390625" style="458" customWidth="1"/>
    <col min="17" max="17" width="5.125" style="458" customWidth="1"/>
    <col min="18" max="18" width="8.25390625" style="458" customWidth="1"/>
    <col min="19" max="19" width="7.875" style="217" bestFit="1" customWidth="1"/>
    <col min="20" max="20" width="7.75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82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20" s="7" customFormat="1" ht="12.75">
      <c r="A2" s="237" t="s">
        <v>39</v>
      </c>
      <c r="B2" s="44"/>
      <c r="C2" s="44"/>
      <c r="D2" s="45" t="s">
        <v>54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36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217"/>
      <c r="T2" s="89"/>
    </row>
    <row r="3" spans="1:20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4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58"/>
      <c r="Q3" s="458"/>
      <c r="R3" s="458"/>
      <c r="S3" s="217"/>
      <c r="T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414793000</v>
      </c>
      <c r="G4" s="221">
        <f>SUM(G6:G26)</f>
        <v>127304850</v>
      </c>
      <c r="H4" s="342">
        <f>SUM(H6:H26)</f>
        <v>443868039.25</v>
      </c>
      <c r="I4" s="403">
        <f>H4/F4</f>
        <v>1.0700952987393713</v>
      </c>
      <c r="J4" s="352">
        <f aca="true" t="shared" si="0" ref="J4:O4">SUM(J6:J26)</f>
        <v>443780729.38</v>
      </c>
      <c r="K4" s="221">
        <f t="shared" si="0"/>
        <v>388204565.54</v>
      </c>
      <c r="L4" s="221">
        <f t="shared" si="0"/>
        <v>320839256.3500001</v>
      </c>
      <c r="M4" s="221">
        <f t="shared" si="0"/>
        <v>253475310.57999995</v>
      </c>
      <c r="N4" s="221">
        <f t="shared" si="0"/>
        <v>218837000</v>
      </c>
      <c r="O4" s="221">
        <f t="shared" si="0"/>
        <v>196338000</v>
      </c>
    </row>
    <row r="5" spans="1:20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298819000</v>
      </c>
      <c r="G5" s="192"/>
      <c r="H5" s="274">
        <f>SUM(H6:H16)</f>
        <v>304491544.4</v>
      </c>
      <c r="I5" s="404">
        <f>H5/F5</f>
        <v>1.018983211910889</v>
      </c>
      <c r="J5" s="214">
        <f aca="true" t="shared" si="1" ref="J5:O5">SUM(J6:J16)</f>
        <v>304491544.4</v>
      </c>
      <c r="K5" s="192">
        <f t="shared" si="1"/>
        <v>269151921.14</v>
      </c>
      <c r="L5" s="192">
        <f t="shared" si="1"/>
        <v>240253615.03000003</v>
      </c>
      <c r="M5" s="192">
        <f t="shared" si="1"/>
        <v>175368136.19999996</v>
      </c>
      <c r="N5" s="192">
        <f t="shared" si="1"/>
        <v>146678000</v>
      </c>
      <c r="O5" s="192">
        <f t="shared" si="1"/>
        <v>141775000</v>
      </c>
      <c r="P5" s="458"/>
      <c r="Q5" s="458"/>
      <c r="R5" s="458"/>
      <c r="S5" s="217"/>
      <c r="T5" s="89"/>
    </row>
    <row r="6" spans="1:20" s="29" customFormat="1" ht="12">
      <c r="A6" s="241"/>
      <c r="B6" s="27"/>
      <c r="C6" s="27" t="s">
        <v>13</v>
      </c>
      <c r="D6" s="28" t="s">
        <v>17</v>
      </c>
      <c r="E6" s="258">
        <v>3</v>
      </c>
      <c r="F6" s="332">
        <v>152000000</v>
      </c>
      <c r="G6" s="174"/>
      <c r="H6" s="343">
        <v>149038222</v>
      </c>
      <c r="I6" s="405">
        <f aca="true" t="shared" si="2" ref="I6:I16">H6/F6</f>
        <v>0.9805146184210526</v>
      </c>
      <c r="J6" s="174">
        <f>H6/12*12</f>
        <v>149038222</v>
      </c>
      <c r="K6" s="174">
        <v>147515638.94</v>
      </c>
      <c r="L6" s="174">
        <v>129268065</v>
      </c>
      <c r="M6" s="174">
        <v>102992450</v>
      </c>
      <c r="N6" s="174">
        <v>83119000</v>
      </c>
      <c r="O6" s="174">
        <v>82804000</v>
      </c>
      <c r="P6" s="459"/>
      <c r="Q6" s="459"/>
      <c r="R6" s="459"/>
      <c r="S6" s="91"/>
      <c r="T6" s="91"/>
    </row>
    <row r="7" spans="1:20" s="29" customFormat="1" ht="12">
      <c r="A7" s="241"/>
      <c r="B7" s="27"/>
      <c r="C7" s="27"/>
      <c r="D7" s="28" t="s">
        <v>18</v>
      </c>
      <c r="E7" s="258">
        <v>4</v>
      </c>
      <c r="F7" s="332">
        <v>5000000</v>
      </c>
      <c r="G7" s="174"/>
      <c r="H7" s="343">
        <v>3518824</v>
      </c>
      <c r="I7" s="405">
        <f t="shared" si="2"/>
        <v>0.7037648</v>
      </c>
      <c r="J7" s="174">
        <f aca="true" t="shared" si="3" ref="J7:J15">H7/12*12</f>
        <v>3518824</v>
      </c>
      <c r="K7" s="174">
        <v>4350362.6</v>
      </c>
      <c r="L7" s="174">
        <v>4917383</v>
      </c>
      <c r="M7" s="174">
        <v>2560611</v>
      </c>
      <c r="N7" s="174">
        <v>1837000</v>
      </c>
      <c r="O7" s="174">
        <v>1621000</v>
      </c>
      <c r="P7" s="459"/>
      <c r="Q7" s="459"/>
      <c r="R7" s="459"/>
      <c r="S7" s="91"/>
      <c r="T7" s="91"/>
    </row>
    <row r="8" spans="1:20" s="29" customFormat="1" ht="12">
      <c r="A8" s="241"/>
      <c r="B8" s="27"/>
      <c r="C8" s="27"/>
      <c r="D8" s="28" t="s">
        <v>19</v>
      </c>
      <c r="E8" s="258">
        <v>5</v>
      </c>
      <c r="F8" s="332">
        <v>53200000</v>
      </c>
      <c r="G8" s="174"/>
      <c r="H8" s="343">
        <v>52496431.95</v>
      </c>
      <c r="I8" s="405">
        <f t="shared" si="2"/>
        <v>0.9867750366541354</v>
      </c>
      <c r="J8" s="174">
        <f t="shared" si="3"/>
        <v>52496431.95</v>
      </c>
      <c r="K8" s="174">
        <v>51846537.84</v>
      </c>
      <c r="L8" s="174">
        <v>45097327</v>
      </c>
      <c r="M8" s="174">
        <v>35848147</v>
      </c>
      <c r="N8" s="174">
        <v>28891000</v>
      </c>
      <c r="O8" s="174">
        <v>28809000</v>
      </c>
      <c r="P8" s="459"/>
      <c r="Q8" s="459"/>
      <c r="R8" s="459"/>
      <c r="S8" s="91"/>
      <c r="T8" s="91"/>
    </row>
    <row r="9" spans="1:20" s="29" customFormat="1" ht="12">
      <c r="A9" s="241"/>
      <c r="B9" s="27"/>
      <c r="C9" s="27"/>
      <c r="D9" s="28" t="s">
        <v>0</v>
      </c>
      <c r="E9" s="258">
        <v>6</v>
      </c>
      <c r="F9" s="332">
        <v>8500000</v>
      </c>
      <c r="G9" s="174"/>
      <c r="H9" s="343">
        <v>8234841.02</v>
      </c>
      <c r="I9" s="405">
        <f t="shared" si="2"/>
        <v>0.9688048258823528</v>
      </c>
      <c r="J9" s="174">
        <f t="shared" si="3"/>
        <v>8234841.02</v>
      </c>
      <c r="K9" s="174">
        <v>7100750.55</v>
      </c>
      <c r="L9" s="174">
        <v>6698367.81</v>
      </c>
      <c r="M9" s="174">
        <v>3551222.56</v>
      </c>
      <c r="N9" s="174">
        <v>5351000</v>
      </c>
      <c r="O9" s="174">
        <v>5331000</v>
      </c>
      <c r="P9" s="459"/>
      <c r="Q9" s="459"/>
      <c r="R9" s="459"/>
      <c r="S9" s="91"/>
      <c r="T9" s="91"/>
    </row>
    <row r="10" spans="1:20" s="29" customFormat="1" ht="12">
      <c r="A10" s="241"/>
      <c r="B10" s="27"/>
      <c r="C10" s="27"/>
      <c r="D10" s="28" t="s">
        <v>1</v>
      </c>
      <c r="E10" s="258">
        <v>7</v>
      </c>
      <c r="F10" s="332">
        <v>4000000</v>
      </c>
      <c r="G10" s="174"/>
      <c r="H10" s="343">
        <v>3283502.12</v>
      </c>
      <c r="I10" s="405">
        <f t="shared" si="2"/>
        <v>0.82087553</v>
      </c>
      <c r="J10" s="174">
        <f t="shared" si="3"/>
        <v>3283502.12</v>
      </c>
      <c r="K10" s="174">
        <v>2461287.72</v>
      </c>
      <c r="L10" s="174">
        <v>3355220.33</v>
      </c>
      <c r="M10" s="174">
        <v>1912920.35</v>
      </c>
      <c r="N10" s="174">
        <v>2705000</v>
      </c>
      <c r="O10" s="174">
        <v>1766000</v>
      </c>
      <c r="P10" s="459"/>
      <c r="Q10" s="459"/>
      <c r="R10" s="459"/>
      <c r="S10" s="91"/>
      <c r="T10" s="91"/>
    </row>
    <row r="11" spans="1:20" s="29" customFormat="1" ht="12">
      <c r="A11" s="241"/>
      <c r="B11" s="27"/>
      <c r="C11" s="27"/>
      <c r="D11" s="28" t="s">
        <v>2</v>
      </c>
      <c r="E11" s="258">
        <v>8</v>
      </c>
      <c r="F11" s="332">
        <v>15000000</v>
      </c>
      <c r="G11" s="174"/>
      <c r="H11" s="343">
        <v>15011765.97</v>
      </c>
      <c r="I11" s="405">
        <f t="shared" si="2"/>
        <v>1.000784398</v>
      </c>
      <c r="J11" s="174">
        <f t="shared" si="3"/>
        <v>15011765.97</v>
      </c>
      <c r="K11" s="174">
        <v>11862529.14</v>
      </c>
      <c r="L11" s="174">
        <v>10524787.68</v>
      </c>
      <c r="M11" s="174">
        <v>8826877.86</v>
      </c>
      <c r="N11" s="174">
        <v>10808000</v>
      </c>
      <c r="O11" s="174">
        <v>8246000</v>
      </c>
      <c r="P11" s="459"/>
      <c r="Q11" s="459"/>
      <c r="R11" s="459"/>
      <c r="S11" s="91"/>
      <c r="T11" s="91"/>
    </row>
    <row r="12" spans="1:20" s="29" customFormat="1" ht="12">
      <c r="A12" s="241"/>
      <c r="B12" s="27"/>
      <c r="C12" s="27"/>
      <c r="D12" s="28" t="s">
        <v>3</v>
      </c>
      <c r="E12" s="258">
        <v>9</v>
      </c>
      <c r="F12" s="332">
        <v>13300000</v>
      </c>
      <c r="G12" s="174"/>
      <c r="H12" s="343">
        <v>13399729.8</v>
      </c>
      <c r="I12" s="405">
        <f t="shared" si="2"/>
        <v>1.0074984812030077</v>
      </c>
      <c r="J12" s="550">
        <f>H12/12*12</f>
        <v>13399729.8</v>
      </c>
      <c r="K12" s="174">
        <v>10649345.38</v>
      </c>
      <c r="L12" s="174">
        <v>10702774.52</v>
      </c>
      <c r="M12" s="174">
        <v>7194721.71</v>
      </c>
      <c r="N12" s="174">
        <v>6369000</v>
      </c>
      <c r="O12" s="174">
        <v>7440000</v>
      </c>
      <c r="P12" s="459"/>
      <c r="Q12" s="459"/>
      <c r="R12" s="459"/>
      <c r="S12" s="91"/>
      <c r="T12" s="91"/>
    </row>
    <row r="13" spans="1:20" s="29" customFormat="1" ht="12">
      <c r="A13" s="241"/>
      <c r="B13" s="27"/>
      <c r="C13" s="27"/>
      <c r="D13" s="28" t="s">
        <v>4</v>
      </c>
      <c r="E13" s="258">
        <v>10</v>
      </c>
      <c r="F13" s="332">
        <v>1000000</v>
      </c>
      <c r="G13" s="174"/>
      <c r="H13" s="343">
        <v>880593.92</v>
      </c>
      <c r="I13" s="405">
        <f t="shared" si="2"/>
        <v>0.88059392</v>
      </c>
      <c r="J13" s="174">
        <f t="shared" si="3"/>
        <v>880593.9200000002</v>
      </c>
      <c r="K13" s="174">
        <v>463051.51</v>
      </c>
      <c r="L13" s="174">
        <v>769014.71</v>
      </c>
      <c r="M13" s="174">
        <v>1226103.98</v>
      </c>
      <c r="N13" s="174">
        <v>515000</v>
      </c>
      <c r="O13" s="174">
        <v>902000</v>
      </c>
      <c r="P13" s="459"/>
      <c r="Q13" s="459"/>
      <c r="R13" s="459"/>
      <c r="S13" s="91"/>
      <c r="T13" s="91"/>
    </row>
    <row r="14" spans="1:20" s="29" customFormat="1" ht="13.5">
      <c r="A14" s="241"/>
      <c r="B14" s="27"/>
      <c r="C14" s="27"/>
      <c r="D14" s="28" t="s">
        <v>178</v>
      </c>
      <c r="E14" s="258">
        <v>11</v>
      </c>
      <c r="F14" s="332">
        <v>29113000</v>
      </c>
      <c r="G14" s="174"/>
      <c r="H14" s="343">
        <v>31532045.4</v>
      </c>
      <c r="I14" s="405">
        <f t="shared" si="2"/>
        <v>1.0830915879504002</v>
      </c>
      <c r="J14" s="174">
        <f t="shared" si="3"/>
        <v>31532045.4</v>
      </c>
      <c r="K14" s="174">
        <v>26458322.33</v>
      </c>
      <c r="L14" s="174">
        <v>23186375.26</v>
      </c>
      <c r="M14" s="174">
        <v>7204562.57</v>
      </c>
      <c r="N14" s="174">
        <v>4477000</v>
      </c>
      <c r="O14" s="174">
        <v>3263000</v>
      </c>
      <c r="P14" s="459"/>
      <c r="Q14" s="459"/>
      <c r="R14" s="459"/>
      <c r="S14" s="91"/>
      <c r="T14" s="91"/>
    </row>
    <row r="15" spans="1:20" s="29" customFormat="1" ht="12">
      <c r="A15" s="241"/>
      <c r="B15" s="27"/>
      <c r="C15" s="27"/>
      <c r="D15" s="28" t="s">
        <v>6</v>
      </c>
      <c r="E15" s="258">
        <v>12</v>
      </c>
      <c r="F15" s="332">
        <v>1000000</v>
      </c>
      <c r="G15" s="174"/>
      <c r="H15" s="343">
        <v>811572</v>
      </c>
      <c r="I15" s="405">
        <f t="shared" si="2"/>
        <v>0.811572</v>
      </c>
      <c r="J15" s="174">
        <f t="shared" si="3"/>
        <v>811572</v>
      </c>
      <c r="K15" s="174">
        <v>639743</v>
      </c>
      <c r="L15" s="174">
        <v>449182</v>
      </c>
      <c r="M15" s="174">
        <v>368640</v>
      </c>
      <c r="N15" s="174">
        <v>392000</v>
      </c>
      <c r="O15" s="174">
        <v>612000</v>
      </c>
      <c r="P15" s="459"/>
      <c r="Q15" s="459"/>
      <c r="R15" s="459"/>
      <c r="S15" s="91"/>
      <c r="T15" s="91"/>
    </row>
    <row r="16" spans="1:20" s="29" customFormat="1" ht="12">
      <c r="A16" s="241"/>
      <c r="B16" s="28"/>
      <c r="C16" s="28"/>
      <c r="D16" s="28" t="s">
        <v>9</v>
      </c>
      <c r="E16" s="258">
        <v>13</v>
      </c>
      <c r="F16" s="332">
        <v>16706000</v>
      </c>
      <c r="G16" s="174"/>
      <c r="H16" s="344">
        <v>26284016.22</v>
      </c>
      <c r="I16" s="405">
        <f t="shared" si="2"/>
        <v>1.5733279193104273</v>
      </c>
      <c r="J16" s="550">
        <f>H16/12*12</f>
        <v>26284016.22</v>
      </c>
      <c r="K16" s="174">
        <v>5804352.13</v>
      </c>
      <c r="L16" s="174">
        <v>5285117.72</v>
      </c>
      <c r="M16" s="174">
        <v>3681879.17</v>
      </c>
      <c r="N16" s="174">
        <v>2214000</v>
      </c>
      <c r="O16" s="174">
        <v>981000</v>
      </c>
      <c r="P16" s="459"/>
      <c r="Q16" s="459"/>
      <c r="R16" s="459"/>
      <c r="S16" s="91"/>
      <c r="T16" s="91"/>
    </row>
    <row r="17" spans="1:20" s="5" customFormat="1" ht="12">
      <c r="A17" s="240"/>
      <c r="B17" s="4" t="s">
        <v>14</v>
      </c>
      <c r="C17" s="3"/>
      <c r="D17" s="3"/>
      <c r="E17" s="246">
        <v>14</v>
      </c>
      <c r="F17" s="331">
        <v>16900000</v>
      </c>
      <c r="G17" s="192">
        <f>G29</f>
        <v>16731000</v>
      </c>
      <c r="H17" s="274">
        <v>16731000</v>
      </c>
      <c r="I17" s="406">
        <f aca="true" t="shared" si="4" ref="I17:I24">H17/G17</f>
        <v>1</v>
      </c>
      <c r="J17" s="214">
        <f>J29</f>
        <v>16731000</v>
      </c>
      <c r="K17" s="192">
        <v>14657000</v>
      </c>
      <c r="L17" s="192">
        <v>11820000</v>
      </c>
      <c r="M17" s="192">
        <v>8849299</v>
      </c>
      <c r="N17" s="192">
        <v>6768000</v>
      </c>
      <c r="O17" s="192">
        <v>4005000</v>
      </c>
      <c r="P17" s="458"/>
      <c r="Q17" s="458"/>
      <c r="R17" s="458"/>
      <c r="S17" s="217"/>
      <c r="T17" s="91"/>
    </row>
    <row r="18" spans="1:20" s="5" customFormat="1" ht="12">
      <c r="A18" s="240"/>
      <c r="B18" s="4" t="s">
        <v>15</v>
      </c>
      <c r="C18" s="3"/>
      <c r="D18" s="3"/>
      <c r="E18" s="246">
        <v>15</v>
      </c>
      <c r="F18" s="331"/>
      <c r="G18" s="192">
        <f>G30</f>
        <v>1108000</v>
      </c>
      <c r="H18" s="274">
        <v>1108000</v>
      </c>
      <c r="I18" s="406">
        <f t="shared" si="4"/>
        <v>1</v>
      </c>
      <c r="J18" s="214">
        <f>J30</f>
        <v>1108000</v>
      </c>
      <c r="K18" s="192">
        <v>877000</v>
      </c>
      <c r="L18" s="192">
        <v>874817</v>
      </c>
      <c r="M18" s="192">
        <v>1595000</v>
      </c>
      <c r="N18" s="192">
        <v>2145000</v>
      </c>
      <c r="O18" s="192">
        <v>1925000</v>
      </c>
      <c r="P18" s="458"/>
      <c r="Q18" s="458"/>
      <c r="R18" s="458"/>
      <c r="S18" s="217"/>
      <c r="T18" s="91"/>
    </row>
    <row r="19" spans="1:20" s="5" customFormat="1" ht="12">
      <c r="A19" s="240"/>
      <c r="B19" s="4" t="s">
        <v>20</v>
      </c>
      <c r="C19" s="3"/>
      <c r="D19" s="3"/>
      <c r="E19" s="246">
        <v>16</v>
      </c>
      <c r="F19" s="331">
        <v>11132000</v>
      </c>
      <c r="G19" s="192">
        <f>G31</f>
        <v>11411850</v>
      </c>
      <c r="H19" s="274">
        <v>11411849</v>
      </c>
      <c r="I19" s="406">
        <f t="shared" si="4"/>
        <v>0.999999912371789</v>
      </c>
      <c r="J19" s="214">
        <f>J31</f>
        <v>11411850</v>
      </c>
      <c r="K19" s="192">
        <v>9128681.57</v>
      </c>
      <c r="L19" s="192">
        <v>4370000</v>
      </c>
      <c r="M19" s="192">
        <v>4636614.5</v>
      </c>
      <c r="N19" s="192">
        <v>11516000</v>
      </c>
      <c r="O19" s="192">
        <v>2721000</v>
      </c>
      <c r="P19" s="458"/>
      <c r="Q19" s="458"/>
      <c r="R19" s="458"/>
      <c r="S19" s="217"/>
      <c r="T19" s="91"/>
    </row>
    <row r="20" spans="1:20" s="5" customFormat="1" ht="12">
      <c r="A20" s="240"/>
      <c r="B20" s="4" t="s">
        <v>16</v>
      </c>
      <c r="C20" s="3"/>
      <c r="D20" s="3"/>
      <c r="E20" s="246">
        <v>17</v>
      </c>
      <c r="F20" s="331">
        <v>461000</v>
      </c>
      <c r="G20" s="192">
        <f>G32</f>
        <v>461000</v>
      </c>
      <c r="H20" s="274">
        <v>461000</v>
      </c>
      <c r="I20" s="406">
        <f t="shared" si="4"/>
        <v>1</v>
      </c>
      <c r="J20" s="214">
        <f>J32</f>
        <v>461000</v>
      </c>
      <c r="K20" s="192">
        <v>970000</v>
      </c>
      <c r="L20" s="192">
        <v>1328694.27</v>
      </c>
      <c r="M20" s="192">
        <v>1189000</v>
      </c>
      <c r="N20" s="192">
        <v>880000</v>
      </c>
      <c r="O20" s="192">
        <v>1318000</v>
      </c>
      <c r="P20" s="458"/>
      <c r="Q20" s="458"/>
      <c r="R20" s="458"/>
      <c r="S20" s="217"/>
      <c r="T20" s="91"/>
    </row>
    <row r="21" spans="1:20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>J34</f>
        <v>128000</v>
      </c>
      <c r="H21" s="274">
        <v>128000</v>
      </c>
      <c r="I21" s="406">
        <f t="shared" si="4"/>
        <v>1</v>
      </c>
      <c r="J21" s="214">
        <f>H21</f>
        <v>128000</v>
      </c>
      <c r="K21" s="192">
        <v>1486888.5</v>
      </c>
      <c r="L21" s="192">
        <v>599819.27</v>
      </c>
      <c r="M21" s="192">
        <v>2598881.9</v>
      </c>
      <c r="N21" s="192">
        <v>1124000</v>
      </c>
      <c r="O21" s="192">
        <v>1280000</v>
      </c>
      <c r="P21" s="458"/>
      <c r="Q21" s="458"/>
      <c r="R21" s="458"/>
      <c r="S21" s="217"/>
      <c r="T21" s="91"/>
    </row>
    <row r="22" spans="1:20" s="5" customFormat="1" ht="12">
      <c r="A22" s="240"/>
      <c r="B22" s="4" t="s">
        <v>31</v>
      </c>
      <c r="C22" s="4"/>
      <c r="D22" s="4"/>
      <c r="E22" s="246">
        <v>19</v>
      </c>
      <c r="F22" s="331"/>
      <c r="G22" s="192">
        <f>J35</f>
        <v>30000</v>
      </c>
      <c r="H22" s="274">
        <v>30000</v>
      </c>
      <c r="I22" s="406">
        <f t="shared" si="4"/>
        <v>1</v>
      </c>
      <c r="J22" s="214">
        <f>H22</f>
        <v>30000</v>
      </c>
      <c r="K22" s="192">
        <v>27844</v>
      </c>
      <c r="L22" s="192">
        <v>62692.36</v>
      </c>
      <c r="M22" s="192">
        <v>15000</v>
      </c>
      <c r="N22" s="192">
        <v>87000</v>
      </c>
      <c r="O22" s="192">
        <v>46000</v>
      </c>
      <c r="P22" s="458"/>
      <c r="Q22" s="458"/>
      <c r="R22" s="458"/>
      <c r="S22" s="217"/>
      <c r="T22" s="91"/>
    </row>
    <row r="23" spans="1:20" s="5" customFormat="1" ht="12">
      <c r="A23" s="240"/>
      <c r="B23" s="4" t="s">
        <v>25</v>
      </c>
      <c r="C23" s="4"/>
      <c r="D23" s="4"/>
      <c r="E23" s="246">
        <v>20</v>
      </c>
      <c r="F23" s="331">
        <v>28885000</v>
      </c>
      <c r="G23" s="192">
        <f>J23</f>
        <v>30388000</v>
      </c>
      <c r="H23" s="274">
        <v>30504289.84</v>
      </c>
      <c r="I23" s="406">
        <f t="shared" si="4"/>
        <v>1.003826834276688</v>
      </c>
      <c r="J23" s="568">
        <f>J37</f>
        <v>30388000</v>
      </c>
      <c r="K23" s="192">
        <v>30729190</v>
      </c>
      <c r="L23" s="192">
        <v>24972000</v>
      </c>
      <c r="M23" s="192">
        <v>25840422.41</v>
      </c>
      <c r="N23" s="192">
        <v>21901000</v>
      </c>
      <c r="O23" s="192">
        <v>21368000</v>
      </c>
      <c r="P23" s="458"/>
      <c r="Q23" s="458"/>
      <c r="R23" s="458"/>
      <c r="S23" s="217"/>
      <c r="T23" s="91"/>
    </row>
    <row r="24" spans="1:20" s="5" customFormat="1" ht="12">
      <c r="A24" s="240"/>
      <c r="B24" s="4" t="s">
        <v>26</v>
      </c>
      <c r="C24" s="4"/>
      <c r="D24" s="4"/>
      <c r="E24" s="246">
        <v>21</v>
      </c>
      <c r="F24" s="331">
        <v>52297000</v>
      </c>
      <c r="G24" s="192">
        <f>J24</f>
        <v>67047000</v>
      </c>
      <c r="H24" s="274">
        <v>67018021.03</v>
      </c>
      <c r="I24" s="406">
        <f t="shared" si="4"/>
        <v>0.9995677812579236</v>
      </c>
      <c r="J24" s="568">
        <f>J38</f>
        <v>67047000</v>
      </c>
      <c r="K24" s="192">
        <v>50481421.12</v>
      </c>
      <c r="L24" s="192">
        <v>27655725.1</v>
      </c>
      <c r="M24" s="192">
        <v>28405897.47</v>
      </c>
      <c r="N24" s="192">
        <v>22604000</v>
      </c>
      <c r="O24" s="192">
        <v>17504000</v>
      </c>
      <c r="P24" s="458"/>
      <c r="Q24" s="458"/>
      <c r="R24" s="458"/>
      <c r="S24" s="217"/>
      <c r="T24" s="91"/>
    </row>
    <row r="25" spans="1:20" s="5" customFormat="1" ht="12">
      <c r="A25" s="240"/>
      <c r="B25" s="4" t="s">
        <v>27</v>
      </c>
      <c r="C25" s="4"/>
      <c r="D25" s="4"/>
      <c r="E25" s="246">
        <v>22</v>
      </c>
      <c r="F25" s="331">
        <v>2899000</v>
      </c>
      <c r="G25" s="192"/>
      <c r="H25" s="274">
        <v>9487019.42</v>
      </c>
      <c r="I25" s="406">
        <f>H25/F25</f>
        <v>3.2725144601586753</v>
      </c>
      <c r="J25" s="214">
        <f>H25</f>
        <v>9487019.42</v>
      </c>
      <c r="K25" s="192">
        <v>4318992.1</v>
      </c>
      <c r="L25" s="192">
        <v>3940418.28</v>
      </c>
      <c r="M25" s="192">
        <v>2623032.93</v>
      </c>
      <c r="N25" s="192">
        <v>2339000</v>
      </c>
      <c r="O25" s="192">
        <v>1790000</v>
      </c>
      <c r="P25" s="458"/>
      <c r="Q25" s="458"/>
      <c r="R25" s="458"/>
      <c r="S25" s="217"/>
      <c r="T25" s="91"/>
    </row>
    <row r="26" spans="1:20" s="5" customFormat="1" ht="12">
      <c r="A26" s="240"/>
      <c r="B26" s="95" t="s">
        <v>30</v>
      </c>
      <c r="C26" s="95"/>
      <c r="D26" s="95"/>
      <c r="E26" s="247">
        <v>23</v>
      </c>
      <c r="F26" s="331">
        <v>3400000</v>
      </c>
      <c r="G26" s="192"/>
      <c r="H26" s="274">
        <v>2497315.56</v>
      </c>
      <c r="I26" s="406">
        <f>H26/F26</f>
        <v>0.7345045764705882</v>
      </c>
      <c r="J26" s="214">
        <f>H26/12*12</f>
        <v>2497315.56</v>
      </c>
      <c r="K26" s="192">
        <v>6375627.11</v>
      </c>
      <c r="L26" s="192">
        <v>4961475.04</v>
      </c>
      <c r="M26" s="192">
        <v>2354026.17</v>
      </c>
      <c r="N26" s="192">
        <v>2795000</v>
      </c>
      <c r="O26" s="192">
        <v>2606000</v>
      </c>
      <c r="P26" s="458"/>
      <c r="Q26" s="458"/>
      <c r="R26" s="458"/>
      <c r="S26" s="217"/>
      <c r="T26" s="91"/>
    </row>
    <row r="27" spans="1:20" ht="12.75">
      <c r="A27" s="239" t="s">
        <v>158</v>
      </c>
      <c r="B27" s="171"/>
      <c r="C27" s="171"/>
      <c r="D27" s="171"/>
      <c r="E27" s="245">
        <v>24</v>
      </c>
      <c r="F27" s="330">
        <f>SUM(F28:F42)</f>
        <v>414793000</v>
      </c>
      <c r="G27" s="221">
        <f>SUM(G28:G42)</f>
        <v>378975836</v>
      </c>
      <c r="H27" s="342">
        <f>SUM(H28:H42)</f>
        <v>454393510.9</v>
      </c>
      <c r="I27" s="403">
        <f>H27/F27</f>
        <v>1.0954705380756184</v>
      </c>
      <c r="J27" s="352">
        <f aca="true" t="shared" si="5" ref="J27:O27">SUM(J28:J42)</f>
        <v>454306201.03</v>
      </c>
      <c r="K27" s="221">
        <f t="shared" si="5"/>
        <v>399193211.17</v>
      </c>
      <c r="L27" s="221">
        <f t="shared" si="5"/>
        <v>331131572.47</v>
      </c>
      <c r="M27" s="221">
        <f t="shared" si="5"/>
        <v>264802920.42</v>
      </c>
      <c r="N27" s="221">
        <f t="shared" si="5"/>
        <v>233547000</v>
      </c>
      <c r="O27" s="221">
        <f t="shared" si="5"/>
        <v>198425000</v>
      </c>
      <c r="T27" s="91"/>
    </row>
    <row r="28" spans="1:20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f>F53</f>
        <v>226088000</v>
      </c>
      <c r="G28" s="337">
        <f>215980000+840000+10754986</f>
        <v>227574986</v>
      </c>
      <c r="H28" s="345">
        <v>227574986</v>
      </c>
      <c r="I28" s="407">
        <f>H28/G28</f>
        <v>1</v>
      </c>
      <c r="J28" s="568">
        <f>G28</f>
        <v>227574986</v>
      </c>
      <c r="K28" s="192">
        <v>203825199.95</v>
      </c>
      <c r="L28" s="192">
        <v>197728472.69</v>
      </c>
      <c r="M28" s="192">
        <v>139095954.64</v>
      </c>
      <c r="N28" s="192">
        <v>117481000</v>
      </c>
      <c r="O28" s="192">
        <v>97174000</v>
      </c>
      <c r="P28" s="458"/>
      <c r="Q28" s="458"/>
      <c r="R28" s="458"/>
      <c r="S28" s="217"/>
      <c r="T28" s="91"/>
    </row>
    <row r="29" spans="1:20" s="5" customFormat="1" ht="12">
      <c r="A29" s="240"/>
      <c r="B29" s="4" t="s">
        <v>14</v>
      </c>
      <c r="C29" s="4"/>
      <c r="D29" s="4"/>
      <c r="E29" s="246">
        <v>26</v>
      </c>
      <c r="F29" s="333">
        <v>16900000</v>
      </c>
      <c r="G29" s="338">
        <v>16731000</v>
      </c>
      <c r="H29" s="346">
        <v>16731000</v>
      </c>
      <c r="I29" s="407">
        <f>H29/G29</f>
        <v>1</v>
      </c>
      <c r="J29" s="214">
        <f aca="true" t="shared" si="6" ref="J29:J38">G29</f>
        <v>16731000</v>
      </c>
      <c r="K29" s="326">
        <v>14657000</v>
      </c>
      <c r="L29" s="326">
        <v>11820000</v>
      </c>
      <c r="M29" s="326">
        <v>8849299</v>
      </c>
      <c r="N29" s="326">
        <v>6768000</v>
      </c>
      <c r="O29" s="326">
        <v>4005000</v>
      </c>
      <c r="P29" s="458"/>
      <c r="Q29" s="458"/>
      <c r="R29" s="458"/>
      <c r="S29" s="217"/>
      <c r="T29" s="91"/>
    </row>
    <row r="30" spans="1:20" s="5" customFormat="1" ht="12">
      <c r="A30" s="240"/>
      <c r="B30" s="4" t="s">
        <v>15</v>
      </c>
      <c r="C30" s="4"/>
      <c r="D30" s="4"/>
      <c r="E30" s="246">
        <v>27</v>
      </c>
      <c r="F30" s="333"/>
      <c r="G30" s="338">
        <f>1029000+79000</f>
        <v>1108000</v>
      </c>
      <c r="H30" s="346">
        <v>1108000</v>
      </c>
      <c r="I30" s="407">
        <f>H30/G30</f>
        <v>1</v>
      </c>
      <c r="J30" s="214">
        <f t="shared" si="6"/>
        <v>1108000</v>
      </c>
      <c r="K30" s="326">
        <v>877000</v>
      </c>
      <c r="L30" s="326">
        <v>874817</v>
      </c>
      <c r="M30" s="326">
        <v>1595000</v>
      </c>
      <c r="N30" s="326">
        <v>2145000</v>
      </c>
      <c r="O30" s="326">
        <v>1925000</v>
      </c>
      <c r="P30" s="458"/>
      <c r="Q30" s="458"/>
      <c r="R30" s="458"/>
      <c r="S30" s="217"/>
      <c r="T30" s="91"/>
    </row>
    <row r="31" spans="1:20" s="5" customFormat="1" ht="12">
      <c r="A31" s="240"/>
      <c r="B31" s="4" t="s">
        <v>20</v>
      </c>
      <c r="C31" s="3"/>
      <c r="D31" s="3"/>
      <c r="E31" s="246">
        <v>28</v>
      </c>
      <c r="F31" s="333">
        <v>11132000</v>
      </c>
      <c r="G31" s="456">
        <f>11411850</f>
        <v>11411850</v>
      </c>
      <c r="H31" s="346">
        <v>11411849</v>
      </c>
      <c r="I31" s="407">
        <f>H31/G31</f>
        <v>0.999999912371789</v>
      </c>
      <c r="J31" s="214">
        <f t="shared" si="6"/>
        <v>11411850</v>
      </c>
      <c r="K31" s="326">
        <v>9128681.57</v>
      </c>
      <c r="L31" s="326">
        <v>4370000</v>
      </c>
      <c r="M31" s="326">
        <v>4636614.5</v>
      </c>
      <c r="N31" s="326">
        <v>11516000</v>
      </c>
      <c r="O31" s="326">
        <v>2721000</v>
      </c>
      <c r="P31" s="458"/>
      <c r="Q31" s="458"/>
      <c r="R31" s="458"/>
      <c r="S31" s="217"/>
      <c r="T31" s="91"/>
    </row>
    <row r="32" spans="1:20" s="5" customFormat="1" ht="12">
      <c r="A32" s="240"/>
      <c r="B32" s="4" t="s">
        <v>16</v>
      </c>
      <c r="C32" s="4"/>
      <c r="D32" s="4"/>
      <c r="E32" s="246">
        <v>29</v>
      </c>
      <c r="F32" s="333">
        <v>461000</v>
      </c>
      <c r="G32" s="338">
        <f>(207+254)*1000</f>
        <v>461000</v>
      </c>
      <c r="H32" s="346">
        <v>461000</v>
      </c>
      <c r="I32" s="407">
        <f>H32/G32</f>
        <v>1</v>
      </c>
      <c r="J32" s="214">
        <f t="shared" si="6"/>
        <v>461000</v>
      </c>
      <c r="K32" s="326">
        <v>970000</v>
      </c>
      <c r="L32" s="326">
        <v>1328694.27</v>
      </c>
      <c r="M32" s="326">
        <v>1189000</v>
      </c>
      <c r="N32" s="326">
        <v>880000</v>
      </c>
      <c r="O32" s="326">
        <v>1318000</v>
      </c>
      <c r="P32" s="458"/>
      <c r="Q32" s="458"/>
      <c r="R32" s="458"/>
      <c r="S32" s="217"/>
      <c r="T32" s="91"/>
    </row>
    <row r="33" spans="1:20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214">
        <f t="shared" si="6"/>
        <v>0</v>
      </c>
      <c r="K33" s="326"/>
      <c r="L33" s="326"/>
      <c r="M33" s="326"/>
      <c r="N33" s="326"/>
      <c r="O33" s="326"/>
      <c r="P33" s="458"/>
      <c r="Q33" s="458"/>
      <c r="R33" s="458"/>
      <c r="S33" s="217"/>
      <c r="T33" s="91"/>
    </row>
    <row r="34" spans="1:20" s="5" customFormat="1" ht="12">
      <c r="A34" s="240"/>
      <c r="B34" s="4" t="s">
        <v>24</v>
      </c>
      <c r="C34" s="4"/>
      <c r="D34" s="4"/>
      <c r="E34" s="246">
        <v>31</v>
      </c>
      <c r="F34" s="333"/>
      <c r="G34" s="338">
        <f>113000+15000</f>
        <v>128000</v>
      </c>
      <c r="H34" s="346">
        <v>128000</v>
      </c>
      <c r="I34" s="407">
        <f>H34/G34</f>
        <v>1</v>
      </c>
      <c r="J34" s="214">
        <f>H34</f>
        <v>128000</v>
      </c>
      <c r="K34" s="326">
        <v>1486888.5</v>
      </c>
      <c r="L34" s="326">
        <v>599819.1</v>
      </c>
      <c r="M34" s="326">
        <v>2598881.8</v>
      </c>
      <c r="N34" s="326">
        <v>1124000</v>
      </c>
      <c r="O34" s="326">
        <v>1280000</v>
      </c>
      <c r="P34" s="458"/>
      <c r="Q34" s="458"/>
      <c r="R34" s="458"/>
      <c r="S34" s="217"/>
      <c r="T34" s="91"/>
    </row>
    <row r="35" spans="1:20" s="5" customFormat="1" ht="12">
      <c r="A35" s="240"/>
      <c r="B35" s="4" t="s">
        <v>31</v>
      </c>
      <c r="C35" s="4"/>
      <c r="D35" s="4"/>
      <c r="E35" s="246">
        <v>32</v>
      </c>
      <c r="F35" s="333"/>
      <c r="G35" s="338"/>
      <c r="H35" s="346">
        <v>30000</v>
      </c>
      <c r="I35" s="407"/>
      <c r="J35" s="214">
        <f>H35</f>
        <v>30000</v>
      </c>
      <c r="K35" s="326">
        <v>27844</v>
      </c>
      <c r="L35" s="326">
        <v>62692.36</v>
      </c>
      <c r="M35" s="326">
        <v>15000</v>
      </c>
      <c r="N35" s="326">
        <v>88000</v>
      </c>
      <c r="O35" s="326">
        <v>46000</v>
      </c>
      <c r="P35" s="458"/>
      <c r="Q35" s="458"/>
      <c r="R35" s="458"/>
      <c r="S35" s="217"/>
      <c r="T35" s="91"/>
    </row>
    <row r="36" spans="1:20" s="5" customFormat="1" ht="12">
      <c r="A36" s="240"/>
      <c r="B36" s="4" t="s">
        <v>85</v>
      </c>
      <c r="C36" s="4"/>
      <c r="D36" s="4"/>
      <c r="E36" s="246">
        <v>33</v>
      </c>
      <c r="F36" s="333">
        <v>24126000</v>
      </c>
      <c r="G36" s="338">
        <f>F36</f>
        <v>24126000</v>
      </c>
      <c r="H36" s="346">
        <v>24126000</v>
      </c>
      <c r="I36" s="407">
        <f>H36/G36</f>
        <v>1</v>
      </c>
      <c r="J36" s="214">
        <f t="shared" si="6"/>
        <v>24126000</v>
      </c>
      <c r="K36" s="326">
        <v>22281000</v>
      </c>
      <c r="L36" s="326">
        <v>22237000</v>
      </c>
      <c r="M36" s="326">
        <v>19854000</v>
      </c>
      <c r="N36" s="326">
        <v>17655000</v>
      </c>
      <c r="O36" s="326">
        <v>13852000</v>
      </c>
      <c r="P36" s="458"/>
      <c r="Q36" s="458"/>
      <c r="R36" s="458"/>
      <c r="S36" s="217"/>
      <c r="T36" s="91"/>
    </row>
    <row r="37" spans="1:20" s="5" customFormat="1" ht="12">
      <c r="A37" s="240"/>
      <c r="B37" s="4" t="s">
        <v>25</v>
      </c>
      <c r="C37" s="4"/>
      <c r="D37" s="4"/>
      <c r="E37" s="246">
        <v>34</v>
      </c>
      <c r="F37" s="333">
        <v>28885000</v>
      </c>
      <c r="G37" s="338">
        <v>30388000</v>
      </c>
      <c r="H37" s="346">
        <v>30504289.84</v>
      </c>
      <c r="I37" s="407">
        <f>H37/G37</f>
        <v>1.003826834276688</v>
      </c>
      <c r="J37" s="214">
        <f t="shared" si="6"/>
        <v>30388000</v>
      </c>
      <c r="K37" s="326">
        <v>30729190</v>
      </c>
      <c r="L37" s="326">
        <v>24972000</v>
      </c>
      <c r="M37" s="326">
        <v>25840422.41</v>
      </c>
      <c r="N37" s="326">
        <v>21901000</v>
      </c>
      <c r="O37" s="326">
        <v>21368000</v>
      </c>
      <c r="P37" s="458"/>
      <c r="Q37" s="458"/>
      <c r="R37" s="458"/>
      <c r="S37" s="217"/>
      <c r="T37" s="91"/>
    </row>
    <row r="38" spans="1:20" s="5" customFormat="1" ht="12">
      <c r="A38" s="240"/>
      <c r="B38" s="4" t="s">
        <v>26</v>
      </c>
      <c r="C38" s="4"/>
      <c r="D38" s="4"/>
      <c r="E38" s="246">
        <v>35</v>
      </c>
      <c r="F38" s="333">
        <v>52297000</v>
      </c>
      <c r="G38" s="338">
        <f>(18214+6164+841+7652+8688+23462+246+1780)*1000</f>
        <v>67047000</v>
      </c>
      <c r="H38" s="346">
        <v>67018021.03</v>
      </c>
      <c r="I38" s="407">
        <f>H38/G38</f>
        <v>0.9995677812579236</v>
      </c>
      <c r="J38" s="214">
        <f t="shared" si="6"/>
        <v>67047000</v>
      </c>
      <c r="K38" s="326">
        <v>50481421.12</v>
      </c>
      <c r="L38" s="326">
        <v>27655725.1</v>
      </c>
      <c r="M38" s="326">
        <v>28405897.47</v>
      </c>
      <c r="N38" s="326">
        <v>22604000</v>
      </c>
      <c r="O38" s="326">
        <v>17504000</v>
      </c>
      <c r="P38" s="467">
        <v>1259624</v>
      </c>
      <c r="Q38" s="467">
        <v>0</v>
      </c>
      <c r="R38" s="467">
        <v>659316</v>
      </c>
      <c r="S38" s="217"/>
      <c r="T38" s="91"/>
    </row>
    <row r="39" spans="1:20" s="5" customFormat="1" ht="12">
      <c r="A39" s="240"/>
      <c r="B39" s="4" t="s">
        <v>27</v>
      </c>
      <c r="C39" s="4"/>
      <c r="D39" s="4"/>
      <c r="E39" s="246">
        <v>36</v>
      </c>
      <c r="F39" s="333">
        <v>2899000</v>
      </c>
      <c r="G39" s="338"/>
      <c r="H39" s="346">
        <v>9487019.42</v>
      </c>
      <c r="I39" s="407">
        <f>H39/F39</f>
        <v>3.2725144601586753</v>
      </c>
      <c r="J39" s="353">
        <f>H39</f>
        <v>9487019.42</v>
      </c>
      <c r="K39" s="326">
        <v>4318992.1</v>
      </c>
      <c r="L39" s="326">
        <v>3940418.28</v>
      </c>
      <c r="M39" s="326">
        <v>2623032.93</v>
      </c>
      <c r="N39" s="326">
        <v>2339000</v>
      </c>
      <c r="O39" s="326">
        <v>1790000</v>
      </c>
      <c r="P39" s="458"/>
      <c r="Q39" s="458"/>
      <c r="R39" s="458"/>
      <c r="S39" s="217"/>
      <c r="T39" s="91"/>
    </row>
    <row r="40" spans="1:20" s="5" customFormat="1" ht="13.5">
      <c r="A40" s="240"/>
      <c r="B40" s="4" t="s">
        <v>180</v>
      </c>
      <c r="C40" s="4"/>
      <c r="D40" s="4"/>
      <c r="E40" s="246">
        <v>37</v>
      </c>
      <c r="F40" s="333">
        <v>44005000</v>
      </c>
      <c r="G40" s="338"/>
      <c r="H40" s="346">
        <v>62563344.72</v>
      </c>
      <c r="I40" s="407">
        <f>H40/F40</f>
        <v>1.4217326376548118</v>
      </c>
      <c r="J40" s="353">
        <f>(H40-H46)/12*12+H46</f>
        <v>62563344.72</v>
      </c>
      <c r="K40" s="326">
        <v>53543837.77</v>
      </c>
      <c r="L40" s="326">
        <v>29158279.78</v>
      </c>
      <c r="M40" s="326">
        <v>23862169.6</v>
      </c>
      <c r="N40" s="326">
        <v>25302000</v>
      </c>
      <c r="O40" s="326">
        <v>31612000</v>
      </c>
      <c r="P40" s="458"/>
      <c r="Q40" s="458"/>
      <c r="R40" s="458"/>
      <c r="S40" s="217"/>
      <c r="T40" s="91"/>
    </row>
    <row r="41" spans="1:20" s="5" customFormat="1" ht="12">
      <c r="A41" s="240"/>
      <c r="B41" s="4" t="s">
        <v>29</v>
      </c>
      <c r="C41" s="4"/>
      <c r="D41" s="4"/>
      <c r="E41" s="246">
        <v>38</v>
      </c>
      <c r="F41" s="333">
        <v>4000000</v>
      </c>
      <c r="G41" s="338"/>
      <c r="H41" s="346">
        <v>599184</v>
      </c>
      <c r="I41" s="407">
        <f>H41/F41</f>
        <v>0.149796</v>
      </c>
      <c r="J41" s="353">
        <f>H41</f>
        <v>599184</v>
      </c>
      <c r="K41" s="326">
        <v>441770</v>
      </c>
      <c r="L41" s="326"/>
      <c r="M41" s="326">
        <v>167079</v>
      </c>
      <c r="N41" s="326">
        <v>161000</v>
      </c>
      <c r="O41" s="326">
        <v>379000</v>
      </c>
      <c r="P41" s="458"/>
      <c r="Q41" s="458"/>
      <c r="R41" s="458"/>
      <c r="S41" s="217"/>
      <c r="T41" s="91"/>
    </row>
    <row r="42" spans="1:20" s="5" customFormat="1" ht="12">
      <c r="A42" s="240"/>
      <c r="B42" s="4" t="s">
        <v>30</v>
      </c>
      <c r="C42" s="4"/>
      <c r="D42" s="4"/>
      <c r="E42" s="246">
        <v>39</v>
      </c>
      <c r="F42" s="333">
        <v>4000000</v>
      </c>
      <c r="G42" s="338"/>
      <c r="H42" s="346">
        <v>2650816.89</v>
      </c>
      <c r="I42" s="407">
        <f>H42/F42</f>
        <v>0.6627042225</v>
      </c>
      <c r="J42" s="353">
        <f>H42/12*12</f>
        <v>2650816.89</v>
      </c>
      <c r="K42" s="326">
        <v>6424386.16</v>
      </c>
      <c r="L42" s="326">
        <v>6383653.89</v>
      </c>
      <c r="M42" s="326">
        <v>6070569.07</v>
      </c>
      <c r="N42" s="326">
        <v>3583000</v>
      </c>
      <c r="O42" s="326">
        <v>3451000</v>
      </c>
      <c r="P42" s="458"/>
      <c r="Q42" s="458"/>
      <c r="R42" s="458"/>
      <c r="S42" s="217"/>
      <c r="T42" s="91"/>
    </row>
    <row r="43" spans="1:20" s="5" customFormat="1" ht="12" hidden="1">
      <c r="A43" s="241" t="s">
        <v>32</v>
      </c>
      <c r="B43" s="27"/>
      <c r="C43" s="27"/>
      <c r="D43" s="27"/>
      <c r="E43" s="259">
        <v>42</v>
      </c>
      <c r="F43" s="334">
        <f>F28+F33+F36+F40+F41+F42-F5-F26</f>
        <v>0</v>
      </c>
      <c r="G43" s="227"/>
      <c r="H43" s="347">
        <v>40964129.93</v>
      </c>
      <c r="I43" s="408"/>
      <c r="J43" s="347">
        <f>J28+J33+J36+J40+J41+J42-J5-J26</f>
        <v>10525471.650000038</v>
      </c>
      <c r="K43" s="227"/>
      <c r="L43" s="227"/>
      <c r="M43" s="227">
        <f>M28+M33+M36+M40+M41+M42-M5-M26</f>
        <v>11327609.940000014</v>
      </c>
      <c r="N43" s="227">
        <f>N28+N33+N36+N40+N41+N42-N5-N26</f>
        <v>14709000</v>
      </c>
      <c r="O43" s="227">
        <f>O28+O33+O36+O40+O41+O42-O5-O26</f>
        <v>2087000</v>
      </c>
      <c r="P43" s="458"/>
      <c r="Q43" s="458"/>
      <c r="R43" s="458"/>
      <c r="S43" s="217"/>
      <c r="T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0</v>
      </c>
      <c r="G44" s="221"/>
      <c r="H44" s="342">
        <f>H27-H4</f>
        <v>10525471.649999976</v>
      </c>
      <c r="I44" s="409"/>
      <c r="J44" s="352">
        <f aca="true" t="shared" si="7" ref="J44:O44">J27-J4</f>
        <v>10525471.649999976</v>
      </c>
      <c r="K44" s="221">
        <f t="shared" si="7"/>
        <v>10988645.629999995</v>
      </c>
      <c r="L44" s="221">
        <f t="shared" si="7"/>
        <v>10292316.119999945</v>
      </c>
      <c r="M44" s="221">
        <f t="shared" si="7"/>
        <v>11327609.840000033</v>
      </c>
      <c r="N44" s="221">
        <f t="shared" si="7"/>
        <v>14710000</v>
      </c>
      <c r="O44" s="221">
        <f t="shared" si="7"/>
        <v>2087000</v>
      </c>
    </row>
    <row r="45" spans="1:19" s="90" customFormat="1" ht="11.25">
      <c r="A45" s="89" t="s">
        <v>174</v>
      </c>
      <c r="G45" s="90" t="s">
        <v>203</v>
      </c>
      <c r="H45" s="552">
        <v>2288385.81</v>
      </c>
      <c r="I45" s="410"/>
      <c r="P45" s="459"/>
      <c r="Q45" s="459"/>
      <c r="R45" s="459"/>
      <c r="S45" s="91"/>
    </row>
    <row r="46" spans="1:19" s="90" customFormat="1" ht="11.25">
      <c r="A46" s="210" t="s">
        <v>141</v>
      </c>
      <c r="F46" s="91">
        <f>SUM(F47:F48)</f>
        <v>29113000</v>
      </c>
      <c r="G46" s="91"/>
      <c r="H46" s="91"/>
      <c r="I46" s="411"/>
      <c r="J46" s="91"/>
      <c r="K46" s="91"/>
      <c r="L46" s="91"/>
      <c r="M46" s="91"/>
      <c r="N46" s="91"/>
      <c r="O46" s="91"/>
      <c r="P46" s="459"/>
      <c r="Q46" s="459"/>
      <c r="R46" s="459"/>
      <c r="S46" s="91"/>
    </row>
    <row r="47" spans="1:19" s="90" customFormat="1" ht="11.25">
      <c r="A47" s="142" t="s">
        <v>142</v>
      </c>
      <c r="F47" s="91">
        <v>10108000</v>
      </c>
      <c r="G47" s="91"/>
      <c r="H47" s="91"/>
      <c r="I47" s="411"/>
      <c r="J47" s="91"/>
      <c r="K47" s="91"/>
      <c r="L47" s="91"/>
      <c r="M47" s="91"/>
      <c r="N47" s="91"/>
      <c r="O47" s="91"/>
      <c r="P47" s="459"/>
      <c r="Q47" s="459"/>
      <c r="R47" s="459"/>
      <c r="S47" s="91"/>
    </row>
    <row r="48" spans="1:19" s="90" customFormat="1" ht="11.25">
      <c r="A48" s="142" t="s">
        <v>143</v>
      </c>
      <c r="F48" s="91">
        <v>19005000</v>
      </c>
      <c r="G48" s="91"/>
      <c r="H48" s="91"/>
      <c r="I48" s="411"/>
      <c r="J48" s="91"/>
      <c r="K48" s="91"/>
      <c r="L48" s="91"/>
      <c r="M48" s="91"/>
      <c r="N48" s="91"/>
      <c r="O48" s="91"/>
      <c r="P48" s="459"/>
      <c r="Q48" s="459"/>
      <c r="R48" s="459"/>
      <c r="S48" s="91"/>
    </row>
    <row r="49" spans="1:19" s="90" customFormat="1" ht="11.25">
      <c r="A49" s="142" t="s">
        <v>145</v>
      </c>
      <c r="F49" s="91"/>
      <c r="G49" s="91"/>
      <c r="H49" s="91"/>
      <c r="I49" s="411"/>
      <c r="J49" s="91"/>
      <c r="K49" s="91"/>
      <c r="L49" s="91"/>
      <c r="M49" s="91"/>
      <c r="N49" s="91"/>
      <c r="O49" s="91"/>
      <c r="P49" s="459"/>
      <c r="Q49" s="459"/>
      <c r="R49" s="459"/>
      <c r="S49" s="91"/>
    </row>
    <row r="50" spans="1:10" ht="12.75">
      <c r="A50" s="90" t="s">
        <v>170</v>
      </c>
      <c r="B50" s="90"/>
      <c r="C50" s="90"/>
      <c r="D50" s="90"/>
      <c r="E50" s="89"/>
      <c r="F50" s="91">
        <v>215980000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10108000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226088000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35" right="0.19" top="0.38" bottom="0.2362204724409449" header="0.2362204724409449" footer="0.1574803149606299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/>
  <dimension ref="A1:S54"/>
  <sheetViews>
    <sheetView workbookViewId="0" topLeftCell="A44">
      <selection activeCell="D49" sqref="D4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6" width="11.375" style="216" bestFit="1" customWidth="1"/>
    <col min="7" max="7" width="9.625" style="216" bestFit="1" customWidth="1"/>
    <col min="8" max="8" width="10.875" style="216" bestFit="1" customWidth="1"/>
    <col min="9" max="9" width="6.75390625" style="413" bestFit="1" customWidth="1"/>
    <col min="10" max="10" width="10.125" style="216" hidden="1" customWidth="1"/>
    <col min="11" max="11" width="10.125" style="89" bestFit="1" customWidth="1"/>
    <col min="12" max="15" width="9.625" style="89" bestFit="1" customWidth="1"/>
    <col min="16" max="16" width="7.125" style="458" customWidth="1"/>
    <col min="17" max="17" width="4.75390625" style="458" customWidth="1"/>
    <col min="18" max="18" width="8.00390625" style="458" customWidth="1"/>
    <col min="19" max="19" width="7.75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40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36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58"/>
      <c r="Q3" s="458"/>
      <c r="R3" s="458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303266000</v>
      </c>
      <c r="G4" s="221">
        <f>SUM(G6:G26)</f>
        <v>80672465.61</v>
      </c>
      <c r="H4" s="342">
        <f>SUM(H6:H26)</f>
        <v>306553699.59</v>
      </c>
      <c r="I4" s="403">
        <f>H4/F4</f>
        <v>1.0108409765354507</v>
      </c>
      <c r="J4" s="322">
        <f aca="true" t="shared" si="0" ref="J4:O4">SUM(J6:J26)</f>
        <v>306767016.6599999</v>
      </c>
      <c r="K4" s="221">
        <f t="shared" si="0"/>
        <v>269637887.02</v>
      </c>
      <c r="L4" s="221">
        <f t="shared" si="0"/>
        <v>223737468.69</v>
      </c>
      <c r="M4" s="221">
        <f t="shared" si="0"/>
        <v>165479116.58</v>
      </c>
      <c r="N4" s="221">
        <f t="shared" si="0"/>
        <v>141699000</v>
      </c>
      <c r="O4" s="221">
        <f t="shared" si="0"/>
        <v>107132000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229476000</v>
      </c>
      <c r="G5" s="192"/>
      <c r="H5" s="274">
        <f>SUM(H6:H16)</f>
        <v>225741801.04999995</v>
      </c>
      <c r="I5" s="404">
        <f>H5/F5</f>
        <v>0.9837272788875523</v>
      </c>
      <c r="J5" s="187">
        <f aca="true" t="shared" si="1" ref="J5:O5">SUM(J6:J16)</f>
        <v>225741801.04999995</v>
      </c>
      <c r="K5" s="192">
        <f t="shared" si="1"/>
        <v>193455341.54999998</v>
      </c>
      <c r="L5" s="192">
        <f t="shared" si="1"/>
        <v>168753668.17</v>
      </c>
      <c r="M5" s="192">
        <f t="shared" si="1"/>
        <v>118908935.28999999</v>
      </c>
      <c r="N5" s="192">
        <f t="shared" si="1"/>
        <v>96974000</v>
      </c>
      <c r="O5" s="192">
        <f t="shared" si="1"/>
        <v>79953000</v>
      </c>
      <c r="P5" s="458"/>
      <c r="Q5" s="458"/>
      <c r="R5" s="458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128435000</v>
      </c>
      <c r="G6" s="174"/>
      <c r="H6" s="343">
        <v>126382776</v>
      </c>
      <c r="I6" s="405">
        <f>H6/F6</f>
        <v>0.9840213026044302</v>
      </c>
      <c r="J6" s="174">
        <f>H6/12*12</f>
        <v>126382776</v>
      </c>
      <c r="K6" s="174">
        <v>108680004</v>
      </c>
      <c r="L6" s="174">
        <v>94911971</v>
      </c>
      <c r="M6" s="174">
        <v>65913104</v>
      </c>
      <c r="N6" s="174">
        <v>53798000</v>
      </c>
      <c r="O6" s="174">
        <v>44448000</v>
      </c>
      <c r="P6" s="459"/>
      <c r="Q6" s="459"/>
      <c r="R6" s="459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3500000</v>
      </c>
      <c r="G7" s="174"/>
      <c r="H7" s="343">
        <v>4130603</v>
      </c>
      <c r="I7" s="405">
        <f aca="true" t="shared" si="2" ref="I7:I16">H7/F7</f>
        <v>1.1801722857142858</v>
      </c>
      <c r="J7" s="174">
        <f aca="true" t="shared" si="3" ref="J7:J15">H7/12*12</f>
        <v>4130603</v>
      </c>
      <c r="K7" s="174">
        <v>3448640</v>
      </c>
      <c r="L7" s="174">
        <v>3082528</v>
      </c>
      <c r="M7" s="174">
        <v>3200828</v>
      </c>
      <c r="N7" s="174">
        <v>1855000</v>
      </c>
      <c r="O7" s="174">
        <v>1454000</v>
      </c>
      <c r="P7" s="459"/>
      <c r="Q7" s="459"/>
      <c r="R7" s="459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45337000</v>
      </c>
      <c r="G8" s="174"/>
      <c r="H8" s="343">
        <v>44608699</v>
      </c>
      <c r="I8" s="405">
        <f t="shared" si="2"/>
        <v>0.9839358360720825</v>
      </c>
      <c r="J8" s="174">
        <f t="shared" si="3"/>
        <v>44608699</v>
      </c>
      <c r="K8" s="174">
        <v>38341226</v>
      </c>
      <c r="L8" s="174">
        <v>33326008</v>
      </c>
      <c r="M8" s="174">
        <v>23113725</v>
      </c>
      <c r="N8" s="174">
        <v>18783000</v>
      </c>
      <c r="O8" s="174">
        <v>15438000</v>
      </c>
      <c r="P8" s="459"/>
      <c r="Q8" s="459"/>
      <c r="R8" s="459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6000000</v>
      </c>
      <c r="G9" s="174"/>
      <c r="H9" s="343">
        <v>5220276.01</v>
      </c>
      <c r="I9" s="405">
        <f t="shared" si="2"/>
        <v>0.8700460016666667</v>
      </c>
      <c r="J9" s="174">
        <f t="shared" si="3"/>
        <v>5220276.01</v>
      </c>
      <c r="K9" s="174">
        <v>4025385.98</v>
      </c>
      <c r="L9" s="174">
        <v>3282516.69</v>
      </c>
      <c r="M9" s="174">
        <v>2663230.76</v>
      </c>
      <c r="N9" s="174">
        <v>4089000</v>
      </c>
      <c r="O9" s="174">
        <v>2911000</v>
      </c>
      <c r="P9" s="459"/>
      <c r="Q9" s="459"/>
      <c r="R9" s="459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2000000</v>
      </c>
      <c r="G10" s="174"/>
      <c r="H10" s="343">
        <v>1049113.23</v>
      </c>
      <c r="I10" s="405">
        <f t="shared" si="2"/>
        <v>0.524556615</v>
      </c>
      <c r="J10" s="174">
        <f t="shared" si="3"/>
        <v>1049113.23</v>
      </c>
      <c r="K10" s="174">
        <v>1788302.06</v>
      </c>
      <c r="L10" s="174">
        <v>1203839.1</v>
      </c>
      <c r="M10" s="174">
        <v>367793.8</v>
      </c>
      <c r="N10" s="174">
        <v>507000</v>
      </c>
      <c r="O10" s="174">
        <v>263000</v>
      </c>
      <c r="P10" s="459"/>
      <c r="Q10" s="459"/>
      <c r="R10" s="459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12000000</v>
      </c>
      <c r="G11" s="174"/>
      <c r="H11" s="343">
        <v>12471967</v>
      </c>
      <c r="I11" s="405">
        <f t="shared" si="2"/>
        <v>1.0393305833333333</v>
      </c>
      <c r="J11" s="174">
        <f t="shared" si="3"/>
        <v>12471967</v>
      </c>
      <c r="K11" s="174">
        <v>10567894.87</v>
      </c>
      <c r="L11" s="174">
        <v>11730640.85</v>
      </c>
      <c r="M11" s="174">
        <v>8569194.6</v>
      </c>
      <c r="N11" s="174">
        <v>5691000</v>
      </c>
      <c r="O11" s="174">
        <v>4731000</v>
      </c>
      <c r="P11" s="459"/>
      <c r="Q11" s="459"/>
      <c r="R11" s="459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9000000</v>
      </c>
      <c r="G12" s="174"/>
      <c r="H12" s="343">
        <v>9065370.63</v>
      </c>
      <c r="I12" s="405">
        <f t="shared" si="2"/>
        <v>1.0072634033333334</v>
      </c>
      <c r="J12" s="550">
        <f>H12/12*12</f>
        <v>9065370.63</v>
      </c>
      <c r="K12" s="174">
        <v>8547800.38</v>
      </c>
      <c r="L12" s="174">
        <v>6782827.66</v>
      </c>
      <c r="M12" s="174">
        <v>7550497.38</v>
      </c>
      <c r="N12" s="174">
        <v>7408000</v>
      </c>
      <c r="O12" s="174">
        <v>6308000</v>
      </c>
      <c r="P12" s="459"/>
      <c r="Q12" s="459"/>
      <c r="R12" s="459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1400000</v>
      </c>
      <c r="G13" s="174"/>
      <c r="H13" s="343">
        <v>1457366.39</v>
      </c>
      <c r="I13" s="405">
        <f t="shared" si="2"/>
        <v>1.0409759928571427</v>
      </c>
      <c r="J13" s="174">
        <f t="shared" si="3"/>
        <v>1457366.39</v>
      </c>
      <c r="K13" s="174">
        <v>1199811.2</v>
      </c>
      <c r="L13" s="174">
        <v>878411.45</v>
      </c>
      <c r="M13" s="174">
        <v>609293.91</v>
      </c>
      <c r="N13" s="174">
        <v>441000</v>
      </c>
      <c r="O13" s="174">
        <v>863000</v>
      </c>
      <c r="P13" s="459"/>
      <c r="Q13" s="459"/>
      <c r="R13" s="459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v>7179000</v>
      </c>
      <c r="G14" s="174"/>
      <c r="H14" s="343">
        <v>7706443.5</v>
      </c>
      <c r="I14" s="405">
        <f t="shared" si="2"/>
        <v>1.0734703301295445</v>
      </c>
      <c r="J14" s="174">
        <f t="shared" si="3"/>
        <v>7706443.5</v>
      </c>
      <c r="K14" s="174">
        <v>6915404</v>
      </c>
      <c r="L14" s="174">
        <v>6746933.8</v>
      </c>
      <c r="M14" s="174">
        <v>2046613.28</v>
      </c>
      <c r="N14" s="174">
        <v>1851000</v>
      </c>
      <c r="O14" s="174">
        <v>1464000</v>
      </c>
      <c r="P14" s="459"/>
      <c r="Q14" s="459"/>
      <c r="R14" s="459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575">
        <v>6800000</v>
      </c>
      <c r="G15" s="558"/>
      <c r="H15" s="343">
        <v>6350757</v>
      </c>
      <c r="I15" s="405">
        <f t="shared" si="2"/>
        <v>0.9339348529411765</v>
      </c>
      <c r="J15" s="174">
        <f t="shared" si="3"/>
        <v>6350757</v>
      </c>
      <c r="K15" s="174">
        <v>6718080</v>
      </c>
      <c r="L15" s="174">
        <v>2518788</v>
      </c>
      <c r="M15" s="174">
        <v>2114522</v>
      </c>
      <c r="N15" s="174">
        <v>1348000</v>
      </c>
      <c r="O15" s="174">
        <v>1431000</v>
      </c>
      <c r="P15" s="459"/>
      <c r="Q15" s="459"/>
      <c r="R15" s="459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575">
        <f>5869000+F47</f>
        <v>7825000</v>
      </c>
      <c r="G16" s="558"/>
      <c r="H16" s="344">
        <v>7298429.29</v>
      </c>
      <c r="I16" s="405">
        <f t="shared" si="2"/>
        <v>0.9327066185303514</v>
      </c>
      <c r="J16" s="550">
        <f>H16/12*12</f>
        <v>7298429.289999999</v>
      </c>
      <c r="K16" s="174">
        <v>3222793.06</v>
      </c>
      <c r="L16" s="174">
        <v>4289203.62</v>
      </c>
      <c r="M16" s="174">
        <v>2760132.56</v>
      </c>
      <c r="N16" s="174">
        <v>1203000</v>
      </c>
      <c r="O16" s="174">
        <v>642000</v>
      </c>
      <c r="P16" s="459"/>
      <c r="Q16" s="459"/>
      <c r="R16" s="459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576">
        <v>17000000</v>
      </c>
      <c r="G17" s="573">
        <f>J17</f>
        <v>18780000</v>
      </c>
      <c r="H17" s="274">
        <v>18780000</v>
      </c>
      <c r="I17" s="406">
        <f>H17/G17</f>
        <v>1</v>
      </c>
      <c r="J17" s="187">
        <f>J29</f>
        <v>18780000</v>
      </c>
      <c r="K17" s="192">
        <v>16892000</v>
      </c>
      <c r="L17" s="192">
        <v>14440000</v>
      </c>
      <c r="M17" s="192">
        <v>11325000</v>
      </c>
      <c r="N17" s="192">
        <v>8784000</v>
      </c>
      <c r="O17" s="192">
        <v>5940000</v>
      </c>
      <c r="P17" s="458"/>
      <c r="Q17" s="458"/>
      <c r="R17" s="458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576">
        <v>3000000</v>
      </c>
      <c r="G18" s="573">
        <f aca="true" t="shared" si="4" ref="G18:G24">J18</f>
        <v>5036109.24</v>
      </c>
      <c r="H18" s="274">
        <v>5036109.24</v>
      </c>
      <c r="I18" s="406">
        <f aca="true" t="shared" si="5" ref="I18:I24">H18/G18</f>
        <v>1</v>
      </c>
      <c r="J18" s="187">
        <f>J30</f>
        <v>5036109.24</v>
      </c>
      <c r="K18" s="192">
        <v>2974000</v>
      </c>
      <c r="L18" s="192">
        <v>1526009</v>
      </c>
      <c r="M18" s="192">
        <v>1308200</v>
      </c>
      <c r="N18" s="192">
        <v>1102000</v>
      </c>
      <c r="O18" s="192">
        <v>1271000</v>
      </c>
      <c r="P18" s="458"/>
      <c r="Q18" s="458"/>
      <c r="R18" s="458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576">
        <v>3858000</v>
      </c>
      <c r="G19" s="573">
        <f t="shared" si="4"/>
        <v>4767900</v>
      </c>
      <c r="H19" s="274">
        <v>4767900</v>
      </c>
      <c r="I19" s="406">
        <f t="shared" si="5"/>
        <v>1</v>
      </c>
      <c r="J19" s="187">
        <f>J31</f>
        <v>4767900</v>
      </c>
      <c r="K19" s="192">
        <v>10499906.46</v>
      </c>
      <c r="L19" s="192">
        <v>8509400</v>
      </c>
      <c r="M19" s="192">
        <v>5121900</v>
      </c>
      <c r="N19" s="192">
        <v>12426000</v>
      </c>
      <c r="O19" s="192"/>
      <c r="P19" s="458"/>
      <c r="Q19" s="458"/>
      <c r="R19" s="458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576">
        <v>2340000</v>
      </c>
      <c r="G20" s="573">
        <f t="shared" si="4"/>
        <v>2276000</v>
      </c>
      <c r="H20" s="274">
        <v>2276000</v>
      </c>
      <c r="I20" s="406">
        <f t="shared" si="5"/>
        <v>1</v>
      </c>
      <c r="J20" s="187">
        <f>J32</f>
        <v>2276000</v>
      </c>
      <c r="K20" s="192">
        <v>1392000</v>
      </c>
      <c r="L20" s="192">
        <v>1241000</v>
      </c>
      <c r="M20" s="192">
        <v>2305000</v>
      </c>
      <c r="N20" s="192">
        <v>981000</v>
      </c>
      <c r="O20" s="192">
        <v>861000</v>
      </c>
      <c r="P20" s="458"/>
      <c r="Q20" s="458"/>
      <c r="R20" s="458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576">
        <v>500000</v>
      </c>
      <c r="G21" s="573">
        <f t="shared" si="4"/>
        <v>945000</v>
      </c>
      <c r="H21" s="274">
        <v>729465.95</v>
      </c>
      <c r="I21" s="406">
        <f t="shared" si="5"/>
        <v>0.7719216402116401</v>
      </c>
      <c r="J21" s="187">
        <f>J34</f>
        <v>945000</v>
      </c>
      <c r="K21" s="192">
        <v>547140.6</v>
      </c>
      <c r="L21" s="192">
        <v>304138.06</v>
      </c>
      <c r="M21" s="192">
        <v>70000</v>
      </c>
      <c r="N21" s="192">
        <v>85000</v>
      </c>
      <c r="O21" s="192">
        <v>160000</v>
      </c>
      <c r="P21" s="458"/>
      <c r="Q21" s="458"/>
      <c r="R21" s="458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576">
        <v>3000000</v>
      </c>
      <c r="G22" s="573">
        <f t="shared" si="4"/>
        <v>7321762.02</v>
      </c>
      <c r="H22" s="274">
        <v>7321762.02</v>
      </c>
      <c r="I22" s="406">
        <f t="shared" si="5"/>
        <v>1</v>
      </c>
      <c r="J22" s="187">
        <f>H22</f>
        <v>7321762.02</v>
      </c>
      <c r="K22" s="192">
        <v>2999564.38</v>
      </c>
      <c r="L22" s="192">
        <v>4414210.28</v>
      </c>
      <c r="M22" s="192">
        <v>3377687.99</v>
      </c>
      <c r="N22" s="192">
        <v>3759000</v>
      </c>
      <c r="O22" s="192">
        <v>2802000</v>
      </c>
      <c r="P22" s="458"/>
      <c r="Q22" s="458"/>
      <c r="R22" s="458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576">
        <f>F37</f>
        <v>22550000</v>
      </c>
      <c r="G23" s="573">
        <f t="shared" si="4"/>
        <v>19230200</v>
      </c>
      <c r="H23" s="274">
        <v>19230200</v>
      </c>
      <c r="I23" s="406">
        <f t="shared" si="5"/>
        <v>1</v>
      </c>
      <c r="J23" s="187">
        <f>J37</f>
        <v>19230200</v>
      </c>
      <c r="K23" s="192">
        <v>18801000</v>
      </c>
      <c r="L23" s="192">
        <v>3870000</v>
      </c>
      <c r="M23" s="192">
        <v>3638000</v>
      </c>
      <c r="N23" s="192">
        <v>3456000</v>
      </c>
      <c r="O23" s="192">
        <v>3527000</v>
      </c>
      <c r="P23" s="458"/>
      <c r="Q23" s="458"/>
      <c r="R23" s="458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576">
        <v>20542000</v>
      </c>
      <c r="G24" s="573">
        <f t="shared" si="4"/>
        <v>22104671.58</v>
      </c>
      <c r="H24" s="274">
        <v>22106888.56</v>
      </c>
      <c r="I24" s="406">
        <f t="shared" si="5"/>
        <v>1.0001002946364517</v>
      </c>
      <c r="J24" s="187">
        <f>J38</f>
        <v>22104671.58</v>
      </c>
      <c r="K24" s="192">
        <v>21117062.98</v>
      </c>
      <c r="L24" s="192">
        <v>18747975.68</v>
      </c>
      <c r="M24" s="192">
        <v>17163000</v>
      </c>
      <c r="N24" s="192">
        <v>12545000</v>
      </c>
      <c r="O24" s="192">
        <v>10472000</v>
      </c>
      <c r="P24" s="458"/>
      <c r="Q24" s="458"/>
      <c r="R24" s="458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576">
        <v>1000000</v>
      </c>
      <c r="G25" s="573">
        <f>J39</f>
        <v>210822.77</v>
      </c>
      <c r="H25" s="274">
        <v>210822.77</v>
      </c>
      <c r="I25" s="406">
        <f>H25/F25</f>
        <v>0.21082277</v>
      </c>
      <c r="J25" s="187">
        <f>H25</f>
        <v>210822.77</v>
      </c>
      <c r="K25" s="192">
        <v>959871.05</v>
      </c>
      <c r="L25" s="192">
        <v>1931067.5</v>
      </c>
      <c r="M25" s="192">
        <v>2022337</v>
      </c>
      <c r="N25" s="192">
        <v>1351000</v>
      </c>
      <c r="O25" s="192">
        <v>1690000</v>
      </c>
      <c r="P25" s="458"/>
      <c r="Q25" s="458"/>
      <c r="R25" s="458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576"/>
      <c r="G26" s="573"/>
      <c r="H26" s="274">
        <v>352750</v>
      </c>
      <c r="I26" s="406"/>
      <c r="J26" s="187">
        <f>H26/12*12</f>
        <v>352750</v>
      </c>
      <c r="K26" s="192"/>
      <c r="L26" s="192"/>
      <c r="M26" s="192">
        <v>239056.3</v>
      </c>
      <c r="N26" s="192">
        <v>236000</v>
      </c>
      <c r="O26" s="192">
        <v>456000</v>
      </c>
      <c r="P26" s="458"/>
      <c r="Q26" s="458"/>
      <c r="R26" s="458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578">
        <f>SUM(F28:F42)</f>
        <v>303266000</v>
      </c>
      <c r="G27" s="579">
        <f>SUM(G28:G42)</f>
        <v>280144339.82</v>
      </c>
      <c r="H27" s="342">
        <f>SUM(H28:H42)</f>
        <v>311744840.53</v>
      </c>
      <c r="I27" s="403">
        <f>H27/F27</f>
        <v>1.0279584276839473</v>
      </c>
      <c r="J27" s="322">
        <f aca="true" t="shared" si="6" ref="J27:O27">SUM(J28:J42)</f>
        <v>311958157.6</v>
      </c>
      <c r="K27" s="221">
        <f t="shared" si="6"/>
        <v>274286959.81</v>
      </c>
      <c r="L27" s="221">
        <f t="shared" si="6"/>
        <v>229846860.25</v>
      </c>
      <c r="M27" s="221">
        <f t="shared" si="6"/>
        <v>169839241.73000002</v>
      </c>
      <c r="N27" s="221">
        <f t="shared" si="6"/>
        <v>145599000</v>
      </c>
      <c r="O27" s="221">
        <f t="shared" si="6"/>
        <v>109073000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576">
        <f>190688000+F47</f>
        <v>192644000</v>
      </c>
      <c r="G28" s="548">
        <f>190688000+876550+2307909</f>
        <v>193872459</v>
      </c>
      <c r="H28" s="345">
        <v>193872459</v>
      </c>
      <c r="I28" s="407">
        <f>H28/G28</f>
        <v>1</v>
      </c>
      <c r="J28" s="354">
        <f>G28</f>
        <v>193872459</v>
      </c>
      <c r="K28" s="337">
        <v>163615664</v>
      </c>
      <c r="L28" s="337">
        <v>148453946</v>
      </c>
      <c r="M28" s="337">
        <v>97075000</v>
      </c>
      <c r="N28" s="337">
        <v>79917000</v>
      </c>
      <c r="O28" s="337">
        <v>59310000</v>
      </c>
      <c r="P28" s="458"/>
      <c r="Q28" s="458"/>
      <c r="R28" s="458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577">
        <v>17000000</v>
      </c>
      <c r="G29" s="546">
        <v>18780000</v>
      </c>
      <c r="H29" s="346">
        <v>18780000</v>
      </c>
      <c r="I29" s="407">
        <f aca="true" t="shared" si="7" ref="I29:I38">H29/G29</f>
        <v>1</v>
      </c>
      <c r="J29" s="354">
        <f aca="true" t="shared" si="8" ref="J29:J38">G29</f>
        <v>18780000</v>
      </c>
      <c r="K29" s="338">
        <v>16892000</v>
      </c>
      <c r="L29" s="338">
        <v>14440000</v>
      </c>
      <c r="M29" s="338">
        <v>11325000</v>
      </c>
      <c r="N29" s="338">
        <f>N17</f>
        <v>8784000</v>
      </c>
      <c r="O29" s="338">
        <v>5940000</v>
      </c>
      <c r="P29" s="458"/>
      <c r="Q29" s="458"/>
      <c r="R29" s="458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577">
        <v>3000000</v>
      </c>
      <c r="G30" s="546">
        <f>2114000+138000+370000+219109.24+604000+1591000</f>
        <v>5036109.24</v>
      </c>
      <c r="H30" s="346">
        <v>5036109.24</v>
      </c>
      <c r="I30" s="407">
        <f t="shared" si="7"/>
        <v>1</v>
      </c>
      <c r="J30" s="354">
        <f t="shared" si="8"/>
        <v>5036109.24</v>
      </c>
      <c r="K30" s="338">
        <v>2974000</v>
      </c>
      <c r="L30" s="338">
        <v>1526009</v>
      </c>
      <c r="M30" s="338">
        <v>1308200</v>
      </c>
      <c r="N30" s="338">
        <f>N18</f>
        <v>1102000</v>
      </c>
      <c r="O30" s="338">
        <v>1271000</v>
      </c>
      <c r="P30" s="458"/>
      <c r="Q30" s="458"/>
      <c r="R30" s="458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577">
        <v>3858000</v>
      </c>
      <c r="G31" s="580">
        <f>1484000+3283900</f>
        <v>4767900</v>
      </c>
      <c r="H31" s="346">
        <v>4767900</v>
      </c>
      <c r="I31" s="407">
        <f t="shared" si="7"/>
        <v>1</v>
      </c>
      <c r="J31" s="354">
        <f t="shared" si="8"/>
        <v>4767900</v>
      </c>
      <c r="K31" s="338">
        <v>10499906.46</v>
      </c>
      <c r="L31" s="338">
        <v>8509400</v>
      </c>
      <c r="M31" s="338">
        <v>5121900</v>
      </c>
      <c r="N31" s="338">
        <f>N19</f>
        <v>12426000</v>
      </c>
      <c r="O31" s="338">
        <v>8016000</v>
      </c>
      <c r="P31" s="458"/>
      <c r="Q31" s="458"/>
      <c r="R31" s="458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577">
        <v>2340000</v>
      </c>
      <c r="G32" s="546">
        <v>2276000</v>
      </c>
      <c r="H32" s="346">
        <v>2276000</v>
      </c>
      <c r="I32" s="407">
        <f t="shared" si="7"/>
        <v>1</v>
      </c>
      <c r="J32" s="354">
        <f t="shared" si="8"/>
        <v>2276000</v>
      </c>
      <c r="K32" s="338">
        <v>1392000</v>
      </c>
      <c r="L32" s="338">
        <v>1241000</v>
      </c>
      <c r="M32" s="338">
        <v>2305000</v>
      </c>
      <c r="N32" s="338">
        <f>N20</f>
        <v>981000</v>
      </c>
      <c r="O32" s="338">
        <v>861000</v>
      </c>
      <c r="P32" s="458"/>
      <c r="Q32" s="458"/>
      <c r="R32" s="458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577"/>
      <c r="G33" s="546"/>
      <c r="H33" s="346"/>
      <c r="I33" s="407"/>
      <c r="J33" s="354">
        <f t="shared" si="8"/>
        <v>0</v>
      </c>
      <c r="K33" s="338"/>
      <c r="L33" s="338"/>
      <c r="M33" s="338"/>
      <c r="N33" s="338"/>
      <c r="O33" s="338"/>
      <c r="P33" s="458"/>
      <c r="Q33" s="458"/>
      <c r="R33" s="458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577">
        <v>500000</v>
      </c>
      <c r="G34" s="546">
        <v>945000</v>
      </c>
      <c r="H34" s="346">
        <v>729465.95</v>
      </c>
      <c r="I34" s="407">
        <f t="shared" si="7"/>
        <v>0.7719216402116401</v>
      </c>
      <c r="J34" s="354">
        <f t="shared" si="8"/>
        <v>945000</v>
      </c>
      <c r="K34" s="338">
        <v>547140.6</v>
      </c>
      <c r="L34" s="338">
        <v>304138.06</v>
      </c>
      <c r="M34" s="338">
        <v>70000</v>
      </c>
      <c r="N34" s="338">
        <v>85000</v>
      </c>
      <c r="O34" s="338">
        <v>160000</v>
      </c>
      <c r="P34" s="458"/>
      <c r="Q34" s="458"/>
      <c r="R34" s="458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577">
        <v>3000000</v>
      </c>
      <c r="G35" s="546"/>
      <c r="H35" s="346">
        <v>7321762.02</v>
      </c>
      <c r="I35" s="407">
        <f>H35/F35</f>
        <v>2.44058734</v>
      </c>
      <c r="J35" s="354">
        <f>H35</f>
        <v>7321762.02</v>
      </c>
      <c r="K35" s="338">
        <v>2999564.38</v>
      </c>
      <c r="L35" s="338">
        <v>4414210.28</v>
      </c>
      <c r="M35" s="338">
        <v>3377687.99</v>
      </c>
      <c r="N35" s="338">
        <f>N22</f>
        <v>3759000</v>
      </c>
      <c r="O35" s="338">
        <v>2802000</v>
      </c>
      <c r="P35" s="458"/>
      <c r="Q35" s="458"/>
      <c r="R35" s="458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577">
        <v>13132000</v>
      </c>
      <c r="G36" s="546">
        <f>F36</f>
        <v>13132000</v>
      </c>
      <c r="H36" s="346">
        <v>13132000</v>
      </c>
      <c r="I36" s="407">
        <f t="shared" si="7"/>
        <v>1</v>
      </c>
      <c r="J36" s="354">
        <f t="shared" si="8"/>
        <v>13132000</v>
      </c>
      <c r="K36" s="338">
        <v>11509000</v>
      </c>
      <c r="L36" s="338">
        <v>10686000</v>
      </c>
      <c r="M36" s="338">
        <v>8399000</v>
      </c>
      <c r="N36" s="338">
        <v>5507000</v>
      </c>
      <c r="O36" s="338">
        <v>3726000</v>
      </c>
      <c r="P36" s="458"/>
      <c r="Q36" s="458"/>
      <c r="R36" s="458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577">
        <v>22550000</v>
      </c>
      <c r="G37" s="546">
        <v>19230200</v>
      </c>
      <c r="H37" s="346">
        <v>19230200</v>
      </c>
      <c r="I37" s="407">
        <f t="shared" si="7"/>
        <v>1</v>
      </c>
      <c r="J37" s="354">
        <f t="shared" si="8"/>
        <v>19230200</v>
      </c>
      <c r="K37" s="338">
        <v>18800999.79</v>
      </c>
      <c r="L37" s="338">
        <v>3870000</v>
      </c>
      <c r="M37" s="338">
        <v>3638000</v>
      </c>
      <c r="N37" s="338">
        <f>N23</f>
        <v>3456000</v>
      </c>
      <c r="O37" s="338">
        <v>3527000</v>
      </c>
      <c r="P37" s="458"/>
      <c r="Q37" s="458"/>
      <c r="R37" s="458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20542000</v>
      </c>
      <c r="G38" s="338">
        <f>(4739+1483+434+11391.5+192+789.17158+3076)*1000</f>
        <v>22104671.58</v>
      </c>
      <c r="H38" s="346">
        <v>22106888.56</v>
      </c>
      <c r="I38" s="407">
        <f t="shared" si="7"/>
        <v>1.0001002946364517</v>
      </c>
      <c r="J38" s="354">
        <f t="shared" si="8"/>
        <v>22104671.58</v>
      </c>
      <c r="K38" s="338">
        <v>21117062.98</v>
      </c>
      <c r="L38" s="338">
        <v>18747975.68</v>
      </c>
      <c r="M38" s="338">
        <v>17163000</v>
      </c>
      <c r="N38" s="338">
        <f>N24</f>
        <v>12545000</v>
      </c>
      <c r="O38" s="338">
        <v>10472000</v>
      </c>
      <c r="P38" s="458"/>
      <c r="Q38" s="458"/>
      <c r="R38" s="467">
        <v>31171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1000000</v>
      </c>
      <c r="G39" s="338"/>
      <c r="H39" s="346">
        <v>210822.77</v>
      </c>
      <c r="I39" s="407">
        <f>H39/F39</f>
        <v>0.21082277</v>
      </c>
      <c r="J39" s="355">
        <f>H39</f>
        <v>210822.77</v>
      </c>
      <c r="K39" s="338">
        <v>959871.05</v>
      </c>
      <c r="L39" s="338">
        <v>1931067.5</v>
      </c>
      <c r="M39" s="338">
        <v>2022337</v>
      </c>
      <c r="N39" s="338">
        <f>N25</f>
        <v>1351000</v>
      </c>
      <c r="O39" s="338">
        <v>1690000</v>
      </c>
      <c r="P39" s="458"/>
      <c r="Q39" s="458"/>
      <c r="R39" s="458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20000000</v>
      </c>
      <c r="G40" s="338"/>
      <c r="H40" s="346">
        <v>21633800.99</v>
      </c>
      <c r="I40" s="407">
        <f>H40/F40</f>
        <v>1.0816900495</v>
      </c>
      <c r="J40" s="353">
        <f>(H40-H46)/12*12+H46</f>
        <v>21633800.99</v>
      </c>
      <c r="K40" s="338">
        <v>19223285.55</v>
      </c>
      <c r="L40" s="338">
        <v>15145210.73</v>
      </c>
      <c r="M40" s="338">
        <v>17128366.44</v>
      </c>
      <c r="N40" s="338">
        <v>14945000</v>
      </c>
      <c r="O40" s="338">
        <v>9659000</v>
      </c>
      <c r="P40" s="458"/>
      <c r="Q40" s="458"/>
      <c r="R40" s="458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3700000</v>
      </c>
      <c r="G41" s="338"/>
      <c r="H41" s="346">
        <v>2232432</v>
      </c>
      <c r="I41" s="407">
        <f>H41/J41</f>
        <v>1</v>
      </c>
      <c r="J41" s="355">
        <f>H41</f>
        <v>2232432</v>
      </c>
      <c r="K41" s="338">
        <v>3756465</v>
      </c>
      <c r="L41" s="338">
        <v>577903</v>
      </c>
      <c r="M41" s="338">
        <v>666694</v>
      </c>
      <c r="N41" s="338">
        <v>463000</v>
      </c>
      <c r="O41" s="338">
        <v>648000</v>
      </c>
      <c r="P41" s="458"/>
      <c r="Q41" s="458"/>
      <c r="R41" s="458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/>
      <c r="G42" s="338"/>
      <c r="H42" s="346">
        <v>415000</v>
      </c>
      <c r="I42" s="407"/>
      <c r="J42" s="355">
        <f>H42/12*12</f>
        <v>415000</v>
      </c>
      <c r="K42" s="338"/>
      <c r="L42" s="338"/>
      <c r="M42" s="338">
        <v>239056.3</v>
      </c>
      <c r="N42" s="338">
        <v>278000</v>
      </c>
      <c r="O42" s="338">
        <v>991000</v>
      </c>
      <c r="P42" s="458"/>
      <c r="Q42" s="458"/>
      <c r="R42" s="458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0</v>
      </c>
      <c r="G43" s="227"/>
      <c r="H43" s="347">
        <v>40964129.93</v>
      </c>
      <c r="I43" s="408"/>
      <c r="J43" s="324">
        <f>J28+J33+J36+J40+J41+J42-J5-J26</f>
        <v>5191140.940000057</v>
      </c>
      <c r="K43" s="227"/>
      <c r="L43" s="227"/>
      <c r="M43" s="227">
        <f>M28+M33+M36+M40+M41+M42-M5-M26</f>
        <v>4360125.150000003</v>
      </c>
      <c r="N43" s="227">
        <f>N28+N33+N36+N40+N41+N42-N5-N26</f>
        <v>3900000</v>
      </c>
      <c r="O43" s="227">
        <f>O28+O33+O36+O40+O41+O42-O5-O26</f>
        <v>-6075000</v>
      </c>
      <c r="P43" s="458"/>
      <c r="Q43" s="458"/>
      <c r="R43" s="458"/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0</v>
      </c>
      <c r="G44" s="221"/>
      <c r="H44" s="342">
        <f>H27-H4</f>
        <v>5191140.939999998</v>
      </c>
      <c r="I44" s="409" t="e">
        <f>H44/F44</f>
        <v>#DIV/0!</v>
      </c>
      <c r="J44" s="322">
        <f aca="true" t="shared" si="9" ref="J44:O44">J27-J4</f>
        <v>5191140.940000117</v>
      </c>
      <c r="K44" s="221">
        <f t="shared" si="9"/>
        <v>4649072.790000021</v>
      </c>
      <c r="L44" s="221">
        <f t="shared" si="9"/>
        <v>6109391.560000002</v>
      </c>
      <c r="M44" s="221">
        <f t="shared" si="9"/>
        <v>4360125.150000006</v>
      </c>
      <c r="N44" s="221">
        <f t="shared" si="9"/>
        <v>3900000</v>
      </c>
      <c r="O44" s="221">
        <f t="shared" si="9"/>
        <v>1941000</v>
      </c>
    </row>
    <row r="45" spans="1:18" s="90" customFormat="1" ht="11.25">
      <c r="A45" s="89" t="s">
        <v>140</v>
      </c>
      <c r="G45" s="90" t="s">
        <v>203</v>
      </c>
      <c r="H45" s="91">
        <v>3626162.21</v>
      </c>
      <c r="I45" s="410"/>
      <c r="P45" s="459"/>
      <c r="Q45" s="459"/>
      <c r="R45" s="459"/>
    </row>
    <row r="46" spans="1:18" s="90" customFormat="1" ht="11.25">
      <c r="A46" s="210" t="s">
        <v>141</v>
      </c>
      <c r="F46" s="91">
        <f>SUM(F47:F48)</f>
        <v>7179000</v>
      </c>
      <c r="G46" s="91"/>
      <c r="H46" s="91"/>
      <c r="I46" s="411"/>
      <c r="J46" s="91"/>
      <c r="P46" s="459"/>
      <c r="Q46" s="459"/>
      <c r="R46" s="459"/>
    </row>
    <row r="47" spans="1:18" s="90" customFormat="1" ht="11.25">
      <c r="A47" s="142" t="s">
        <v>142</v>
      </c>
      <c r="F47" s="91">
        <v>1956000</v>
      </c>
      <c r="G47" s="91"/>
      <c r="H47" s="91"/>
      <c r="I47" s="411"/>
      <c r="J47" s="91"/>
      <c r="K47" s="91"/>
      <c r="P47" s="459"/>
      <c r="Q47" s="459"/>
      <c r="R47" s="459"/>
    </row>
    <row r="48" spans="1:18" s="90" customFormat="1" ht="11.25">
      <c r="A48" s="142" t="s">
        <v>143</v>
      </c>
      <c r="F48" s="91">
        <v>5223000</v>
      </c>
      <c r="G48" s="91"/>
      <c r="H48" s="91"/>
      <c r="I48" s="411"/>
      <c r="J48" s="91"/>
      <c r="K48" s="91"/>
      <c r="P48" s="459"/>
      <c r="Q48" s="459"/>
      <c r="R48" s="459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190688000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1956000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192644000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25" right="0.31496062992125984" top="0.26" bottom="0.24" header="0.17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/>
  <dimension ref="A1:S54"/>
  <sheetViews>
    <sheetView workbookViewId="0" topLeftCell="A1">
      <selection activeCell="A4" sqref="A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25390625" style="0" customWidth="1"/>
    <col min="5" max="5" width="3.75390625" style="0" customWidth="1"/>
    <col min="6" max="6" width="10.875" style="216" bestFit="1" customWidth="1"/>
    <col min="7" max="7" width="8.75390625" style="216" bestFit="1" customWidth="1"/>
    <col min="8" max="8" width="12.625" style="216" customWidth="1"/>
    <col min="9" max="9" width="6.125" style="413" customWidth="1"/>
    <col min="10" max="10" width="9.25390625" style="216" hidden="1" customWidth="1"/>
    <col min="11" max="11" width="9.625" style="89" bestFit="1" customWidth="1"/>
    <col min="12" max="15" width="9.25390625" style="89" bestFit="1" customWidth="1"/>
    <col min="16" max="16" width="7.25390625" style="458" customWidth="1"/>
    <col min="17" max="17" width="6.75390625" style="458" customWidth="1"/>
    <col min="18" max="18" width="7.625" style="89" customWidth="1"/>
    <col min="19" max="19" width="7.75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47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36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58"/>
      <c r="Q3" s="458"/>
      <c r="R3" s="89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124663000</v>
      </c>
      <c r="G4" s="221">
        <f>SUM(G6:G26)</f>
        <v>11087800</v>
      </c>
      <c r="H4" s="342">
        <f>SUM(H6:H26)</f>
        <v>124360783.99</v>
      </c>
      <c r="I4" s="403">
        <f>H4/F4</f>
        <v>0.9975757361045378</v>
      </c>
      <c r="J4" s="322">
        <f aca="true" t="shared" si="0" ref="J4:O4">SUM(J6:J26)</f>
        <v>124210783.99</v>
      </c>
      <c r="K4" s="221">
        <f t="shared" si="0"/>
        <v>108072018.63000003</v>
      </c>
      <c r="L4" s="221">
        <f t="shared" si="0"/>
        <v>92577391.8</v>
      </c>
      <c r="M4" s="221">
        <f t="shared" si="0"/>
        <v>73269431.94000003</v>
      </c>
      <c r="N4" s="221">
        <f t="shared" si="0"/>
        <v>62604000</v>
      </c>
      <c r="O4" s="221">
        <f t="shared" si="0"/>
        <v>57142000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114095000</v>
      </c>
      <c r="G5" s="192"/>
      <c r="H5" s="274">
        <f>SUM(H6:H16)</f>
        <v>112827038.46</v>
      </c>
      <c r="I5" s="404">
        <f>H5/F5</f>
        <v>0.9888867913580788</v>
      </c>
      <c r="J5" s="187">
        <f aca="true" t="shared" si="1" ref="J5:O5">SUM(J6:J16)</f>
        <v>112827038.46</v>
      </c>
      <c r="K5" s="192">
        <f t="shared" si="1"/>
        <v>96197736.05000003</v>
      </c>
      <c r="L5" s="192">
        <f t="shared" si="1"/>
        <v>87203511.33</v>
      </c>
      <c r="M5" s="192">
        <f t="shared" si="1"/>
        <v>65925618.93000001</v>
      </c>
      <c r="N5" s="192">
        <f t="shared" si="1"/>
        <v>59833000</v>
      </c>
      <c r="O5" s="192">
        <f t="shared" si="1"/>
        <v>53145000</v>
      </c>
      <c r="P5" s="458"/>
      <c r="Q5" s="458"/>
      <c r="R5" s="89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55780000</v>
      </c>
      <c r="G6" s="174"/>
      <c r="H6" s="343">
        <v>55341594</v>
      </c>
      <c r="I6" s="405">
        <f>H6/F6</f>
        <v>0.9921404446038007</v>
      </c>
      <c r="J6" s="174">
        <f>H6/12*12</f>
        <v>55341594</v>
      </c>
      <c r="K6" s="174">
        <v>47564913</v>
      </c>
      <c r="L6" s="174">
        <v>41570540</v>
      </c>
      <c r="M6" s="174">
        <v>30879893</v>
      </c>
      <c r="N6" s="174">
        <v>27847000</v>
      </c>
      <c r="O6" s="174">
        <v>25127000</v>
      </c>
      <c r="P6" s="459"/>
      <c r="Q6" s="459"/>
      <c r="R6" s="90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1350000</v>
      </c>
      <c r="G7" s="174"/>
      <c r="H7" s="343">
        <v>1461134</v>
      </c>
      <c r="I7" s="405">
        <f aca="true" t="shared" si="2" ref="I7:I16">H7/F7</f>
        <v>1.0823214814814814</v>
      </c>
      <c r="J7" s="174">
        <f aca="true" t="shared" si="3" ref="J7:J15">H7/12*12</f>
        <v>1461134</v>
      </c>
      <c r="K7" s="174">
        <v>1115203</v>
      </c>
      <c r="L7" s="174">
        <v>679056</v>
      </c>
      <c r="M7" s="174">
        <v>1104695</v>
      </c>
      <c r="N7" s="174">
        <v>1116000</v>
      </c>
      <c r="O7" s="174">
        <v>501000</v>
      </c>
      <c r="P7" s="459"/>
      <c r="Q7" s="459"/>
      <c r="R7" s="90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20000000</v>
      </c>
      <c r="G8" s="174"/>
      <c r="H8" s="343">
        <v>19632682</v>
      </c>
      <c r="I8" s="405">
        <f t="shared" si="2"/>
        <v>0.9816341</v>
      </c>
      <c r="J8" s="174">
        <f t="shared" si="3"/>
        <v>19632682</v>
      </c>
      <c r="K8" s="174">
        <v>16842423</v>
      </c>
      <c r="L8" s="174">
        <v>14577874</v>
      </c>
      <c r="M8" s="174">
        <v>10910098.7</v>
      </c>
      <c r="N8" s="174">
        <v>9920000</v>
      </c>
      <c r="O8" s="174">
        <v>8524000</v>
      </c>
      <c r="P8" s="459"/>
      <c r="Q8" s="459"/>
      <c r="R8" s="90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4500000</v>
      </c>
      <c r="G9" s="174"/>
      <c r="H9" s="343">
        <v>3439095.21</v>
      </c>
      <c r="I9" s="405">
        <f t="shared" si="2"/>
        <v>0.76424338</v>
      </c>
      <c r="J9" s="174">
        <f t="shared" si="3"/>
        <v>3439095.21</v>
      </c>
      <c r="K9" s="174">
        <v>3680867.68</v>
      </c>
      <c r="L9" s="174">
        <v>3853435.97</v>
      </c>
      <c r="M9" s="174">
        <v>3629359.6</v>
      </c>
      <c r="N9" s="174">
        <v>3635000</v>
      </c>
      <c r="O9" s="174">
        <v>4400000</v>
      </c>
      <c r="P9" s="459"/>
      <c r="Q9" s="459"/>
      <c r="R9" s="90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2500000</v>
      </c>
      <c r="G10" s="174"/>
      <c r="H10" s="343">
        <v>2208669.1</v>
      </c>
      <c r="I10" s="405">
        <f t="shared" si="2"/>
        <v>0.88346764</v>
      </c>
      <c r="J10" s="174">
        <f t="shared" si="3"/>
        <v>2208669.1</v>
      </c>
      <c r="K10" s="174">
        <v>1138013.2</v>
      </c>
      <c r="L10" s="174">
        <v>2242997.64</v>
      </c>
      <c r="M10" s="174">
        <v>1987187.76</v>
      </c>
      <c r="N10" s="174">
        <v>1392000</v>
      </c>
      <c r="O10" s="174">
        <v>1465000</v>
      </c>
      <c r="P10" s="459"/>
      <c r="Q10" s="459"/>
      <c r="R10" s="90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14000000</v>
      </c>
      <c r="G11" s="174"/>
      <c r="H11" s="343">
        <v>12366071.23</v>
      </c>
      <c r="I11" s="405">
        <f t="shared" si="2"/>
        <v>0.8832908021428572</v>
      </c>
      <c r="J11" s="174">
        <f t="shared" si="3"/>
        <v>12366071.23</v>
      </c>
      <c r="K11" s="174">
        <v>13307428.62</v>
      </c>
      <c r="L11" s="174">
        <v>12587883.24</v>
      </c>
      <c r="M11" s="174">
        <v>9216608.57</v>
      </c>
      <c r="N11" s="174">
        <v>8022000</v>
      </c>
      <c r="O11" s="174">
        <v>4035000</v>
      </c>
      <c r="P11" s="459"/>
      <c r="Q11" s="459"/>
      <c r="R11" s="90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8500000</v>
      </c>
      <c r="G12" s="174"/>
      <c r="H12" s="343">
        <v>8589159.49</v>
      </c>
      <c r="I12" s="405">
        <f t="shared" si="2"/>
        <v>1.010489351764706</v>
      </c>
      <c r="J12" s="550">
        <f>H12/12*12</f>
        <v>8589159.49</v>
      </c>
      <c r="K12" s="174">
        <v>7591682.06</v>
      </c>
      <c r="L12" s="174">
        <v>5987119.12</v>
      </c>
      <c r="M12" s="174">
        <v>5350566.81</v>
      </c>
      <c r="N12" s="174">
        <v>5294000</v>
      </c>
      <c r="O12" s="174">
        <v>4551000</v>
      </c>
      <c r="P12" s="459"/>
      <c r="Q12" s="459"/>
      <c r="R12" s="90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400000</v>
      </c>
      <c r="G13" s="174"/>
      <c r="H13" s="343">
        <v>574360.65</v>
      </c>
      <c r="I13" s="405">
        <f t="shared" si="2"/>
        <v>1.435901625</v>
      </c>
      <c r="J13" s="174">
        <f t="shared" si="3"/>
        <v>574360.65</v>
      </c>
      <c r="K13" s="174">
        <v>328143.84</v>
      </c>
      <c r="L13" s="174">
        <v>246109.97</v>
      </c>
      <c r="M13" s="174">
        <v>273843.89</v>
      </c>
      <c r="N13" s="174">
        <v>227000</v>
      </c>
      <c r="O13" s="174">
        <v>174000</v>
      </c>
      <c r="P13" s="459"/>
      <c r="Q13" s="459"/>
      <c r="R13" s="90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v>2165000</v>
      </c>
      <c r="G14" s="174"/>
      <c r="H14" s="343">
        <v>2565464.4</v>
      </c>
      <c r="I14" s="405">
        <f t="shared" si="2"/>
        <v>1.1849720092378753</v>
      </c>
      <c r="J14" s="174">
        <f t="shared" si="3"/>
        <v>2565464.4</v>
      </c>
      <c r="K14" s="174">
        <v>2113993</v>
      </c>
      <c r="L14" s="174">
        <v>2725936.72</v>
      </c>
      <c r="M14" s="174">
        <v>893553.89</v>
      </c>
      <c r="N14" s="174">
        <v>958000</v>
      </c>
      <c r="O14" s="174">
        <v>1035000</v>
      </c>
      <c r="P14" s="459"/>
      <c r="Q14" s="459"/>
      <c r="R14" s="90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500000</v>
      </c>
      <c r="G15" s="174"/>
      <c r="H15" s="343">
        <v>1308791</v>
      </c>
      <c r="I15" s="405">
        <f t="shared" si="2"/>
        <v>2.617582</v>
      </c>
      <c r="J15" s="174">
        <f t="shared" si="3"/>
        <v>1308791</v>
      </c>
      <c r="K15" s="174">
        <v>478803</v>
      </c>
      <c r="L15" s="174">
        <v>355458</v>
      </c>
      <c r="M15" s="174">
        <v>454353.9</v>
      </c>
      <c r="N15" s="174">
        <v>326000</v>
      </c>
      <c r="O15" s="174">
        <v>277000</v>
      </c>
      <c r="P15" s="459"/>
      <c r="Q15" s="459"/>
      <c r="R15" s="90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32">
        <v>4400000</v>
      </c>
      <c r="G16" s="174"/>
      <c r="H16" s="344">
        <v>5340017.38</v>
      </c>
      <c r="I16" s="405">
        <f t="shared" si="2"/>
        <v>1.2136403136363636</v>
      </c>
      <c r="J16" s="550">
        <f>H16/12*12</f>
        <v>5340017.38</v>
      </c>
      <c r="K16" s="174">
        <v>2036265.65</v>
      </c>
      <c r="L16" s="174">
        <v>2377100.67</v>
      </c>
      <c r="M16" s="174">
        <v>1225457.81</v>
      </c>
      <c r="N16" s="174">
        <v>1096000</v>
      </c>
      <c r="O16" s="174">
        <v>3056000</v>
      </c>
      <c r="P16" s="459"/>
      <c r="Q16" s="459"/>
      <c r="R16" s="90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2535000</v>
      </c>
      <c r="G17" s="192">
        <f>J17</f>
        <v>3063000</v>
      </c>
      <c r="H17" s="274">
        <v>3063000</v>
      </c>
      <c r="I17" s="406">
        <f>H17/G17</f>
        <v>1</v>
      </c>
      <c r="J17" s="187">
        <f>J29</f>
        <v>3063000</v>
      </c>
      <c r="K17" s="192">
        <v>2419000</v>
      </c>
      <c r="L17" s="192">
        <v>1568750</v>
      </c>
      <c r="M17" s="192">
        <v>862500</v>
      </c>
      <c r="N17" s="192">
        <v>314000</v>
      </c>
      <c r="O17" s="192">
        <v>65000</v>
      </c>
      <c r="P17" s="458"/>
      <c r="Q17" s="458"/>
      <c r="R17" s="89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>
        <v>160000</v>
      </c>
      <c r="G18" s="192">
        <f aca="true" t="shared" si="4" ref="G18:G24">J18</f>
        <v>24000</v>
      </c>
      <c r="H18" s="274">
        <v>24000</v>
      </c>
      <c r="I18" s="406">
        <f aca="true" t="shared" si="5" ref="I18:I24">H18/G18</f>
        <v>1</v>
      </c>
      <c r="J18" s="187">
        <f>J30</f>
        <v>24000</v>
      </c>
      <c r="K18" s="192">
        <v>160000</v>
      </c>
      <c r="L18" s="192">
        <v>406228</v>
      </c>
      <c r="M18" s="192">
        <v>488069.19</v>
      </c>
      <c r="N18" s="192">
        <v>601000</v>
      </c>
      <c r="O18" s="192">
        <v>503000</v>
      </c>
      <c r="P18" s="458"/>
      <c r="Q18" s="458"/>
      <c r="R18" s="89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300000</v>
      </c>
      <c r="G19" s="192">
        <f t="shared" si="4"/>
        <v>1060800</v>
      </c>
      <c r="H19" s="274">
        <v>1060800</v>
      </c>
      <c r="I19" s="406">
        <f t="shared" si="5"/>
        <v>1</v>
      </c>
      <c r="J19" s="187">
        <f>J31</f>
        <v>1060800</v>
      </c>
      <c r="K19" s="192">
        <v>2105655.01</v>
      </c>
      <c r="L19" s="192">
        <v>1777000</v>
      </c>
      <c r="M19" s="192">
        <v>3781049.73</v>
      </c>
      <c r="N19" s="192">
        <v>348000</v>
      </c>
      <c r="O19" s="192">
        <v>229000</v>
      </c>
      <c r="P19" s="458"/>
      <c r="Q19" s="458"/>
      <c r="R19" s="89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/>
      <c r="G20" s="192">
        <f t="shared" si="4"/>
        <v>0</v>
      </c>
      <c r="H20" s="274"/>
      <c r="I20" s="406"/>
      <c r="J20" s="187">
        <f>J32</f>
        <v>0</v>
      </c>
      <c r="K20" s="192">
        <v>95000</v>
      </c>
      <c r="L20" s="192">
        <v>23000</v>
      </c>
      <c r="M20" s="192">
        <v>660823.9</v>
      </c>
      <c r="N20" s="192">
        <v>216000</v>
      </c>
      <c r="O20" s="192">
        <v>71000</v>
      </c>
      <c r="P20" s="458"/>
      <c r="Q20" s="458"/>
      <c r="R20" s="89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0</v>
      </c>
      <c r="H21" s="274"/>
      <c r="I21" s="406"/>
      <c r="J21" s="187">
        <f>H21</f>
        <v>0</v>
      </c>
      <c r="K21" s="192"/>
      <c r="L21" s="192"/>
      <c r="M21" s="192"/>
      <c r="N21" s="192"/>
      <c r="O21" s="192"/>
      <c r="P21" s="458"/>
      <c r="Q21" s="458"/>
      <c r="R21" s="89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/>
      <c r="G22" s="192">
        <f t="shared" si="4"/>
        <v>0</v>
      </c>
      <c r="H22" s="274"/>
      <c r="I22" s="406"/>
      <c r="J22" s="187">
        <f>H22</f>
        <v>0</v>
      </c>
      <c r="K22" s="192">
        <v>284609.6</v>
      </c>
      <c r="L22" s="192">
        <v>628925.93</v>
      </c>
      <c r="M22" s="192">
        <v>531510.01</v>
      </c>
      <c r="N22" s="192">
        <v>485000</v>
      </c>
      <c r="O22" s="192">
        <v>308000</v>
      </c>
      <c r="P22" s="458"/>
      <c r="Q22" s="458"/>
      <c r="R22" s="89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331">
        <v>6117000</v>
      </c>
      <c r="G23" s="192">
        <f t="shared" si="4"/>
        <v>6117000</v>
      </c>
      <c r="H23" s="274">
        <v>6267000</v>
      </c>
      <c r="I23" s="406">
        <f t="shared" si="5"/>
        <v>1.024521824423737</v>
      </c>
      <c r="J23" s="187">
        <f>J37</f>
        <v>6117000</v>
      </c>
      <c r="K23" s="192">
        <v>5830365</v>
      </c>
      <c r="L23" s="192"/>
      <c r="M23" s="192"/>
      <c r="N23" s="192"/>
      <c r="O23" s="192"/>
      <c r="P23" s="458"/>
      <c r="Q23" s="458"/>
      <c r="R23" s="89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1111000</v>
      </c>
      <c r="G24" s="192">
        <f t="shared" si="4"/>
        <v>823000</v>
      </c>
      <c r="H24" s="274">
        <v>823000</v>
      </c>
      <c r="I24" s="406">
        <f t="shared" si="5"/>
        <v>1</v>
      </c>
      <c r="J24" s="187">
        <f>J38</f>
        <v>823000</v>
      </c>
      <c r="K24" s="192">
        <v>590948.32</v>
      </c>
      <c r="L24" s="192">
        <v>751155.5</v>
      </c>
      <c r="M24" s="192">
        <v>792454.15</v>
      </c>
      <c r="N24" s="192">
        <v>479000</v>
      </c>
      <c r="O24" s="192">
        <v>704000</v>
      </c>
      <c r="P24" s="458"/>
      <c r="Q24" s="458"/>
      <c r="R24" s="89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15000</v>
      </c>
      <c r="G25" s="192"/>
      <c r="H25" s="274">
        <v>15309.03</v>
      </c>
      <c r="I25" s="406">
        <f>H25/F25</f>
        <v>1.020602</v>
      </c>
      <c r="J25" s="187">
        <f>H25</f>
        <v>15309.03</v>
      </c>
      <c r="K25" s="192">
        <v>51199.15</v>
      </c>
      <c r="L25" s="192">
        <v>46345.85</v>
      </c>
      <c r="M25" s="192">
        <v>77726.63</v>
      </c>
      <c r="N25" s="192">
        <v>167000</v>
      </c>
      <c r="O25" s="192">
        <v>219000</v>
      </c>
      <c r="P25" s="458"/>
      <c r="Q25" s="458"/>
      <c r="R25" s="89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330000</v>
      </c>
      <c r="G26" s="192"/>
      <c r="H26" s="274">
        <v>280636.5</v>
      </c>
      <c r="I26" s="406">
        <f>H26/F26</f>
        <v>0.8504136363636363</v>
      </c>
      <c r="J26" s="187">
        <f>H26/12*12</f>
        <v>280636.5</v>
      </c>
      <c r="K26" s="192">
        <v>337505.5</v>
      </c>
      <c r="L26" s="192">
        <v>172475.19</v>
      </c>
      <c r="M26" s="192">
        <v>149679.4</v>
      </c>
      <c r="N26" s="192">
        <v>161000</v>
      </c>
      <c r="O26" s="192">
        <v>1898000</v>
      </c>
      <c r="P26" s="458"/>
      <c r="Q26" s="458"/>
      <c r="R26" s="89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125737000</v>
      </c>
      <c r="G27" s="221">
        <f>SUM(G28:G42)</f>
        <v>96078264</v>
      </c>
      <c r="H27" s="342">
        <f>SUM(H28:H42)</f>
        <v>129096822.81</v>
      </c>
      <c r="I27" s="403">
        <f>H27/F27</f>
        <v>1.0267210352561298</v>
      </c>
      <c r="J27" s="322">
        <f aca="true" t="shared" si="6" ref="J27:O27">SUM(J28:J42)</f>
        <v>128946822.81</v>
      </c>
      <c r="K27" s="221">
        <f t="shared" si="6"/>
        <v>113799207.4</v>
      </c>
      <c r="L27" s="221">
        <f t="shared" si="6"/>
        <v>98618831.31</v>
      </c>
      <c r="M27" s="221">
        <f t="shared" si="6"/>
        <v>76283154.69</v>
      </c>
      <c r="N27" s="221">
        <f t="shared" si="6"/>
        <v>64679000</v>
      </c>
      <c r="O27" s="221">
        <f t="shared" si="6"/>
        <v>57726000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f>F53</f>
        <v>83263000</v>
      </c>
      <c r="G28" s="337">
        <f>82178000+1193464</f>
        <v>83371464</v>
      </c>
      <c r="H28" s="345">
        <v>83371464</v>
      </c>
      <c r="I28" s="407">
        <f>H28/G28</f>
        <v>1</v>
      </c>
      <c r="J28" s="354">
        <f>G28</f>
        <v>83371464</v>
      </c>
      <c r="K28" s="337">
        <v>74304458</v>
      </c>
      <c r="L28" s="337">
        <v>66152307</v>
      </c>
      <c r="M28" s="337">
        <v>47497875.89</v>
      </c>
      <c r="N28" s="337">
        <v>44076000</v>
      </c>
      <c r="O28" s="337">
        <v>36526000</v>
      </c>
      <c r="P28" s="458"/>
      <c r="Q28" s="458"/>
      <c r="R28" s="89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2535000</v>
      </c>
      <c r="G29" s="338">
        <v>3063000</v>
      </c>
      <c r="H29" s="346">
        <v>3063000</v>
      </c>
      <c r="I29" s="407">
        <f aca="true" t="shared" si="7" ref="I29:I38">H29/G29</f>
        <v>1</v>
      </c>
      <c r="J29" s="354">
        <f aca="true" t="shared" si="8" ref="J29:J38">G29</f>
        <v>3063000</v>
      </c>
      <c r="K29" s="338">
        <v>2419000</v>
      </c>
      <c r="L29" s="338">
        <v>1568750</v>
      </c>
      <c r="M29" s="338">
        <v>862500</v>
      </c>
      <c r="N29" s="338">
        <f>N17</f>
        <v>314000</v>
      </c>
      <c r="O29" s="338">
        <v>65000</v>
      </c>
      <c r="P29" s="458"/>
      <c r="Q29" s="458"/>
      <c r="R29" s="89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>
        <v>160000</v>
      </c>
      <c r="G30" s="338">
        <v>24000</v>
      </c>
      <c r="H30" s="346">
        <v>24000</v>
      </c>
      <c r="I30" s="407">
        <f t="shared" si="7"/>
        <v>1</v>
      </c>
      <c r="J30" s="354">
        <f t="shared" si="8"/>
        <v>24000</v>
      </c>
      <c r="K30" s="338">
        <v>160000</v>
      </c>
      <c r="L30" s="338">
        <v>406228</v>
      </c>
      <c r="M30" s="338">
        <v>488069.19</v>
      </c>
      <c r="N30" s="338">
        <f>N18</f>
        <v>601000</v>
      </c>
      <c r="O30" s="338">
        <v>503000</v>
      </c>
      <c r="P30" s="458"/>
      <c r="Q30" s="458"/>
      <c r="R30" s="89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300000</v>
      </c>
      <c r="G31" s="546">
        <v>1060800</v>
      </c>
      <c r="H31" s="346">
        <v>1060800</v>
      </c>
      <c r="I31" s="407">
        <f t="shared" si="7"/>
        <v>1</v>
      </c>
      <c r="J31" s="354">
        <f t="shared" si="8"/>
        <v>1060800</v>
      </c>
      <c r="K31" s="338">
        <v>2105655.01</v>
      </c>
      <c r="L31" s="338">
        <v>1777000</v>
      </c>
      <c r="M31" s="338">
        <v>3781000</v>
      </c>
      <c r="N31" s="338">
        <f>N19</f>
        <v>348000</v>
      </c>
      <c r="O31" s="338">
        <v>228000</v>
      </c>
      <c r="P31" s="458"/>
      <c r="Q31" s="458"/>
      <c r="R31" s="89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/>
      <c r="G32" s="338"/>
      <c r="H32" s="346"/>
      <c r="I32" s="407"/>
      <c r="J32" s="354">
        <f t="shared" si="8"/>
        <v>0</v>
      </c>
      <c r="K32" s="338">
        <v>95000</v>
      </c>
      <c r="L32" s="338">
        <v>23000</v>
      </c>
      <c r="M32" s="338">
        <v>660823.9</v>
      </c>
      <c r="N32" s="338">
        <f>N20</f>
        <v>216000</v>
      </c>
      <c r="O32" s="338">
        <v>70000</v>
      </c>
      <c r="P32" s="458"/>
      <c r="Q32" s="458"/>
      <c r="R32" s="89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54">
        <f t="shared" si="8"/>
        <v>0</v>
      </c>
      <c r="K33" s="338"/>
      <c r="L33" s="338"/>
      <c r="M33" s="338"/>
      <c r="N33" s="338"/>
      <c r="O33" s="338"/>
      <c r="P33" s="458"/>
      <c r="Q33" s="458"/>
      <c r="R33" s="89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338"/>
      <c r="H34" s="346"/>
      <c r="I34" s="407"/>
      <c r="J34" s="354">
        <f t="shared" si="8"/>
        <v>0</v>
      </c>
      <c r="K34" s="338"/>
      <c r="L34" s="338"/>
      <c r="M34" s="338"/>
      <c r="N34" s="338"/>
      <c r="O34" s="338"/>
      <c r="P34" s="458"/>
      <c r="Q34" s="458"/>
      <c r="R34" s="89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/>
      <c r="G35" s="338"/>
      <c r="H35" s="346"/>
      <c r="I35" s="407"/>
      <c r="J35" s="354">
        <f t="shared" si="8"/>
        <v>0</v>
      </c>
      <c r="K35" s="338">
        <v>14787</v>
      </c>
      <c r="L35" s="338">
        <v>353527.2</v>
      </c>
      <c r="M35" s="338">
        <v>445540.16</v>
      </c>
      <c r="N35" s="338">
        <v>405000</v>
      </c>
      <c r="O35" s="338">
        <v>1346000</v>
      </c>
      <c r="P35" s="458"/>
      <c r="Q35" s="458"/>
      <c r="R35" s="89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1619000</v>
      </c>
      <c r="G36" s="338">
        <f>F36</f>
        <v>1619000</v>
      </c>
      <c r="H36" s="346">
        <v>1619000</v>
      </c>
      <c r="I36" s="407">
        <f t="shared" si="7"/>
        <v>1</v>
      </c>
      <c r="J36" s="354">
        <f t="shared" si="8"/>
        <v>1619000</v>
      </c>
      <c r="K36" s="338">
        <v>666000</v>
      </c>
      <c r="L36" s="338">
        <v>674000</v>
      </c>
      <c r="M36" s="338">
        <v>453000</v>
      </c>
      <c r="N36" s="338">
        <v>286000</v>
      </c>
      <c r="O36" s="338">
        <v>105000</v>
      </c>
      <c r="P36" s="458"/>
      <c r="Q36" s="458"/>
      <c r="R36" s="89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333">
        <v>6117000</v>
      </c>
      <c r="G37" s="338">
        <f>F37</f>
        <v>6117000</v>
      </c>
      <c r="H37" s="346">
        <v>6267000</v>
      </c>
      <c r="I37" s="407">
        <f t="shared" si="7"/>
        <v>1.024521824423737</v>
      </c>
      <c r="J37" s="354">
        <f t="shared" si="8"/>
        <v>6117000</v>
      </c>
      <c r="K37" s="338">
        <v>5830365</v>
      </c>
      <c r="L37" s="338"/>
      <c r="M37" s="338"/>
      <c r="N37" s="338"/>
      <c r="O37" s="338"/>
      <c r="P37" s="458"/>
      <c r="Q37" s="458"/>
      <c r="R37" s="89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823000</v>
      </c>
      <c r="G38" s="338">
        <f>823000</f>
        <v>823000</v>
      </c>
      <c r="H38" s="346">
        <v>823000</v>
      </c>
      <c r="I38" s="407">
        <f t="shared" si="7"/>
        <v>1</v>
      </c>
      <c r="J38" s="354">
        <f t="shared" si="8"/>
        <v>823000</v>
      </c>
      <c r="K38" s="338">
        <v>590948.32</v>
      </c>
      <c r="L38" s="338">
        <v>751155.5</v>
      </c>
      <c r="M38" s="338">
        <v>792443.67</v>
      </c>
      <c r="N38" s="338">
        <f>N24</f>
        <v>479000</v>
      </c>
      <c r="O38" s="338">
        <v>717000</v>
      </c>
      <c r="P38" s="467">
        <v>287635</v>
      </c>
      <c r="Q38" s="467">
        <f>P38-150000</f>
        <v>137635</v>
      </c>
      <c r="R38" s="467">
        <v>231179.13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15000</v>
      </c>
      <c r="G39" s="338"/>
      <c r="H39" s="346">
        <v>15309.03</v>
      </c>
      <c r="I39" s="407">
        <f>H39/F39</f>
        <v>1.020602</v>
      </c>
      <c r="J39" s="355">
        <f>H39</f>
        <v>15309.03</v>
      </c>
      <c r="K39" s="338">
        <v>51199.15</v>
      </c>
      <c r="L39" s="338">
        <v>46345.85</v>
      </c>
      <c r="M39" s="338">
        <v>39296.17</v>
      </c>
      <c r="N39" s="338">
        <f>N25</f>
        <v>167000</v>
      </c>
      <c r="O39" s="338">
        <v>219000</v>
      </c>
      <c r="P39" s="458"/>
      <c r="Q39" s="458"/>
      <c r="R39" s="89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29780000</v>
      </c>
      <c r="G40" s="338"/>
      <c r="H40" s="346">
        <v>31325792.78</v>
      </c>
      <c r="I40" s="407">
        <f>H40/F40</f>
        <v>1.051907077904634</v>
      </c>
      <c r="J40" s="353">
        <f>(H40-H46)/12*12+H46</f>
        <v>31325792.78</v>
      </c>
      <c r="K40" s="338">
        <v>26744661.82</v>
      </c>
      <c r="L40" s="338">
        <v>26443221.08</v>
      </c>
      <c r="M40" s="338">
        <v>21100811.07</v>
      </c>
      <c r="N40" s="338">
        <v>17591000</v>
      </c>
      <c r="O40" s="338">
        <v>13966000</v>
      </c>
      <c r="P40" s="458"/>
      <c r="Q40" s="458"/>
      <c r="R40" s="89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788000</v>
      </c>
      <c r="G41" s="338"/>
      <c r="H41" s="346">
        <v>1213257</v>
      </c>
      <c r="I41" s="407">
        <f>H41/F41</f>
        <v>1.5396662436548223</v>
      </c>
      <c r="J41" s="355">
        <f>H41</f>
        <v>1213257</v>
      </c>
      <c r="K41" s="338">
        <v>469243</v>
      </c>
      <c r="L41" s="338">
        <v>245436</v>
      </c>
      <c r="M41" s="338">
        <v>2900</v>
      </c>
      <c r="N41" s="338"/>
      <c r="O41" s="338">
        <v>70000</v>
      </c>
      <c r="P41" s="458"/>
      <c r="Q41" s="458"/>
      <c r="R41" s="89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337000</v>
      </c>
      <c r="G42" s="338"/>
      <c r="H42" s="346">
        <v>314200</v>
      </c>
      <c r="I42" s="407">
        <f>H42/F42</f>
        <v>0.9323442136498516</v>
      </c>
      <c r="J42" s="355">
        <f>H42/12*12</f>
        <v>314200</v>
      </c>
      <c r="K42" s="338">
        <v>347890.1</v>
      </c>
      <c r="L42" s="338">
        <v>177860.68</v>
      </c>
      <c r="M42" s="338">
        <v>158894.64</v>
      </c>
      <c r="N42" s="338">
        <v>196000</v>
      </c>
      <c r="O42" s="338">
        <v>3911000</v>
      </c>
      <c r="P42" s="458"/>
      <c r="Q42" s="458"/>
      <c r="R42" s="89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1362000</v>
      </c>
      <c r="G43" s="227"/>
      <c r="H43" s="347">
        <v>40964129.93</v>
      </c>
      <c r="I43" s="408"/>
      <c r="J43" s="324">
        <f>J28+J33+J36+J40+J41+J42-J5-J26</f>
        <v>4736038.820000008</v>
      </c>
      <c r="K43" s="227"/>
      <c r="L43" s="227"/>
      <c r="M43" s="227">
        <f>M28+M33+M36+M40+M41+M42-M5-M26</f>
        <v>3138183.270000002</v>
      </c>
      <c r="N43" s="227">
        <f>N28+N33+N36+N40+N41+N42-N5-N26</f>
        <v>2155000</v>
      </c>
      <c r="O43" s="227">
        <f>O28+O33+O36+O40+O41+O42-O5-O26</f>
        <v>-465000</v>
      </c>
      <c r="P43" s="458"/>
      <c r="Q43" s="458"/>
      <c r="R43" s="89"/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1074000</v>
      </c>
      <c r="G44" s="221"/>
      <c r="H44" s="342">
        <f>H27-H4</f>
        <v>4736038.820000008</v>
      </c>
      <c r="I44" s="409">
        <f>H44/F44</f>
        <v>4.409719571694607</v>
      </c>
      <c r="J44" s="322">
        <f aca="true" t="shared" si="9" ref="J44:O44">J27-J4</f>
        <v>4736038.820000008</v>
      </c>
      <c r="K44" s="221">
        <f t="shared" si="9"/>
        <v>5727188.769999981</v>
      </c>
      <c r="L44" s="221">
        <f t="shared" si="9"/>
        <v>6041439.510000005</v>
      </c>
      <c r="M44" s="221">
        <f t="shared" si="9"/>
        <v>3013722.74999997</v>
      </c>
      <c r="N44" s="221">
        <f t="shared" si="9"/>
        <v>2075000</v>
      </c>
      <c r="O44" s="221">
        <f t="shared" si="9"/>
        <v>584000</v>
      </c>
    </row>
    <row r="45" spans="1:17" s="89" customFormat="1" ht="11.25">
      <c r="A45" s="89" t="s">
        <v>174</v>
      </c>
      <c r="B45" s="90"/>
      <c r="C45" s="90"/>
      <c r="D45" s="90"/>
      <c r="E45" s="90"/>
      <c r="F45" s="90"/>
      <c r="G45" s="90" t="s">
        <v>203</v>
      </c>
      <c r="H45" s="91">
        <v>2854470.68</v>
      </c>
      <c r="I45" s="410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F47+F48</f>
        <v>2165000</v>
      </c>
      <c r="G46" s="91"/>
      <c r="H46" s="91"/>
      <c r="I46" s="411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1085000</v>
      </c>
      <c r="G47" s="91"/>
      <c r="H47" s="91"/>
      <c r="I47" s="411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1080000</v>
      </c>
      <c r="G48" s="91"/>
      <c r="H48" s="91"/>
      <c r="I48" s="411"/>
      <c r="J48" s="91"/>
      <c r="K48" s="91"/>
      <c r="P48" s="458"/>
      <c r="Q48" s="458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82178000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1085000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83263000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47" right="0.31496062992125984" top="0.28" bottom="0.16" header="0.17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5"/>
  <dimension ref="A1:S54"/>
  <sheetViews>
    <sheetView workbookViewId="0" topLeftCell="A1">
      <selection activeCell="A1" sqref="A1:D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6" width="10.875" style="216" bestFit="1" customWidth="1"/>
    <col min="7" max="7" width="9.625" style="216" bestFit="1" customWidth="1"/>
    <col min="8" max="8" width="11.625" style="216" customWidth="1"/>
    <col min="9" max="9" width="6.25390625" style="413" bestFit="1" customWidth="1"/>
    <col min="10" max="10" width="9.625" style="216" hidden="1" customWidth="1"/>
    <col min="11" max="12" width="9.625" style="89" bestFit="1" customWidth="1"/>
    <col min="13" max="15" width="9.25390625" style="89" bestFit="1" customWidth="1"/>
    <col min="16" max="17" width="6.75390625" style="458" customWidth="1"/>
    <col min="18" max="18" width="7.75390625" style="89" customWidth="1"/>
    <col min="19" max="19" width="7.75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52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58"/>
      <c r="Q3" s="458"/>
      <c r="R3" s="89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156323325</v>
      </c>
      <c r="G4" s="221">
        <f>SUM(G6:G26)</f>
        <v>74509195.6</v>
      </c>
      <c r="H4" s="342">
        <f>SUM(H6:H26)</f>
        <v>178617581.43</v>
      </c>
      <c r="I4" s="403">
        <f>H4/F4</f>
        <v>1.1426163141680872</v>
      </c>
      <c r="J4" s="322">
        <f aca="true" t="shared" si="0" ref="J4:O4">SUM(J6:J26)</f>
        <v>178915447.8</v>
      </c>
      <c r="K4" s="221">
        <f t="shared" si="0"/>
        <v>142642518.76000002</v>
      </c>
      <c r="L4" s="221">
        <f t="shared" si="0"/>
        <v>102463428.83</v>
      </c>
      <c r="M4" s="221">
        <f t="shared" si="0"/>
        <v>85878383.45</v>
      </c>
      <c r="N4" s="221">
        <f t="shared" si="0"/>
        <v>78092000</v>
      </c>
      <c r="O4" s="221">
        <f t="shared" si="0"/>
        <v>60126000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94736325</v>
      </c>
      <c r="G5" s="192"/>
      <c r="H5" s="274">
        <f>SUM(H6:H16)</f>
        <v>99867805.00000001</v>
      </c>
      <c r="I5" s="404">
        <f>H5/F5</f>
        <v>1.0541659178778575</v>
      </c>
      <c r="J5" s="187">
        <f aca="true" t="shared" si="1" ref="J5:O5">SUM(J6:J16)</f>
        <v>99867805.00000001</v>
      </c>
      <c r="K5" s="192">
        <f t="shared" si="1"/>
        <v>79594721.50000001</v>
      </c>
      <c r="L5" s="192">
        <f t="shared" si="1"/>
        <v>63325620.14</v>
      </c>
      <c r="M5" s="192">
        <f t="shared" si="1"/>
        <v>46542281.59</v>
      </c>
      <c r="N5" s="192">
        <f t="shared" si="1"/>
        <v>50096000</v>
      </c>
      <c r="O5" s="192">
        <f t="shared" si="1"/>
        <v>34245000</v>
      </c>
      <c r="P5" s="458"/>
      <c r="Q5" s="458"/>
      <c r="R5" s="89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42662465</v>
      </c>
      <c r="G6" s="174"/>
      <c r="H6" s="343">
        <v>50635997.53</v>
      </c>
      <c r="I6" s="405">
        <f>H6/F6</f>
        <v>1.186898073751716</v>
      </c>
      <c r="J6" s="174">
        <f>H6/12*12</f>
        <v>50635997.53</v>
      </c>
      <c r="K6" s="174">
        <v>38727163</v>
      </c>
      <c r="L6" s="174">
        <v>28932364</v>
      </c>
      <c r="M6" s="174">
        <v>24074431</v>
      </c>
      <c r="N6" s="174">
        <v>21001000</v>
      </c>
      <c r="O6" s="174">
        <v>15157000</v>
      </c>
      <c r="P6" s="459"/>
      <c r="Q6" s="459"/>
      <c r="R6" s="90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1852297</v>
      </c>
      <c r="G7" s="174"/>
      <c r="H7" s="343">
        <v>1812880</v>
      </c>
      <c r="I7" s="405">
        <f aca="true" t="shared" si="2" ref="I7:I16">H7/F7</f>
        <v>0.9787199353019521</v>
      </c>
      <c r="J7" s="174">
        <f aca="true" t="shared" si="3" ref="J7:J15">H7/12*12</f>
        <v>1812880</v>
      </c>
      <c r="K7" s="174">
        <v>1872569</v>
      </c>
      <c r="L7" s="174">
        <v>991000</v>
      </c>
      <c r="M7" s="174">
        <v>983350</v>
      </c>
      <c r="N7" s="174">
        <v>842000</v>
      </c>
      <c r="O7" s="174">
        <v>791000</v>
      </c>
      <c r="P7" s="459"/>
      <c r="Q7" s="459"/>
      <c r="R7" s="90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14931863</v>
      </c>
      <c r="G8" s="174"/>
      <c r="H8" s="343">
        <v>17814142.92</v>
      </c>
      <c r="I8" s="405">
        <f t="shared" si="2"/>
        <v>1.1930288216547393</v>
      </c>
      <c r="J8" s="174">
        <f t="shared" si="3"/>
        <v>17814142.92</v>
      </c>
      <c r="K8" s="174">
        <v>13820707</v>
      </c>
      <c r="L8" s="174">
        <v>10177611</v>
      </c>
      <c r="M8" s="174">
        <v>8393533</v>
      </c>
      <c r="N8" s="174">
        <v>7293000</v>
      </c>
      <c r="O8" s="174">
        <v>5298000</v>
      </c>
      <c r="P8" s="459"/>
      <c r="Q8" s="459"/>
      <c r="R8" s="90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2650000</v>
      </c>
      <c r="G9" s="174"/>
      <c r="H9" s="343">
        <v>1988570.2</v>
      </c>
      <c r="I9" s="405">
        <f t="shared" si="2"/>
        <v>0.7504038490566037</v>
      </c>
      <c r="J9" s="174">
        <f t="shared" si="3"/>
        <v>1988570.1999999997</v>
      </c>
      <c r="K9" s="174">
        <v>1205215.15</v>
      </c>
      <c r="L9" s="174">
        <v>1100332.78</v>
      </c>
      <c r="M9" s="174">
        <v>924</v>
      </c>
      <c r="N9" s="174">
        <v>974000</v>
      </c>
      <c r="O9" s="174">
        <v>1080000</v>
      </c>
      <c r="P9" s="459"/>
      <c r="Q9" s="459"/>
      <c r="R9" s="90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690000</v>
      </c>
      <c r="G10" s="174"/>
      <c r="H10" s="343">
        <v>983766.11</v>
      </c>
      <c r="I10" s="405">
        <f t="shared" si="2"/>
        <v>1.4257479855072464</v>
      </c>
      <c r="J10" s="174">
        <f t="shared" si="3"/>
        <v>983766.1100000001</v>
      </c>
      <c r="K10" s="174">
        <v>397553.88</v>
      </c>
      <c r="L10" s="174">
        <v>344981.14</v>
      </c>
      <c r="M10" s="174">
        <v>486299.55</v>
      </c>
      <c r="N10" s="174">
        <v>711000</v>
      </c>
      <c r="O10" s="174">
        <v>273000</v>
      </c>
      <c r="P10" s="459"/>
      <c r="Q10" s="459"/>
      <c r="R10" s="90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12650000</v>
      </c>
      <c r="G11" s="174"/>
      <c r="H11" s="343">
        <v>6206241.94</v>
      </c>
      <c r="I11" s="405">
        <f t="shared" si="2"/>
        <v>0.4906120110671937</v>
      </c>
      <c r="J11" s="174">
        <f t="shared" si="3"/>
        <v>6206241.94</v>
      </c>
      <c r="K11" s="174">
        <v>11595685.31</v>
      </c>
      <c r="L11" s="174">
        <v>11835235.82</v>
      </c>
      <c r="M11" s="174">
        <v>6140282.61</v>
      </c>
      <c r="N11" s="174">
        <v>11908000</v>
      </c>
      <c r="O11" s="174">
        <v>5824000</v>
      </c>
      <c r="P11" s="459"/>
      <c r="Q11" s="459"/>
      <c r="R11" s="90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7231700</v>
      </c>
      <c r="G12" s="174"/>
      <c r="H12" s="343">
        <v>5524139.9</v>
      </c>
      <c r="I12" s="405">
        <f t="shared" si="2"/>
        <v>0.763878465644316</v>
      </c>
      <c r="J12" s="550">
        <f>H12/12*12</f>
        <v>5524139.9</v>
      </c>
      <c r="K12" s="174">
        <v>6767865.72</v>
      </c>
      <c r="L12" s="174">
        <v>4742137.67</v>
      </c>
      <c r="M12" s="174">
        <v>3870446.34</v>
      </c>
      <c r="N12" s="174">
        <v>4977000</v>
      </c>
      <c r="O12" s="174">
        <v>3999000</v>
      </c>
      <c r="P12" s="459"/>
      <c r="Q12" s="459"/>
      <c r="R12" s="90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600000</v>
      </c>
      <c r="G13" s="174"/>
      <c r="H13" s="343">
        <v>428911.89</v>
      </c>
      <c r="I13" s="405">
        <f t="shared" si="2"/>
        <v>0.71485315</v>
      </c>
      <c r="J13" s="174">
        <f t="shared" si="3"/>
        <v>428911.89</v>
      </c>
      <c r="K13" s="174">
        <v>219085.43</v>
      </c>
      <c r="L13" s="174">
        <v>334146.39</v>
      </c>
      <c r="M13" s="174">
        <v>136576.21</v>
      </c>
      <c r="N13" s="174">
        <v>187000</v>
      </c>
      <c r="O13" s="174">
        <v>139000</v>
      </c>
      <c r="P13" s="459"/>
      <c r="Q13" s="459"/>
      <c r="R13" s="90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575">
        <f>3150000+F47</f>
        <v>4677000</v>
      </c>
      <c r="G14" s="174"/>
      <c r="H14" s="343">
        <v>7418714.12</v>
      </c>
      <c r="I14" s="405">
        <f t="shared" si="2"/>
        <v>1.5862121274321146</v>
      </c>
      <c r="J14" s="174">
        <f t="shared" si="3"/>
        <v>7418714.119999999</v>
      </c>
      <c r="K14" s="174">
        <v>2350560</v>
      </c>
      <c r="L14" s="174">
        <v>2025697.12</v>
      </c>
      <c r="M14" s="174">
        <v>769996.5</v>
      </c>
      <c r="N14" s="174">
        <v>761000</v>
      </c>
      <c r="O14" s="174">
        <v>683000</v>
      </c>
      <c r="P14" s="459"/>
      <c r="Q14" s="459"/>
      <c r="R14" s="90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575">
        <v>2554000</v>
      </c>
      <c r="G15" s="174"/>
      <c r="H15" s="343">
        <v>1701570</v>
      </c>
      <c r="I15" s="405">
        <f t="shared" si="2"/>
        <v>0.66623727486296</v>
      </c>
      <c r="J15" s="174">
        <f t="shared" si="3"/>
        <v>1701570</v>
      </c>
      <c r="K15" s="174">
        <v>1332200</v>
      </c>
      <c r="L15" s="174">
        <v>1328938</v>
      </c>
      <c r="M15" s="174">
        <v>684729</v>
      </c>
      <c r="N15" s="174">
        <v>610000</v>
      </c>
      <c r="O15" s="174">
        <v>374000</v>
      </c>
      <c r="P15" s="459"/>
      <c r="Q15" s="459"/>
      <c r="R15" s="90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575">
        <v>4237000</v>
      </c>
      <c r="G16" s="174"/>
      <c r="H16" s="344">
        <v>5352870.39</v>
      </c>
      <c r="I16" s="405">
        <f t="shared" si="2"/>
        <v>1.2633633207458106</v>
      </c>
      <c r="J16" s="550">
        <f>H16/12*12</f>
        <v>5352870.39</v>
      </c>
      <c r="K16" s="174">
        <v>1306117.01</v>
      </c>
      <c r="L16" s="174">
        <v>1513176.22</v>
      </c>
      <c r="M16" s="174">
        <v>1001713.38</v>
      </c>
      <c r="N16" s="174">
        <v>832000</v>
      </c>
      <c r="O16" s="174">
        <v>627000</v>
      </c>
      <c r="P16" s="459"/>
      <c r="Q16" s="459"/>
      <c r="R16" s="90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576">
        <v>12337000</v>
      </c>
      <c r="G17" s="192">
        <f>J17</f>
        <v>12041000</v>
      </c>
      <c r="H17" s="274">
        <v>12041000</v>
      </c>
      <c r="I17" s="406">
        <f>H17/G17</f>
        <v>1</v>
      </c>
      <c r="J17" s="187">
        <f>J29</f>
        <v>12041000</v>
      </c>
      <c r="K17" s="192">
        <v>12279500</v>
      </c>
      <c r="L17" s="192">
        <v>9000000</v>
      </c>
      <c r="M17" s="192">
        <v>6093750</v>
      </c>
      <c r="N17" s="192">
        <v>4374000</v>
      </c>
      <c r="O17" s="192">
        <v>3375000</v>
      </c>
      <c r="P17" s="458"/>
      <c r="Q17" s="458"/>
      <c r="R17" s="89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576">
        <v>1000000</v>
      </c>
      <c r="G18" s="192">
        <f aca="true" t="shared" si="4" ref="G18:G24">J18</f>
        <v>1154000</v>
      </c>
      <c r="H18" s="274">
        <v>1154000</v>
      </c>
      <c r="I18" s="406">
        <f aca="true" t="shared" si="5" ref="I18:I24">H18/G18</f>
        <v>1</v>
      </c>
      <c r="J18" s="187">
        <f>J30</f>
        <v>1154000</v>
      </c>
      <c r="K18" s="192">
        <v>1024500</v>
      </c>
      <c r="L18" s="192">
        <v>669878</v>
      </c>
      <c r="M18" s="192">
        <v>557000</v>
      </c>
      <c r="N18" s="192">
        <v>492000</v>
      </c>
      <c r="O18" s="192">
        <v>287000</v>
      </c>
      <c r="P18" s="458"/>
      <c r="Q18" s="458"/>
      <c r="R18" s="89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576">
        <v>10503000</v>
      </c>
      <c r="G19" s="192">
        <f t="shared" si="4"/>
        <v>9397409</v>
      </c>
      <c r="H19" s="274">
        <v>9147951.13</v>
      </c>
      <c r="I19" s="406">
        <f t="shared" si="5"/>
        <v>0.9734546117977839</v>
      </c>
      <c r="J19" s="187">
        <f>J31</f>
        <v>9397409</v>
      </c>
      <c r="K19" s="192">
        <v>10660243.9</v>
      </c>
      <c r="L19" s="192">
        <v>2780000</v>
      </c>
      <c r="M19" s="192">
        <v>3579679.94</v>
      </c>
      <c r="N19" s="192">
        <v>2150000</v>
      </c>
      <c r="O19" s="192"/>
      <c r="P19" s="458"/>
      <c r="Q19" s="458"/>
      <c r="R19" s="89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576">
        <f>F32</f>
        <v>419000</v>
      </c>
      <c r="G20" s="192">
        <f t="shared" si="4"/>
        <v>419000</v>
      </c>
      <c r="H20" s="274">
        <v>419000</v>
      </c>
      <c r="I20" s="406">
        <f t="shared" si="5"/>
        <v>1</v>
      </c>
      <c r="J20" s="187">
        <f>J32</f>
        <v>419000</v>
      </c>
      <c r="K20" s="192">
        <v>389000</v>
      </c>
      <c r="L20" s="192">
        <v>549000</v>
      </c>
      <c r="M20" s="192">
        <v>668324</v>
      </c>
      <c r="N20" s="192">
        <v>1079000</v>
      </c>
      <c r="O20" s="192">
        <v>177000</v>
      </c>
      <c r="P20" s="458"/>
      <c r="Q20" s="458"/>
      <c r="R20" s="89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1310300</v>
      </c>
      <c r="H21" s="274">
        <v>1310300</v>
      </c>
      <c r="I21" s="562">
        <f t="shared" si="5"/>
        <v>1</v>
      </c>
      <c r="J21" s="561">
        <f>J34</f>
        <v>1310300</v>
      </c>
      <c r="K21" s="192"/>
      <c r="L21" s="192"/>
      <c r="M21" s="192"/>
      <c r="N21" s="192">
        <v>50000</v>
      </c>
      <c r="O21" s="192">
        <v>11000</v>
      </c>
      <c r="P21" s="458"/>
      <c r="Q21" s="458"/>
      <c r="R21" s="89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900000</v>
      </c>
      <c r="G22" s="192">
        <f t="shared" si="4"/>
        <v>11432898.16</v>
      </c>
      <c r="H22" s="274">
        <v>11432898.16</v>
      </c>
      <c r="I22" s="406">
        <f>H22/G22</f>
        <v>1</v>
      </c>
      <c r="J22" s="187">
        <f>H22</f>
        <v>11432898.16</v>
      </c>
      <c r="K22" s="192">
        <v>987406.97</v>
      </c>
      <c r="L22" s="192">
        <v>1095122.59</v>
      </c>
      <c r="M22" s="192">
        <v>2398888.25</v>
      </c>
      <c r="N22" s="192">
        <v>1004000</v>
      </c>
      <c r="O22" s="192">
        <v>1465000</v>
      </c>
      <c r="P22" s="458"/>
      <c r="Q22" s="458"/>
      <c r="R22" s="89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331">
        <v>26613000</v>
      </c>
      <c r="G23" s="192">
        <f t="shared" si="4"/>
        <v>26613000</v>
      </c>
      <c r="H23" s="274">
        <v>27255941.5</v>
      </c>
      <c r="I23" s="406">
        <f t="shared" si="5"/>
        <v>1.0241589260887536</v>
      </c>
      <c r="J23" s="187">
        <f>J37</f>
        <v>26613000</v>
      </c>
      <c r="K23" s="192">
        <v>25908240</v>
      </c>
      <c r="L23" s="192">
        <v>6350000</v>
      </c>
      <c r="M23" s="192">
        <v>6142000</v>
      </c>
      <c r="N23" s="192">
        <v>5977000</v>
      </c>
      <c r="O23" s="192">
        <v>5617000</v>
      </c>
      <c r="P23" s="458"/>
      <c r="Q23" s="458"/>
      <c r="R23" s="89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7000000</v>
      </c>
      <c r="G24" s="192">
        <f t="shared" si="4"/>
        <v>12141588.440000001</v>
      </c>
      <c r="H24" s="274">
        <v>11450238.44</v>
      </c>
      <c r="I24" s="406">
        <f t="shared" si="5"/>
        <v>0.9430593448776129</v>
      </c>
      <c r="J24" s="187">
        <f>J38</f>
        <v>12141588.440000001</v>
      </c>
      <c r="K24" s="192">
        <v>9020306.15</v>
      </c>
      <c r="L24" s="192">
        <v>16455358.02</v>
      </c>
      <c r="M24" s="192">
        <v>18235367.89</v>
      </c>
      <c r="N24" s="192">
        <v>12564000</v>
      </c>
      <c r="O24" s="192">
        <v>13894000</v>
      </c>
      <c r="P24" s="458"/>
      <c r="Q24" s="458"/>
      <c r="R24" s="89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2500000</v>
      </c>
      <c r="G25" s="192"/>
      <c r="H25" s="274">
        <v>3962932.25</v>
      </c>
      <c r="I25" s="406">
        <f>H25/F25</f>
        <v>1.5851729</v>
      </c>
      <c r="J25" s="187">
        <f>H25</f>
        <v>3962932.25</v>
      </c>
      <c r="K25" s="192">
        <v>2471611.91</v>
      </c>
      <c r="L25" s="192">
        <v>1965334.02</v>
      </c>
      <c r="M25" s="192">
        <v>1659513.78</v>
      </c>
      <c r="N25" s="192">
        <v>285000</v>
      </c>
      <c r="O25" s="192">
        <v>958000</v>
      </c>
      <c r="P25" s="458"/>
      <c r="Q25" s="458"/>
      <c r="R25" s="89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315000</v>
      </c>
      <c r="G26" s="192"/>
      <c r="H26" s="274">
        <v>575514.95</v>
      </c>
      <c r="I26" s="406">
        <f>H26/F26</f>
        <v>1.8270315873015872</v>
      </c>
      <c r="J26" s="187">
        <f>H26/12*12</f>
        <v>575514.95</v>
      </c>
      <c r="K26" s="192">
        <v>306988.33</v>
      </c>
      <c r="L26" s="192">
        <v>273116.06</v>
      </c>
      <c r="M26" s="192">
        <v>1578</v>
      </c>
      <c r="N26" s="192">
        <v>21000</v>
      </c>
      <c r="O26" s="192">
        <v>97000</v>
      </c>
      <c r="P26" s="458"/>
      <c r="Q26" s="458"/>
      <c r="R26" s="89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156742000</v>
      </c>
      <c r="G27" s="221">
        <f>SUM(G28:G42)</f>
        <v>148896540.44</v>
      </c>
      <c r="H27" s="342">
        <f>SUM(H28:H42)</f>
        <v>181494643.55999997</v>
      </c>
      <c r="I27" s="403">
        <f>H27/F27</f>
        <v>1.1579196613543272</v>
      </c>
      <c r="J27" s="322">
        <f aca="true" t="shared" si="6" ref="J27:O27">SUM(J28:J42)</f>
        <v>181792509.92999998</v>
      </c>
      <c r="K27" s="221">
        <f t="shared" si="6"/>
        <v>144543178.20000002</v>
      </c>
      <c r="L27" s="221">
        <f t="shared" si="6"/>
        <v>104570573.69</v>
      </c>
      <c r="M27" s="221">
        <f t="shared" si="6"/>
        <v>87970894.29</v>
      </c>
      <c r="N27" s="221">
        <f t="shared" si="6"/>
        <v>82430000</v>
      </c>
      <c r="O27" s="221">
        <f t="shared" si="6"/>
        <v>61090000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576">
        <f>73401000+F47</f>
        <v>74928000</v>
      </c>
      <c r="G28" s="457">
        <f>73401000+18000+1669243+P28</f>
        <v>75928243</v>
      </c>
      <c r="H28" s="345">
        <v>75928243</v>
      </c>
      <c r="I28" s="407">
        <f>H28/G28</f>
        <v>1</v>
      </c>
      <c r="J28" s="354">
        <f>G28</f>
        <v>75928243</v>
      </c>
      <c r="K28" s="337">
        <v>62428231</v>
      </c>
      <c r="L28" s="337">
        <v>47955266</v>
      </c>
      <c r="M28" s="337">
        <v>33674081</v>
      </c>
      <c r="N28" s="337">
        <v>38404000</v>
      </c>
      <c r="O28" s="337">
        <v>24531000</v>
      </c>
      <c r="P28" s="467">
        <v>840000</v>
      </c>
      <c r="Q28" s="467">
        <v>0</v>
      </c>
      <c r="R28" s="89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577">
        <v>12337000</v>
      </c>
      <c r="G29" s="338">
        <v>12041000</v>
      </c>
      <c r="H29" s="346">
        <v>12041000</v>
      </c>
      <c r="I29" s="407">
        <f aca="true" t="shared" si="7" ref="I29:I38">H29/G29</f>
        <v>1</v>
      </c>
      <c r="J29" s="354">
        <f aca="true" t="shared" si="8" ref="J29:J38">G29</f>
        <v>12041000</v>
      </c>
      <c r="K29" s="338">
        <v>12279500</v>
      </c>
      <c r="L29" s="338">
        <v>9000000</v>
      </c>
      <c r="M29" s="338">
        <v>6093750</v>
      </c>
      <c r="N29" s="338">
        <v>4374000</v>
      </c>
      <c r="O29" s="338">
        <v>3375000</v>
      </c>
      <c r="P29" s="467"/>
      <c r="Q29" s="467"/>
      <c r="R29" s="89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577">
        <v>1000000</v>
      </c>
      <c r="G30" s="338">
        <f>1069000+31000+54000</f>
        <v>1154000</v>
      </c>
      <c r="H30" s="346">
        <v>1154000</v>
      </c>
      <c r="I30" s="407">
        <f t="shared" si="7"/>
        <v>1</v>
      </c>
      <c r="J30" s="354">
        <f t="shared" si="8"/>
        <v>1154000</v>
      </c>
      <c r="K30" s="338">
        <v>1024500</v>
      </c>
      <c r="L30" s="338">
        <v>669878</v>
      </c>
      <c r="M30" s="338">
        <v>557000</v>
      </c>
      <c r="N30" s="338">
        <v>492000</v>
      </c>
      <c r="O30" s="338">
        <v>287000</v>
      </c>
      <c r="P30" s="467"/>
      <c r="Q30" s="467"/>
      <c r="R30" s="89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577">
        <v>10503000</v>
      </c>
      <c r="G31" s="546">
        <v>9397409</v>
      </c>
      <c r="H31" s="346">
        <v>9147951.13</v>
      </c>
      <c r="I31" s="407">
        <f t="shared" si="7"/>
        <v>0.9734546117977839</v>
      </c>
      <c r="J31" s="354">
        <f t="shared" si="8"/>
        <v>9397409</v>
      </c>
      <c r="K31" s="338">
        <v>10660243.9</v>
      </c>
      <c r="L31" s="338">
        <v>2780000</v>
      </c>
      <c r="M31" s="338">
        <v>3579680</v>
      </c>
      <c r="N31" s="338">
        <v>2150000</v>
      </c>
      <c r="O31" s="338">
        <v>100000</v>
      </c>
      <c r="P31" s="467"/>
      <c r="Q31" s="467"/>
      <c r="R31" s="89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577">
        <v>419000</v>
      </c>
      <c r="G32" s="338">
        <f>(182+237)*1000</f>
        <v>419000</v>
      </c>
      <c r="H32" s="346">
        <v>419000</v>
      </c>
      <c r="I32" s="407">
        <f t="shared" si="7"/>
        <v>1</v>
      </c>
      <c r="J32" s="354">
        <f t="shared" si="8"/>
        <v>419000</v>
      </c>
      <c r="K32" s="338">
        <v>389000</v>
      </c>
      <c r="L32" s="338">
        <v>549000</v>
      </c>
      <c r="M32" s="338">
        <v>668324</v>
      </c>
      <c r="N32" s="338">
        <v>1079000</v>
      </c>
      <c r="O32" s="338">
        <v>177000</v>
      </c>
      <c r="P32" s="467"/>
      <c r="Q32" s="467"/>
      <c r="R32" s="89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54">
        <f t="shared" si="8"/>
        <v>0</v>
      </c>
      <c r="K33" s="338"/>
      <c r="L33" s="338"/>
      <c r="M33" s="338"/>
      <c r="N33" s="338"/>
      <c r="O33" s="338"/>
      <c r="P33" s="467"/>
      <c r="Q33" s="467"/>
      <c r="R33" s="89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338">
        <v>1310300</v>
      </c>
      <c r="H34" s="346">
        <v>1310300</v>
      </c>
      <c r="I34" s="407">
        <f t="shared" si="7"/>
        <v>1</v>
      </c>
      <c r="J34" s="354">
        <f t="shared" si="8"/>
        <v>1310300</v>
      </c>
      <c r="K34" s="338"/>
      <c r="L34" s="338"/>
      <c r="M34" s="338"/>
      <c r="N34" s="338">
        <v>50000</v>
      </c>
      <c r="O34" s="338">
        <v>11000</v>
      </c>
      <c r="P34" s="467"/>
      <c r="Q34" s="467"/>
      <c r="R34" s="89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900000</v>
      </c>
      <c r="G35" s="338"/>
      <c r="H35" s="346">
        <v>11437412.66</v>
      </c>
      <c r="I35" s="407">
        <f>H35/F35</f>
        <v>12.70823628888889</v>
      </c>
      <c r="J35" s="354">
        <f>H35</f>
        <v>11437412.66</v>
      </c>
      <c r="K35" s="338">
        <v>984313.89</v>
      </c>
      <c r="L35" s="338">
        <v>1803872.21</v>
      </c>
      <c r="M35" s="338">
        <v>2398888.25</v>
      </c>
      <c r="N35" s="338">
        <v>1022000</v>
      </c>
      <c r="O35" s="338">
        <v>1465000</v>
      </c>
      <c r="P35" s="467"/>
      <c r="Q35" s="467"/>
      <c r="R35" s="89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9892000</v>
      </c>
      <c r="G36" s="338">
        <f>F36</f>
        <v>9892000</v>
      </c>
      <c r="H36" s="346">
        <v>9892000</v>
      </c>
      <c r="I36" s="407">
        <f t="shared" si="7"/>
        <v>1</v>
      </c>
      <c r="J36" s="354">
        <f t="shared" si="8"/>
        <v>9892000</v>
      </c>
      <c r="K36" s="338">
        <v>9211000</v>
      </c>
      <c r="L36" s="338">
        <v>9396000</v>
      </c>
      <c r="M36" s="338">
        <v>8442000</v>
      </c>
      <c r="N36" s="338">
        <v>8513000</v>
      </c>
      <c r="O36" s="338">
        <v>3570000</v>
      </c>
      <c r="P36" s="467"/>
      <c r="Q36" s="467"/>
      <c r="R36" s="89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333">
        <v>26613000</v>
      </c>
      <c r="G37" s="338">
        <f>F37</f>
        <v>26613000</v>
      </c>
      <c r="H37" s="346">
        <v>27255941.5</v>
      </c>
      <c r="I37" s="407">
        <f t="shared" si="7"/>
        <v>1.0241589260887536</v>
      </c>
      <c r="J37" s="354">
        <f t="shared" si="8"/>
        <v>26613000</v>
      </c>
      <c r="K37" s="338">
        <v>25908240</v>
      </c>
      <c r="L37" s="338">
        <v>6350000</v>
      </c>
      <c r="M37" s="338">
        <v>6142000</v>
      </c>
      <c r="N37" s="338">
        <v>5977000</v>
      </c>
      <c r="O37" s="338">
        <v>5617000</v>
      </c>
      <c r="P37" s="467"/>
      <c r="Q37" s="467"/>
      <c r="R37" s="89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7000000</v>
      </c>
      <c r="G38" s="545">
        <f>(395+321+628+4463+5628.82844+27)*1000+P38</f>
        <v>12141588.440000001</v>
      </c>
      <c r="H38" s="346">
        <v>11450238.44</v>
      </c>
      <c r="I38" s="407">
        <f t="shared" si="7"/>
        <v>0.9430593448776129</v>
      </c>
      <c r="J38" s="354">
        <f t="shared" si="8"/>
        <v>12141588.440000001</v>
      </c>
      <c r="K38" s="338">
        <v>9020306.15</v>
      </c>
      <c r="L38" s="338">
        <v>16455358.02</v>
      </c>
      <c r="M38" s="338">
        <v>18235367.89</v>
      </c>
      <c r="N38" s="338">
        <v>12564000</v>
      </c>
      <c r="O38" s="338">
        <v>13894000</v>
      </c>
      <c r="P38" s="467">
        <v>678760</v>
      </c>
      <c r="Q38" s="467">
        <v>0</v>
      </c>
      <c r="R38" s="467">
        <v>913320.04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2500000</v>
      </c>
      <c r="G39" s="338"/>
      <c r="H39" s="346">
        <v>3962932.25</v>
      </c>
      <c r="I39" s="407">
        <f>H39/F39</f>
        <v>1.5851729</v>
      </c>
      <c r="J39" s="355">
        <f>H39</f>
        <v>3962932.25</v>
      </c>
      <c r="K39" s="338">
        <v>2471611.91</v>
      </c>
      <c r="L39" s="338">
        <v>1965334.02</v>
      </c>
      <c r="M39" s="338">
        <v>1659513.78</v>
      </c>
      <c r="N39" s="338">
        <v>285000</v>
      </c>
      <c r="O39" s="338">
        <v>957000</v>
      </c>
      <c r="P39" s="467"/>
      <c r="Q39" s="467"/>
      <c r="R39" s="89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7000000</v>
      </c>
      <c r="G40" s="338"/>
      <c r="H40" s="346">
        <v>15405185.2</v>
      </c>
      <c r="I40" s="407">
        <f>H40/F40</f>
        <v>2.2007407428571426</v>
      </c>
      <c r="J40" s="353">
        <f>(H40-H46)/12*12+H46</f>
        <v>15405185.2</v>
      </c>
      <c r="K40" s="338">
        <v>8658953.35</v>
      </c>
      <c r="L40" s="338">
        <v>6606720.84</v>
      </c>
      <c r="M40" s="338">
        <v>5866900.37</v>
      </c>
      <c r="N40" s="338">
        <v>7391000</v>
      </c>
      <c r="O40" s="338">
        <v>6844000</v>
      </c>
      <c r="P40" s="467"/>
      <c r="Q40" s="467"/>
      <c r="R40" s="89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3300000</v>
      </c>
      <c r="G41" s="338"/>
      <c r="H41" s="346">
        <v>1380930</v>
      </c>
      <c r="I41" s="407">
        <f>H41/F41</f>
        <v>0.41846363636363637</v>
      </c>
      <c r="J41" s="355">
        <f>H41</f>
        <v>1380930</v>
      </c>
      <c r="K41" s="338">
        <v>1176900</v>
      </c>
      <c r="L41" s="338">
        <v>732422</v>
      </c>
      <c r="M41" s="338">
        <v>627889</v>
      </c>
      <c r="N41" s="338">
        <v>58000</v>
      </c>
      <c r="O41" s="338">
        <v>110000</v>
      </c>
      <c r="P41" s="467"/>
      <c r="Q41" s="467"/>
      <c r="R41" s="89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350000</v>
      </c>
      <c r="G42" s="338"/>
      <c r="H42" s="346">
        <v>709509.38</v>
      </c>
      <c r="I42" s="407">
        <f>H42/F42</f>
        <v>2.0271696571428572</v>
      </c>
      <c r="J42" s="355">
        <f>H42/12*12</f>
        <v>709509.38</v>
      </c>
      <c r="K42" s="338">
        <v>330378</v>
      </c>
      <c r="L42" s="338">
        <v>306722.6</v>
      </c>
      <c r="M42" s="338">
        <v>25500</v>
      </c>
      <c r="N42" s="338">
        <v>71000</v>
      </c>
      <c r="O42" s="338">
        <v>152000</v>
      </c>
      <c r="P42" s="467"/>
      <c r="Q42" s="467"/>
      <c r="R42" s="89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418675</v>
      </c>
      <c r="G43" s="227"/>
      <c r="H43" s="347">
        <v>40964129.93</v>
      </c>
      <c r="I43" s="408"/>
      <c r="J43" s="324">
        <f>J28+J33+J36+J40+J41+J42-J5-J26</f>
        <v>2872547.629999983</v>
      </c>
      <c r="K43" s="227"/>
      <c r="L43" s="227"/>
      <c r="M43" s="227">
        <f>M28+M33+M36+M40+M41+M42-M5-M26</f>
        <v>2092510.7799999937</v>
      </c>
      <c r="N43" s="227">
        <f>N28+N33+N36+N40+N41+N42-N5-N26</f>
        <v>4320000</v>
      </c>
      <c r="O43" s="227">
        <f>O28+O33+O36+O40+O41+O42-O5-O26</f>
        <v>865000</v>
      </c>
      <c r="P43" s="458"/>
      <c r="Q43" s="458"/>
      <c r="R43" s="89"/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418675</v>
      </c>
      <c r="G44" s="221"/>
      <c r="H44" s="342">
        <f>H27-H4</f>
        <v>2877062.1299999654</v>
      </c>
      <c r="I44" s="409">
        <f>H44/F44</f>
        <v>6.871826906311496</v>
      </c>
      <c r="J44" s="322">
        <f aca="true" t="shared" si="9" ref="J44:O44">J27-J4</f>
        <v>2877062.1299999654</v>
      </c>
      <c r="K44" s="221">
        <f t="shared" si="9"/>
        <v>1900659.4399999976</v>
      </c>
      <c r="L44" s="221">
        <f t="shared" si="9"/>
        <v>2107144.8599999994</v>
      </c>
      <c r="M44" s="221">
        <f t="shared" si="9"/>
        <v>2092510.8400000036</v>
      </c>
      <c r="N44" s="221">
        <f t="shared" si="9"/>
        <v>4338000</v>
      </c>
      <c r="O44" s="221">
        <f t="shared" si="9"/>
        <v>964000</v>
      </c>
    </row>
    <row r="45" spans="1:17" s="89" customFormat="1" ht="11.25">
      <c r="A45" s="89" t="s">
        <v>175</v>
      </c>
      <c r="B45" s="90"/>
      <c r="C45" s="90"/>
      <c r="D45" s="90"/>
      <c r="E45" s="90"/>
      <c r="F45" s="90"/>
      <c r="G45" s="90" t="s">
        <v>203</v>
      </c>
      <c r="H45" s="91">
        <v>4548563.91</v>
      </c>
      <c r="I45" s="410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6963000</v>
      </c>
      <c r="G46" s="91"/>
      <c r="H46" s="91"/>
      <c r="I46" s="411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1527000</v>
      </c>
      <c r="G47" s="91"/>
      <c r="H47" s="91"/>
      <c r="I47" s="411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5436000</v>
      </c>
      <c r="G48" s="91"/>
      <c r="H48" s="91"/>
      <c r="I48" s="411"/>
      <c r="J48" s="91"/>
      <c r="K48" s="91"/>
      <c r="P48" s="458"/>
      <c r="Q48" s="458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73401000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1527000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74928000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35433070866141736" right="0.15748031496062992" top="0.27" bottom="0.2362204724409449" header="0.15748031496062992" footer="0.15748031496062992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6"/>
  <dimension ref="A1:S54"/>
  <sheetViews>
    <sheetView workbookViewId="0" topLeftCell="A44">
      <selection activeCell="A56" sqref="A56:IV58"/>
    </sheetView>
  </sheetViews>
  <sheetFormatPr defaultColWidth="9.00390625" defaultRowHeight="12.75"/>
  <cols>
    <col min="1" max="1" width="7.375" style="0" customWidth="1"/>
    <col min="2" max="2" width="5.625" style="0" customWidth="1"/>
    <col min="3" max="3" width="6.25390625" style="0" customWidth="1"/>
    <col min="4" max="4" width="29.25390625" style="0" customWidth="1"/>
    <col min="5" max="5" width="3.75390625" style="0" customWidth="1"/>
    <col min="6" max="6" width="11.375" style="216" bestFit="1" customWidth="1"/>
    <col min="7" max="7" width="10.375" style="216" customWidth="1"/>
    <col min="8" max="8" width="10.875" style="216" bestFit="1" customWidth="1"/>
    <col min="9" max="9" width="6.75390625" style="413" bestFit="1" customWidth="1"/>
    <col min="10" max="10" width="10.125" style="216" hidden="1" customWidth="1"/>
    <col min="11" max="13" width="10.125" style="89" bestFit="1" customWidth="1"/>
    <col min="14" max="15" width="9.625" style="89" bestFit="1" customWidth="1"/>
    <col min="16" max="16" width="8.125" style="458" customWidth="1"/>
    <col min="17" max="17" width="6.75390625" style="458" customWidth="1"/>
    <col min="18" max="18" width="8.375" style="89" customWidth="1"/>
    <col min="19" max="19" width="9.00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38</v>
      </c>
      <c r="B2" s="44"/>
      <c r="C2" s="44"/>
      <c r="D2" s="45" t="s">
        <v>37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58"/>
      <c r="Q3" s="458"/>
      <c r="R3" s="89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577583000</v>
      </c>
      <c r="G4" s="221">
        <f>SUM(G6:G26)</f>
        <v>265676229.28</v>
      </c>
      <c r="H4" s="342">
        <f>SUM(H6:H26)</f>
        <v>603171464.3400002</v>
      </c>
      <c r="I4" s="403">
        <f>H4/F4</f>
        <v>1.0443026618511975</v>
      </c>
      <c r="J4" s="322">
        <f aca="true" t="shared" si="0" ref="J4:O4">SUM(J6:J26)</f>
        <v>603193662.76</v>
      </c>
      <c r="K4" s="221">
        <f t="shared" si="0"/>
        <v>523151320.31999993</v>
      </c>
      <c r="L4" s="221">
        <f t="shared" si="0"/>
        <v>423608066.3499999</v>
      </c>
      <c r="M4" s="221">
        <f t="shared" si="0"/>
        <v>350844320.41999996</v>
      </c>
      <c r="N4" s="221">
        <f t="shared" si="0"/>
        <v>346646000</v>
      </c>
      <c r="O4" s="221">
        <f t="shared" si="0"/>
        <v>290988000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268734000</v>
      </c>
      <c r="G5" s="192"/>
      <c r="H5" s="274">
        <f>SUM(H6:H16)</f>
        <v>282684153.71000004</v>
      </c>
      <c r="I5" s="404">
        <f>H5/F5</f>
        <v>1.05191063918224</v>
      </c>
      <c r="J5" s="187">
        <f aca="true" t="shared" si="1" ref="J5:O5">SUM(J6:J16)</f>
        <v>282684153.71000004</v>
      </c>
      <c r="K5" s="192">
        <f t="shared" si="1"/>
        <v>240563334.17999998</v>
      </c>
      <c r="L5" s="192">
        <f t="shared" si="1"/>
        <v>231993023.95</v>
      </c>
      <c r="M5" s="192">
        <f t="shared" si="1"/>
        <v>178499898.32999998</v>
      </c>
      <c r="N5" s="192">
        <f t="shared" si="1"/>
        <v>180718000</v>
      </c>
      <c r="O5" s="192">
        <f t="shared" si="1"/>
        <v>151053000</v>
      </c>
      <c r="P5" s="458"/>
      <c r="Q5" s="458"/>
      <c r="R5" s="89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110000000</v>
      </c>
      <c r="G6" s="174"/>
      <c r="H6" s="343">
        <v>114784023.4</v>
      </c>
      <c r="I6" s="405">
        <f>H6/F6</f>
        <v>1.043491121818182</v>
      </c>
      <c r="J6" s="174">
        <f>H6/12*12</f>
        <v>114784023.4</v>
      </c>
      <c r="K6" s="174">
        <v>104498260.95</v>
      </c>
      <c r="L6" s="174">
        <v>112667878.2</v>
      </c>
      <c r="M6" s="174">
        <v>100908543</v>
      </c>
      <c r="N6" s="174">
        <v>94156000</v>
      </c>
      <c r="O6" s="174">
        <v>73656000</v>
      </c>
      <c r="P6" s="459"/>
      <c r="Q6" s="459"/>
      <c r="R6" s="90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2370000</v>
      </c>
      <c r="G7" s="174"/>
      <c r="H7" s="343">
        <v>1975951</v>
      </c>
      <c r="I7" s="405">
        <f aca="true" t="shared" si="2" ref="I7:I16">H7/F7</f>
        <v>0.8337345991561181</v>
      </c>
      <c r="J7" s="174">
        <f aca="true" t="shared" si="3" ref="J7:J15">H7/12*12</f>
        <v>1975951</v>
      </c>
      <c r="K7" s="174">
        <v>1474903</v>
      </c>
      <c r="L7" s="174">
        <v>1011178</v>
      </c>
      <c r="M7" s="174">
        <v>1371130</v>
      </c>
      <c r="N7" s="174">
        <v>1329000</v>
      </c>
      <c r="O7" s="174">
        <v>941000</v>
      </c>
      <c r="P7" s="459"/>
      <c r="Q7" s="459"/>
      <c r="R7" s="90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40700000</v>
      </c>
      <c r="G8" s="174"/>
      <c r="H8" s="343">
        <v>40269500.7</v>
      </c>
      <c r="I8" s="405">
        <f t="shared" si="2"/>
        <v>0.9894226216216216</v>
      </c>
      <c r="J8" s="174">
        <f t="shared" si="3"/>
        <v>40269500.7</v>
      </c>
      <c r="K8" s="174">
        <v>36944294</v>
      </c>
      <c r="L8" s="174">
        <v>39251901</v>
      </c>
      <c r="M8" s="174">
        <v>35188107</v>
      </c>
      <c r="N8" s="174">
        <v>32862000</v>
      </c>
      <c r="O8" s="174">
        <v>25649000</v>
      </c>
      <c r="P8" s="459"/>
      <c r="Q8" s="459"/>
      <c r="R8" s="90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12000000</v>
      </c>
      <c r="G9" s="174"/>
      <c r="H9" s="343">
        <v>15627226.87</v>
      </c>
      <c r="I9" s="405">
        <f t="shared" si="2"/>
        <v>1.3022689058333332</v>
      </c>
      <c r="J9" s="174">
        <f t="shared" si="3"/>
        <v>15627226.87</v>
      </c>
      <c r="K9" s="174">
        <v>9130610.31</v>
      </c>
      <c r="L9" s="174">
        <v>9172500.44</v>
      </c>
      <c r="M9" s="174">
        <v>9969221.67</v>
      </c>
      <c r="N9" s="174">
        <v>10936000</v>
      </c>
      <c r="O9" s="174">
        <v>11323000</v>
      </c>
      <c r="P9" s="459"/>
      <c r="Q9" s="459"/>
      <c r="R9" s="90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700000</v>
      </c>
      <c r="G10" s="174"/>
      <c r="H10" s="343">
        <v>1402287.37</v>
      </c>
      <c r="I10" s="405">
        <f t="shared" si="2"/>
        <v>2.0032676714285715</v>
      </c>
      <c r="J10" s="174">
        <f t="shared" si="3"/>
        <v>1402287.37</v>
      </c>
      <c r="K10" s="174">
        <v>18623.89</v>
      </c>
      <c r="L10" s="174">
        <v>1498733.3</v>
      </c>
      <c r="M10" s="174">
        <v>1431500.39</v>
      </c>
      <c r="N10" s="174">
        <v>2330000</v>
      </c>
      <c r="O10" s="174">
        <v>2982000</v>
      </c>
      <c r="P10" s="459"/>
      <c r="Q10" s="459"/>
      <c r="R10" s="90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13000000</v>
      </c>
      <c r="G11" s="174"/>
      <c r="H11" s="343">
        <v>15146253.82</v>
      </c>
      <c r="I11" s="405">
        <f t="shared" si="2"/>
        <v>1.1650964476923078</v>
      </c>
      <c r="J11" s="174">
        <f t="shared" si="3"/>
        <v>15146253.82</v>
      </c>
      <c r="K11" s="174">
        <v>14877573.21</v>
      </c>
      <c r="L11" s="174">
        <v>11369624.62</v>
      </c>
      <c r="M11" s="174">
        <v>11984341.48</v>
      </c>
      <c r="N11" s="174">
        <v>10467000</v>
      </c>
      <c r="O11" s="174">
        <v>12829000</v>
      </c>
      <c r="P11" s="459"/>
      <c r="Q11" s="459"/>
      <c r="R11" s="90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12500000</v>
      </c>
      <c r="G12" s="174"/>
      <c r="H12" s="343">
        <v>12266252</v>
      </c>
      <c r="I12" s="405">
        <f t="shared" si="2"/>
        <v>0.98130016</v>
      </c>
      <c r="J12" s="550">
        <f>H12/12*12</f>
        <v>12266252</v>
      </c>
      <c r="K12" s="174">
        <v>13014939.18</v>
      </c>
      <c r="L12" s="174">
        <v>6458871.78</v>
      </c>
      <c r="M12" s="174">
        <v>9015455.93</v>
      </c>
      <c r="N12" s="174">
        <v>7240000</v>
      </c>
      <c r="O12" s="174">
        <v>9480000</v>
      </c>
      <c r="P12" s="459"/>
      <c r="Q12" s="459"/>
      <c r="R12" s="90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1800000</v>
      </c>
      <c r="G13" s="174"/>
      <c r="H13" s="343">
        <v>2837135.22</v>
      </c>
      <c r="I13" s="405">
        <f t="shared" si="2"/>
        <v>1.5761862333333334</v>
      </c>
      <c r="J13" s="174">
        <f t="shared" si="3"/>
        <v>2837135.22</v>
      </c>
      <c r="K13" s="174">
        <v>1795555.69</v>
      </c>
      <c r="L13" s="174">
        <v>1799883.91</v>
      </c>
      <c r="M13" s="174">
        <v>1107028.77</v>
      </c>
      <c r="N13" s="174">
        <v>1501000</v>
      </c>
      <c r="O13" s="174">
        <v>1230000</v>
      </c>
      <c r="P13" s="459"/>
      <c r="Q13" s="459"/>
      <c r="R13" s="90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v>57203000</v>
      </c>
      <c r="G14" s="174"/>
      <c r="H14" s="343">
        <v>64386470.83</v>
      </c>
      <c r="I14" s="405">
        <f t="shared" si="2"/>
        <v>1.1255785680820936</v>
      </c>
      <c r="J14" s="174">
        <f t="shared" si="3"/>
        <v>64386470.83</v>
      </c>
      <c r="K14" s="174">
        <v>49916893.63</v>
      </c>
      <c r="L14" s="174">
        <v>42282001.25</v>
      </c>
      <c r="M14" s="174">
        <v>6018360.13</v>
      </c>
      <c r="N14" s="174">
        <v>15652000</v>
      </c>
      <c r="O14" s="174">
        <v>6148000</v>
      </c>
      <c r="P14" s="459"/>
      <c r="Q14" s="459"/>
      <c r="R14" s="90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3500000</v>
      </c>
      <c r="G15" s="174"/>
      <c r="H15" s="343">
        <v>3295462.5</v>
      </c>
      <c r="I15" s="405">
        <f t="shared" si="2"/>
        <v>0.9415607142857143</v>
      </c>
      <c r="J15" s="174">
        <f t="shared" si="3"/>
        <v>3295462.5</v>
      </c>
      <c r="K15" s="174">
        <v>3010733</v>
      </c>
      <c r="L15" s="174">
        <v>2076642</v>
      </c>
      <c r="M15" s="174">
        <v>1874787</v>
      </c>
      <c r="N15" s="174">
        <v>1499000</v>
      </c>
      <c r="O15" s="174">
        <v>3602000</v>
      </c>
      <c r="P15" s="459"/>
      <c r="Q15" s="459"/>
      <c r="R15" s="90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32">
        <v>14961000</v>
      </c>
      <c r="G16" s="174"/>
      <c r="H16" s="344">
        <v>10693590</v>
      </c>
      <c r="I16" s="405">
        <f t="shared" si="2"/>
        <v>0.7147643874072589</v>
      </c>
      <c r="J16" s="550">
        <f>H16/12*12</f>
        <v>10693590</v>
      </c>
      <c r="K16" s="174">
        <v>5880947.32</v>
      </c>
      <c r="L16" s="174">
        <v>4403809.45</v>
      </c>
      <c r="M16" s="174">
        <v>-368577.04</v>
      </c>
      <c r="N16" s="174">
        <v>2746000</v>
      </c>
      <c r="O16" s="174">
        <v>3213000</v>
      </c>
      <c r="P16" s="459"/>
      <c r="Q16" s="459"/>
      <c r="R16" s="90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31000000</v>
      </c>
      <c r="G17" s="192">
        <f>J17</f>
        <v>30357000</v>
      </c>
      <c r="H17" s="274">
        <v>30357000</v>
      </c>
      <c r="I17" s="406">
        <f>H17/G17</f>
        <v>1</v>
      </c>
      <c r="J17" s="187">
        <f>J29</f>
        <v>30357000</v>
      </c>
      <c r="K17" s="192">
        <v>30033000</v>
      </c>
      <c r="L17" s="192">
        <v>28540000</v>
      </c>
      <c r="M17" s="192">
        <v>23119534</v>
      </c>
      <c r="N17" s="192">
        <v>19422000</v>
      </c>
      <c r="O17" s="192">
        <v>13916000</v>
      </c>
      <c r="P17" s="458"/>
      <c r="Q17" s="458"/>
      <c r="R17" s="89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>
        <v>750000</v>
      </c>
      <c r="G18" s="192">
        <f aca="true" t="shared" si="4" ref="G18:G24">J18</f>
        <v>1137000</v>
      </c>
      <c r="H18" s="274">
        <v>1137000</v>
      </c>
      <c r="I18" s="406">
        <f aca="true" t="shared" si="5" ref="I18:I24">H18/G18</f>
        <v>1</v>
      </c>
      <c r="J18" s="187">
        <f>J30</f>
        <v>1137000</v>
      </c>
      <c r="K18" s="192">
        <v>764353</v>
      </c>
      <c r="L18" s="192">
        <v>411695.5</v>
      </c>
      <c r="M18" s="192">
        <v>511766.5</v>
      </c>
      <c r="N18" s="192">
        <v>695000</v>
      </c>
      <c r="O18" s="192">
        <v>834000</v>
      </c>
      <c r="P18" s="458"/>
      <c r="Q18" s="458"/>
      <c r="R18" s="89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6000000</v>
      </c>
      <c r="G19" s="192">
        <f t="shared" si="4"/>
        <v>3176550</v>
      </c>
      <c r="H19" s="274">
        <v>3159499.5</v>
      </c>
      <c r="I19" s="406">
        <f t="shared" si="5"/>
        <v>0.9946323841903952</v>
      </c>
      <c r="J19" s="187">
        <f>J31</f>
        <v>3176550</v>
      </c>
      <c r="K19" s="192">
        <v>5872710.96</v>
      </c>
      <c r="L19" s="192">
        <v>3992000</v>
      </c>
      <c r="M19" s="192">
        <v>8474049.9</v>
      </c>
      <c r="N19" s="192">
        <v>10687000</v>
      </c>
      <c r="O19" s="192">
        <v>6967000</v>
      </c>
      <c r="P19" s="458"/>
      <c r="Q19" s="458"/>
      <c r="R19" s="89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>
        <v>3622000</v>
      </c>
      <c r="G20" s="192">
        <f t="shared" si="4"/>
        <v>3622000</v>
      </c>
      <c r="H20" s="274">
        <v>3622000</v>
      </c>
      <c r="I20" s="406">
        <f t="shared" si="5"/>
        <v>1</v>
      </c>
      <c r="J20" s="187">
        <f>J32</f>
        <v>3622000</v>
      </c>
      <c r="K20" s="192">
        <v>6353000</v>
      </c>
      <c r="L20" s="192">
        <v>4890000</v>
      </c>
      <c r="M20" s="192">
        <v>5942000</v>
      </c>
      <c r="N20" s="192">
        <v>3829000</v>
      </c>
      <c r="O20" s="192">
        <v>5620000</v>
      </c>
      <c r="P20" s="458"/>
      <c r="Q20" s="458"/>
      <c r="R20" s="89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138000</v>
      </c>
      <c r="H21" s="274">
        <v>138000</v>
      </c>
      <c r="I21" s="406">
        <f t="shared" si="5"/>
        <v>1</v>
      </c>
      <c r="J21" s="187">
        <f>H21</f>
        <v>138000</v>
      </c>
      <c r="K21" s="192">
        <v>359773.3</v>
      </c>
      <c r="L21" s="192"/>
      <c r="M21" s="192"/>
      <c r="N21" s="192"/>
      <c r="O21" s="192"/>
      <c r="P21" s="458"/>
      <c r="Q21" s="458"/>
      <c r="R21" s="89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5000000</v>
      </c>
      <c r="G22" s="192">
        <f t="shared" si="4"/>
        <v>3546393.28</v>
      </c>
      <c r="H22" s="274">
        <v>3546393.28</v>
      </c>
      <c r="I22" s="406">
        <f t="shared" si="5"/>
        <v>1</v>
      </c>
      <c r="J22" s="187">
        <f>H22</f>
        <v>3546393.28</v>
      </c>
      <c r="K22" s="192">
        <v>5855822.58</v>
      </c>
      <c r="L22" s="192">
        <v>4347014.28</v>
      </c>
      <c r="M22" s="192">
        <v>8799668.21</v>
      </c>
      <c r="N22" s="192">
        <v>9092000</v>
      </c>
      <c r="O22" s="192">
        <v>4499000</v>
      </c>
      <c r="P22" s="458"/>
      <c r="Q22" s="458"/>
      <c r="R22" s="89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576">
        <f>F37</f>
        <v>152477000</v>
      </c>
      <c r="G23" s="192">
        <f t="shared" si="4"/>
        <v>152010800</v>
      </c>
      <c r="H23" s="274">
        <v>153303300.8</v>
      </c>
      <c r="I23" s="547">
        <f t="shared" si="5"/>
        <v>1.0085026905982997</v>
      </c>
      <c r="J23" s="187">
        <f>J37</f>
        <v>152010800</v>
      </c>
      <c r="K23" s="192">
        <v>149172514</v>
      </c>
      <c r="L23" s="192">
        <v>64548000</v>
      </c>
      <c r="M23" s="192">
        <v>63794000</v>
      </c>
      <c r="N23" s="192">
        <v>56587000</v>
      </c>
      <c r="O23" s="192">
        <v>53222000</v>
      </c>
      <c r="P23" s="458"/>
      <c r="Q23" s="458"/>
      <c r="R23" s="89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52000000</v>
      </c>
      <c r="G24" s="192">
        <f t="shared" si="4"/>
        <v>71688486</v>
      </c>
      <c r="H24" s="274">
        <v>70390837.28</v>
      </c>
      <c r="I24" s="547">
        <f t="shared" si="5"/>
        <v>0.981898784694658</v>
      </c>
      <c r="J24" s="187">
        <f>J38</f>
        <v>71688486</v>
      </c>
      <c r="K24" s="192">
        <v>40162781.57</v>
      </c>
      <c r="L24" s="192">
        <v>45294585.33</v>
      </c>
      <c r="M24" s="192">
        <v>44798996.65</v>
      </c>
      <c r="N24" s="192">
        <v>38913000</v>
      </c>
      <c r="O24" s="192">
        <v>31809000</v>
      </c>
      <c r="P24" s="458"/>
      <c r="Q24" s="458"/>
      <c r="R24" s="89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40000000</v>
      </c>
      <c r="G25" s="192"/>
      <c r="H25" s="274">
        <v>37760376.06</v>
      </c>
      <c r="I25" s="547">
        <f>H25/F25</f>
        <v>0.9440094015</v>
      </c>
      <c r="J25" s="187">
        <f>J39</f>
        <v>37760376.06</v>
      </c>
      <c r="K25" s="192">
        <v>27275237.48</v>
      </c>
      <c r="L25" s="192">
        <v>20771273.03</v>
      </c>
      <c r="M25" s="192">
        <v>11415876.19</v>
      </c>
      <c r="N25" s="192">
        <v>10480000</v>
      </c>
      <c r="O25" s="192">
        <v>6762000</v>
      </c>
      <c r="P25" s="458"/>
      <c r="Q25" s="458"/>
      <c r="R25" s="89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18000000</v>
      </c>
      <c r="G26" s="192"/>
      <c r="H26" s="274">
        <v>17072903.71</v>
      </c>
      <c r="I26" s="406">
        <f>H26/F26</f>
        <v>0.9484946505555556</v>
      </c>
      <c r="J26" s="187">
        <f>H26/12*12</f>
        <v>17072903.71</v>
      </c>
      <c r="K26" s="192">
        <v>16738793.25</v>
      </c>
      <c r="L26" s="192">
        <v>18820474.26</v>
      </c>
      <c r="M26" s="192">
        <v>5488530.64</v>
      </c>
      <c r="N26" s="192">
        <v>16223000</v>
      </c>
      <c r="O26" s="192">
        <v>16306000</v>
      </c>
      <c r="P26" s="458"/>
      <c r="Q26" s="458"/>
      <c r="R26" s="89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577583000</v>
      </c>
      <c r="G27" s="221">
        <f>SUM(G28:G42)</f>
        <v>485429993</v>
      </c>
      <c r="H27" s="342">
        <f>SUM(H28:H42)</f>
        <v>606386010.39</v>
      </c>
      <c r="I27" s="403">
        <f>H27/F27</f>
        <v>1.0498681754656907</v>
      </c>
      <c r="J27" s="322">
        <f aca="true" t="shared" si="6" ref="J27:O27">SUM(J28:J42)</f>
        <v>606267836.61</v>
      </c>
      <c r="K27" s="221">
        <f t="shared" si="6"/>
        <v>529162048.34000003</v>
      </c>
      <c r="L27" s="221">
        <f t="shared" si="6"/>
        <v>426920683.40000004</v>
      </c>
      <c r="M27" s="221">
        <f t="shared" si="6"/>
        <v>365090849.97</v>
      </c>
      <c r="N27" s="221">
        <f t="shared" si="6"/>
        <v>348018000</v>
      </c>
      <c r="O27" s="221">
        <f t="shared" si="6"/>
        <v>291974000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f>F53</f>
        <v>165042000</v>
      </c>
      <c r="G28" s="337">
        <f>151879000+3585500+16449660+P28</f>
        <v>174243157</v>
      </c>
      <c r="H28" s="345">
        <v>174413529.2</v>
      </c>
      <c r="I28" s="407">
        <f>H28/G28</f>
        <v>1.0009777841662957</v>
      </c>
      <c r="J28" s="354">
        <f>G28</f>
        <v>174243157</v>
      </c>
      <c r="K28" s="337">
        <v>151353972</v>
      </c>
      <c r="L28" s="337">
        <v>179365719</v>
      </c>
      <c r="M28" s="337">
        <v>124935660</v>
      </c>
      <c r="N28" s="337">
        <v>101859000</v>
      </c>
      <c r="O28" s="337">
        <v>91673000</v>
      </c>
      <c r="P28" s="467">
        <v>2328997</v>
      </c>
      <c r="Q28" s="467">
        <v>0</v>
      </c>
      <c r="R28" s="89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31000000</v>
      </c>
      <c r="G29" s="546">
        <v>30357000</v>
      </c>
      <c r="H29" s="346">
        <v>30357000</v>
      </c>
      <c r="I29" s="407">
        <f aca="true" t="shared" si="7" ref="I29:I38">H29/G29</f>
        <v>1</v>
      </c>
      <c r="J29" s="354">
        <f aca="true" t="shared" si="8" ref="J29:J38">G29</f>
        <v>30357000</v>
      </c>
      <c r="K29" s="338">
        <v>30033000</v>
      </c>
      <c r="L29" s="338">
        <v>28540000</v>
      </c>
      <c r="M29" s="338">
        <v>23119534</v>
      </c>
      <c r="N29" s="338">
        <v>19422000</v>
      </c>
      <c r="O29" s="338">
        <v>13916000</v>
      </c>
      <c r="P29" s="467"/>
      <c r="Q29" s="467"/>
      <c r="R29" s="89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>
        <v>750000</v>
      </c>
      <c r="G30" s="338">
        <f>(813+23+167+134)*1000</f>
        <v>1137000</v>
      </c>
      <c r="H30" s="346">
        <v>1137000</v>
      </c>
      <c r="I30" s="407">
        <f t="shared" si="7"/>
        <v>1</v>
      </c>
      <c r="J30" s="354">
        <f t="shared" si="8"/>
        <v>1137000</v>
      </c>
      <c r="K30" s="338">
        <v>764353</v>
      </c>
      <c r="L30" s="338">
        <v>411695.5</v>
      </c>
      <c r="M30" s="338">
        <v>511766.5</v>
      </c>
      <c r="N30" s="338">
        <v>695000</v>
      </c>
      <c r="O30" s="338">
        <v>849000</v>
      </c>
      <c r="P30" s="467"/>
      <c r="Q30" s="467"/>
      <c r="R30" s="89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6000000</v>
      </c>
      <c r="G31" s="338">
        <v>3176550</v>
      </c>
      <c r="H31" s="346">
        <v>3159499.5</v>
      </c>
      <c r="I31" s="407">
        <f t="shared" si="7"/>
        <v>0.9946323841903952</v>
      </c>
      <c r="J31" s="354">
        <f t="shared" si="8"/>
        <v>3176550</v>
      </c>
      <c r="K31" s="338">
        <v>5872710.96</v>
      </c>
      <c r="L31" s="338">
        <v>3992000</v>
      </c>
      <c r="M31" s="338">
        <v>8474050</v>
      </c>
      <c r="N31" s="338">
        <v>10687000</v>
      </c>
      <c r="O31" s="338">
        <v>6967000</v>
      </c>
      <c r="P31" s="467"/>
      <c r="Q31" s="467"/>
      <c r="R31" s="89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>
        <v>3622000</v>
      </c>
      <c r="G32" s="338">
        <f>(244+220+1882+1276)*1000</f>
        <v>3622000</v>
      </c>
      <c r="H32" s="346">
        <v>3622000</v>
      </c>
      <c r="I32" s="407">
        <f t="shared" si="7"/>
        <v>1</v>
      </c>
      <c r="J32" s="354">
        <f t="shared" si="8"/>
        <v>3622000</v>
      </c>
      <c r="K32" s="338">
        <v>6353000</v>
      </c>
      <c r="L32" s="338">
        <v>4890000</v>
      </c>
      <c r="M32" s="338">
        <v>5942000</v>
      </c>
      <c r="N32" s="338">
        <v>3829000</v>
      </c>
      <c r="O32" s="338">
        <v>5620000</v>
      </c>
      <c r="P32" s="467"/>
      <c r="Q32" s="467"/>
      <c r="R32" s="89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54">
        <f t="shared" si="8"/>
        <v>0</v>
      </c>
      <c r="K33" s="338"/>
      <c r="L33" s="338"/>
      <c r="M33" s="338"/>
      <c r="N33" s="338"/>
      <c r="O33" s="338"/>
      <c r="P33" s="467"/>
      <c r="Q33" s="467"/>
      <c r="R33" s="89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338">
        <f>118000+50000</f>
        <v>168000</v>
      </c>
      <c r="H34" s="346">
        <v>138000</v>
      </c>
      <c r="I34" s="407">
        <f t="shared" si="7"/>
        <v>0.8214285714285714</v>
      </c>
      <c r="J34" s="354">
        <f t="shared" si="8"/>
        <v>168000</v>
      </c>
      <c r="K34" s="338">
        <v>359773.3</v>
      </c>
      <c r="L34" s="338"/>
      <c r="M34" s="338"/>
      <c r="N34" s="338"/>
      <c r="O34" s="338"/>
      <c r="P34" s="467"/>
      <c r="Q34" s="467"/>
      <c r="R34" s="89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5000000</v>
      </c>
      <c r="G35" s="338"/>
      <c r="H35" s="346">
        <v>3569578.13</v>
      </c>
      <c r="I35" s="407">
        <f>H35/F35</f>
        <v>0.713915626</v>
      </c>
      <c r="J35" s="354">
        <f>H35</f>
        <v>3569578.13</v>
      </c>
      <c r="K35" s="338">
        <v>5804800.8</v>
      </c>
      <c r="L35" s="338">
        <v>4632837.76</v>
      </c>
      <c r="M35" s="338">
        <v>8952250.58</v>
      </c>
      <c r="N35" s="338">
        <v>9147000</v>
      </c>
      <c r="O35" s="338">
        <v>4523000</v>
      </c>
      <c r="P35" s="467"/>
      <c r="Q35" s="467"/>
      <c r="R35" s="89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49027000</v>
      </c>
      <c r="G36" s="338">
        <f>F36</f>
        <v>49027000</v>
      </c>
      <c r="H36" s="346">
        <v>49027000</v>
      </c>
      <c r="I36" s="407">
        <f t="shared" si="7"/>
        <v>1</v>
      </c>
      <c r="J36" s="354">
        <f t="shared" si="8"/>
        <v>49027000</v>
      </c>
      <c r="K36" s="338">
        <v>43916000</v>
      </c>
      <c r="L36" s="338">
        <v>43444000</v>
      </c>
      <c r="M36" s="338">
        <v>46487000</v>
      </c>
      <c r="N36" s="338">
        <v>48232000</v>
      </c>
      <c r="O36" s="338">
        <v>36940000</v>
      </c>
      <c r="P36" s="467"/>
      <c r="Q36" s="467"/>
      <c r="R36" s="89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577">
        <v>152477000</v>
      </c>
      <c r="G37" s="338">
        <v>152010800</v>
      </c>
      <c r="H37" s="346">
        <v>153303300.8</v>
      </c>
      <c r="I37" s="407">
        <f t="shared" si="7"/>
        <v>1.0085026905982997</v>
      </c>
      <c r="J37" s="354">
        <f t="shared" si="8"/>
        <v>152010800</v>
      </c>
      <c r="K37" s="338">
        <v>149172514</v>
      </c>
      <c r="L37" s="338">
        <v>64548000</v>
      </c>
      <c r="M37" s="338">
        <v>63794000</v>
      </c>
      <c r="N37" s="338">
        <v>56587000</v>
      </c>
      <c r="O37" s="338">
        <v>53222000</v>
      </c>
      <c r="P37" s="574"/>
      <c r="Q37" s="467"/>
      <c r="R37" s="89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52000000</v>
      </c>
      <c r="G38" s="546">
        <f>(6112+18602+1028+244+1574+558+1679+26501.5+1109+1999.5+7618+2478+752)*1000+P38</f>
        <v>71688486</v>
      </c>
      <c r="H38" s="346">
        <v>70390837.28</v>
      </c>
      <c r="I38" s="407">
        <f t="shared" si="7"/>
        <v>0.981898784694658</v>
      </c>
      <c r="J38" s="354">
        <f t="shared" si="8"/>
        <v>71688486</v>
      </c>
      <c r="K38" s="338">
        <v>40162781.57</v>
      </c>
      <c r="L38" s="338">
        <v>45294585.33</v>
      </c>
      <c r="M38" s="338">
        <v>44798996.65</v>
      </c>
      <c r="N38" s="338">
        <v>38913000</v>
      </c>
      <c r="O38" s="338">
        <v>31809000</v>
      </c>
      <c r="P38" s="574">
        <v>1433486</v>
      </c>
      <c r="Q38" s="467">
        <f>P38-1292500.77</f>
        <v>140985.22999999998</v>
      </c>
      <c r="R38" s="467">
        <v>2446738.79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40000000</v>
      </c>
      <c r="G39" s="338"/>
      <c r="H39" s="346">
        <v>37760376.06</v>
      </c>
      <c r="I39" s="407">
        <f>H39/F39</f>
        <v>0.9440094015</v>
      </c>
      <c r="J39" s="355">
        <f>H39</f>
        <v>37760376.06</v>
      </c>
      <c r="K39" s="338">
        <v>27438307.01</v>
      </c>
      <c r="L39" s="338">
        <v>20771273.03</v>
      </c>
      <c r="M39" s="338">
        <v>11440990.94</v>
      </c>
      <c r="N39" s="338">
        <v>10523000</v>
      </c>
      <c r="O39" s="338">
        <v>6811000</v>
      </c>
      <c r="P39" s="467"/>
      <c r="Q39" s="467"/>
      <c r="R39" s="89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49336000</v>
      </c>
      <c r="G40" s="338"/>
      <c r="H40" s="346">
        <v>60641342.25</v>
      </c>
      <c r="I40" s="407">
        <f>H40/F40</f>
        <v>1.2291499564212744</v>
      </c>
      <c r="J40" s="353">
        <f>(H40-H46)/12*12+H46</f>
        <v>60641342.25</v>
      </c>
      <c r="K40" s="338">
        <v>46289706.58</v>
      </c>
      <c r="L40" s="338">
        <v>9449151.3</v>
      </c>
      <c r="M40" s="338">
        <v>8546422.57</v>
      </c>
      <c r="N40" s="338">
        <v>31417000</v>
      </c>
      <c r="O40" s="338">
        <v>22595000</v>
      </c>
      <c r="P40" s="467"/>
      <c r="Q40" s="467"/>
      <c r="R40" s="89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2329000</v>
      </c>
      <c r="G41" s="338"/>
      <c r="H41" s="346">
        <v>875000</v>
      </c>
      <c r="I41" s="407">
        <f>H41/J41</f>
        <v>1</v>
      </c>
      <c r="J41" s="355">
        <f>H41</f>
        <v>875000</v>
      </c>
      <c r="K41" s="338">
        <v>342000</v>
      </c>
      <c r="L41" s="338">
        <v>391000</v>
      </c>
      <c r="M41" s="338"/>
      <c r="N41" s="338"/>
      <c r="O41" s="338"/>
      <c r="P41" s="467"/>
      <c r="Q41" s="467"/>
      <c r="R41" s="89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21000000</v>
      </c>
      <c r="G42" s="338"/>
      <c r="H42" s="346">
        <v>17991547.17</v>
      </c>
      <c r="I42" s="407">
        <f>H42/F42</f>
        <v>0.8567403414285715</v>
      </c>
      <c r="J42" s="355">
        <f>H42/12*12</f>
        <v>17991547.17</v>
      </c>
      <c r="K42" s="338">
        <v>21299129.12</v>
      </c>
      <c r="L42" s="338">
        <v>21190421.48</v>
      </c>
      <c r="M42" s="338">
        <v>18088178.73</v>
      </c>
      <c r="N42" s="338">
        <v>16707000</v>
      </c>
      <c r="O42" s="338">
        <v>17049000</v>
      </c>
      <c r="P42" s="467"/>
      <c r="Q42" s="467"/>
      <c r="R42" s="89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0</v>
      </c>
      <c r="G43" s="227"/>
      <c r="H43" s="347">
        <v>40964129.93</v>
      </c>
      <c r="I43" s="408"/>
      <c r="J43" s="324">
        <f>J28+J33+J36+J40+J41+J42-J5-J26</f>
        <v>3020988.9999999776</v>
      </c>
      <c r="K43" s="227"/>
      <c r="L43" s="227"/>
      <c r="M43" s="227">
        <f>M28+M33+M36+M40+M41+M42-M5-M26</f>
        <v>14068832.329999998</v>
      </c>
      <c r="N43" s="227">
        <f>N28+N33+N36+N40+N41+N42-N5-N26</f>
        <v>1274000</v>
      </c>
      <c r="O43" s="227">
        <f>O28+O33+O36+O40+O41+O42-O5-O26</f>
        <v>898000</v>
      </c>
      <c r="P43" s="467"/>
      <c r="Q43" s="467"/>
      <c r="R43" s="89"/>
      <c r="S43" s="89"/>
    </row>
    <row r="44" spans="1:17" ht="12.75">
      <c r="A44" s="239" t="s">
        <v>165</v>
      </c>
      <c r="B44" s="171"/>
      <c r="C44" s="171"/>
      <c r="D44" s="171"/>
      <c r="E44" s="245">
        <v>40</v>
      </c>
      <c r="F44" s="330">
        <f>F27-F4</f>
        <v>0</v>
      </c>
      <c r="G44" s="221"/>
      <c r="H44" s="342">
        <f>H27-H4</f>
        <v>3214546.049999833</v>
      </c>
      <c r="I44" s="409" t="e">
        <f>H44/F44</f>
        <v>#DIV/0!</v>
      </c>
      <c r="J44" s="322">
        <f>J27-J4</f>
        <v>3074173.850000024</v>
      </c>
      <c r="K44" s="221">
        <f>K27-K4</f>
        <v>6010728.0200001</v>
      </c>
      <c r="L44" s="221">
        <f>L27-L4</f>
        <v>3312617.050000131</v>
      </c>
      <c r="M44" s="221">
        <f>M27-M4</f>
        <v>14246529.550000072</v>
      </c>
      <c r="N44" s="221">
        <f>N27-N4</f>
        <v>1372000</v>
      </c>
      <c r="O44" s="221">
        <v>986</v>
      </c>
      <c r="P44" s="467"/>
      <c r="Q44" s="467"/>
    </row>
    <row r="45" spans="1:17" s="89" customFormat="1" ht="11.25">
      <c r="A45" s="89" t="s">
        <v>175</v>
      </c>
      <c r="B45" s="90"/>
      <c r="C45" s="90"/>
      <c r="D45" s="90"/>
      <c r="E45" s="90"/>
      <c r="F45" s="90"/>
      <c r="G45" s="90" t="s">
        <v>203</v>
      </c>
      <c r="H45" s="91">
        <v>1214878.03</v>
      </c>
      <c r="I45" s="410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57203000</v>
      </c>
      <c r="G46" s="91"/>
      <c r="H46" s="91"/>
      <c r="I46" s="411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16985000</v>
      </c>
      <c r="G47" s="91"/>
      <c r="H47" s="91"/>
      <c r="I47" s="411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40218000</v>
      </c>
      <c r="G48" s="91"/>
      <c r="H48" s="91"/>
      <c r="I48" s="411"/>
      <c r="J48" s="91"/>
      <c r="K48" s="91"/>
      <c r="P48" s="458"/>
      <c r="Q48" s="458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148057000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16985000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165042000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39" right="0.31496062992125984" top="0.36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/>
  <dimension ref="A1:S55"/>
  <sheetViews>
    <sheetView workbookViewId="0" topLeftCell="A1">
      <selection activeCell="S1" sqref="S1:S1638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125" style="0" customWidth="1"/>
    <col min="5" max="5" width="3.75390625" style="0" customWidth="1"/>
    <col min="6" max="6" width="10.875" style="216" bestFit="1" customWidth="1"/>
    <col min="7" max="7" width="9.625" style="216" bestFit="1" customWidth="1"/>
    <col min="8" max="8" width="11.25390625" style="216" customWidth="1"/>
    <col min="9" max="9" width="5.875" style="413" bestFit="1" customWidth="1"/>
    <col min="10" max="10" width="10.875" style="216" hidden="1" customWidth="1"/>
    <col min="11" max="12" width="9.625" style="89" bestFit="1" customWidth="1"/>
    <col min="13" max="15" width="9.25390625" style="89" bestFit="1" customWidth="1"/>
    <col min="16" max="16" width="7.125" style="460" customWidth="1"/>
    <col min="17" max="17" width="4.625" style="460" customWidth="1"/>
    <col min="18" max="18" width="7.375" style="0" customWidth="1"/>
    <col min="19" max="19" width="9.003906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84" t="s">
        <v>197</v>
      </c>
      <c r="K1" s="218" t="s">
        <v>8</v>
      </c>
      <c r="L1" s="382" t="s">
        <v>8</v>
      </c>
      <c r="M1" s="218" t="s">
        <v>8</v>
      </c>
      <c r="N1" s="382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49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85">
        <v>2006</v>
      </c>
      <c r="K2" s="219">
        <v>2005</v>
      </c>
      <c r="L2" s="336">
        <v>2004</v>
      </c>
      <c r="M2" s="219">
        <v>2003</v>
      </c>
      <c r="N2" s="336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414">
        <v>3</v>
      </c>
      <c r="K3" s="220">
        <v>4</v>
      </c>
      <c r="L3" s="341">
        <v>4</v>
      </c>
      <c r="M3" s="220">
        <v>5</v>
      </c>
      <c r="N3" s="341">
        <v>6</v>
      </c>
      <c r="O3" s="220">
        <v>7</v>
      </c>
      <c r="P3" s="460"/>
      <c r="Q3" s="460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154173000</v>
      </c>
      <c r="G4" s="221">
        <f>SUM(G6:G26)</f>
        <v>48880701.77</v>
      </c>
      <c r="H4" s="342">
        <f>SUM(H6:H26)</f>
        <v>163600517.61999997</v>
      </c>
      <c r="I4" s="403">
        <f>H4/F4</f>
        <v>1.061148953578123</v>
      </c>
      <c r="J4" s="415">
        <f aca="true" t="shared" si="0" ref="J4:O4">SUM(J6:J26)</f>
        <v>163669599.64</v>
      </c>
      <c r="K4" s="221">
        <f t="shared" si="0"/>
        <v>134560634.21</v>
      </c>
      <c r="L4" s="380">
        <f t="shared" si="0"/>
        <v>117437379.77000001</v>
      </c>
      <c r="M4" s="221">
        <f t="shared" si="0"/>
        <v>87965602.85</v>
      </c>
      <c r="N4" s="380">
        <f t="shared" si="0"/>
        <v>84826000</v>
      </c>
      <c r="O4" s="221">
        <f t="shared" si="0"/>
        <v>62902000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107837000</v>
      </c>
      <c r="G5" s="192"/>
      <c r="H5" s="274">
        <f>SUM(H6:H16)</f>
        <v>104967869.08999999</v>
      </c>
      <c r="I5" s="404">
        <f>H5/F5</f>
        <v>0.9733938174281553</v>
      </c>
      <c r="J5" s="387">
        <f aca="true" t="shared" si="1" ref="J5:O5">SUM(J6:J16)</f>
        <v>104967869.08999999</v>
      </c>
      <c r="K5" s="192">
        <f t="shared" si="1"/>
        <v>90100393.49000002</v>
      </c>
      <c r="L5" s="214">
        <f t="shared" si="1"/>
        <v>87286444.46000001</v>
      </c>
      <c r="M5" s="192">
        <f t="shared" si="1"/>
        <v>63491410.41</v>
      </c>
      <c r="N5" s="214">
        <f t="shared" si="1"/>
        <v>60947000</v>
      </c>
      <c r="O5" s="192">
        <f t="shared" si="1"/>
        <v>42711000</v>
      </c>
      <c r="P5" s="461"/>
      <c r="Q5" s="461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40617000</v>
      </c>
      <c r="G6" s="174"/>
      <c r="H6" s="343">
        <v>41450955</v>
      </c>
      <c r="I6" s="405">
        <f>H6/F6</f>
        <v>1.0205321663342934</v>
      </c>
      <c r="J6" s="173">
        <f>H6/12*12</f>
        <v>41450955</v>
      </c>
      <c r="K6" s="174">
        <v>39185843</v>
      </c>
      <c r="L6" s="173">
        <v>31536054</v>
      </c>
      <c r="M6" s="174">
        <v>26885831</v>
      </c>
      <c r="N6" s="173">
        <v>21410000</v>
      </c>
      <c r="O6" s="174">
        <v>16998000</v>
      </c>
      <c r="P6" s="462"/>
      <c r="Q6" s="462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1500000</v>
      </c>
      <c r="G7" s="174"/>
      <c r="H7" s="343">
        <v>1661205</v>
      </c>
      <c r="I7" s="405">
        <f aca="true" t="shared" si="2" ref="I7:I16">H7/F7</f>
        <v>1.10747</v>
      </c>
      <c r="J7" s="173">
        <f aca="true" t="shared" si="3" ref="J7:J15">H7/12*12</f>
        <v>1661205</v>
      </c>
      <c r="K7" s="174">
        <v>1235109</v>
      </c>
      <c r="L7" s="173">
        <v>1184820</v>
      </c>
      <c r="M7" s="174">
        <v>1410879</v>
      </c>
      <c r="N7" s="173">
        <v>1279000</v>
      </c>
      <c r="O7" s="174">
        <v>998000</v>
      </c>
      <c r="P7" s="462"/>
      <c r="Q7" s="462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14742000</v>
      </c>
      <c r="G8" s="174"/>
      <c r="H8" s="343">
        <v>14722340</v>
      </c>
      <c r="I8" s="405">
        <f t="shared" si="2"/>
        <v>0.998666395333062</v>
      </c>
      <c r="J8" s="173">
        <f t="shared" si="3"/>
        <v>14722340</v>
      </c>
      <c r="K8" s="174">
        <v>13853833</v>
      </c>
      <c r="L8" s="173">
        <v>11069846</v>
      </c>
      <c r="M8" s="174">
        <v>9450707</v>
      </c>
      <c r="N8" s="173">
        <v>7526000</v>
      </c>
      <c r="O8" s="174">
        <v>6053000</v>
      </c>
      <c r="P8" s="462"/>
      <c r="Q8" s="462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3800000</v>
      </c>
      <c r="G9" s="174"/>
      <c r="H9" s="343">
        <v>3197041.5</v>
      </c>
      <c r="I9" s="405">
        <f t="shared" si="2"/>
        <v>0.8413267105263158</v>
      </c>
      <c r="J9" s="173">
        <f t="shared" si="3"/>
        <v>3197041.5</v>
      </c>
      <c r="K9" s="174">
        <v>2797645.1</v>
      </c>
      <c r="L9" s="173">
        <v>3660132.58</v>
      </c>
      <c r="M9" s="174">
        <v>2989570.4</v>
      </c>
      <c r="N9" s="173">
        <v>3894000</v>
      </c>
      <c r="O9" s="174">
        <v>3737000</v>
      </c>
      <c r="P9" s="462"/>
      <c r="Q9" s="462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1200000</v>
      </c>
      <c r="G10" s="174"/>
      <c r="H10" s="343">
        <v>2243653.97</v>
      </c>
      <c r="I10" s="405">
        <f t="shared" si="2"/>
        <v>1.8697116416666668</v>
      </c>
      <c r="J10" s="173">
        <f t="shared" si="3"/>
        <v>2243653.97</v>
      </c>
      <c r="K10" s="174">
        <v>990944.1</v>
      </c>
      <c r="L10" s="173">
        <v>1717137.6</v>
      </c>
      <c r="M10" s="174">
        <v>759346.5</v>
      </c>
      <c r="N10" s="173">
        <v>1009000</v>
      </c>
      <c r="O10" s="174">
        <v>384000</v>
      </c>
      <c r="P10" s="462"/>
      <c r="Q10" s="462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10562000</v>
      </c>
      <c r="G11" s="174"/>
      <c r="H11" s="343">
        <v>7528886.44</v>
      </c>
      <c r="I11" s="405">
        <f t="shared" si="2"/>
        <v>0.7128277258095058</v>
      </c>
      <c r="J11" s="173">
        <f t="shared" si="3"/>
        <v>7528886.44</v>
      </c>
      <c r="K11" s="174">
        <v>10078032.57</v>
      </c>
      <c r="L11" s="173">
        <v>17189063.38</v>
      </c>
      <c r="M11" s="174">
        <v>13658907.31</v>
      </c>
      <c r="N11" s="173">
        <v>12858000</v>
      </c>
      <c r="O11" s="174">
        <v>6845000</v>
      </c>
      <c r="P11" s="462"/>
      <c r="Q11" s="462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7900000</v>
      </c>
      <c r="G12" s="174"/>
      <c r="H12" s="343">
        <v>4252918.66</v>
      </c>
      <c r="I12" s="405">
        <f t="shared" si="2"/>
        <v>0.5383441341772152</v>
      </c>
      <c r="J12" s="563">
        <f>H12/12*12</f>
        <v>4252918.66</v>
      </c>
      <c r="K12" s="174">
        <v>7059443.03</v>
      </c>
      <c r="L12" s="173">
        <v>5563721.93</v>
      </c>
      <c r="M12" s="174">
        <v>3795420.65</v>
      </c>
      <c r="N12" s="173">
        <v>6449000</v>
      </c>
      <c r="O12" s="174">
        <v>2992000</v>
      </c>
      <c r="P12" s="462"/>
      <c r="Q12" s="462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2500000</v>
      </c>
      <c r="G13" s="174"/>
      <c r="H13" s="343">
        <v>1204434.1</v>
      </c>
      <c r="I13" s="405">
        <f t="shared" si="2"/>
        <v>0.48177364000000006</v>
      </c>
      <c r="J13" s="173">
        <f t="shared" si="3"/>
        <v>1204434.1</v>
      </c>
      <c r="K13" s="174">
        <v>1408549.51</v>
      </c>
      <c r="L13" s="173">
        <v>1301201.77</v>
      </c>
      <c r="M13" s="174">
        <v>1261928.61</v>
      </c>
      <c r="N13" s="173">
        <v>1067000</v>
      </c>
      <c r="O13" s="174">
        <v>957000</v>
      </c>
      <c r="P13" s="462"/>
      <c r="Q13" s="462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f>F46</f>
        <v>11960000</v>
      </c>
      <c r="G14" s="174"/>
      <c r="H14" s="343">
        <v>12466545.11</v>
      </c>
      <c r="I14" s="405">
        <f t="shared" si="2"/>
        <v>1.0423532700668896</v>
      </c>
      <c r="J14" s="173">
        <f t="shared" si="3"/>
        <v>12466545.11</v>
      </c>
      <c r="K14" s="174">
        <v>12596845</v>
      </c>
      <c r="L14" s="173">
        <v>11477218.16</v>
      </c>
      <c r="M14" s="174">
        <v>3157672.26</v>
      </c>
      <c r="N14" s="173">
        <v>3638000</v>
      </c>
      <c r="O14" s="174">
        <v>2511000</v>
      </c>
      <c r="P14" s="462"/>
      <c r="Q14" s="462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3288000</v>
      </c>
      <c r="G15" s="174"/>
      <c r="H15" s="343">
        <v>3415000</v>
      </c>
      <c r="I15" s="405">
        <f t="shared" si="2"/>
        <v>1.038625304136253</v>
      </c>
      <c r="J15" s="173">
        <f t="shared" si="3"/>
        <v>3415000</v>
      </c>
      <c r="K15" s="174">
        <v>2478400</v>
      </c>
      <c r="L15" s="173">
        <v>827051</v>
      </c>
      <c r="M15" s="174">
        <v>424950</v>
      </c>
      <c r="N15" s="173">
        <v>580000</v>
      </c>
      <c r="O15" s="174">
        <v>867000</v>
      </c>
      <c r="P15" s="462"/>
      <c r="Q15" s="462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32">
        <v>9768000</v>
      </c>
      <c r="G16" s="174"/>
      <c r="H16" s="344">
        <v>12824889.31</v>
      </c>
      <c r="I16" s="405">
        <f t="shared" si="2"/>
        <v>1.312949356060606</v>
      </c>
      <c r="J16" s="563">
        <f>H16/12*12</f>
        <v>12824889.31</v>
      </c>
      <c r="K16" s="174">
        <v>-1584250.82</v>
      </c>
      <c r="L16" s="173">
        <v>1760198.04</v>
      </c>
      <c r="M16" s="174">
        <v>-303802.32</v>
      </c>
      <c r="N16" s="173">
        <v>1237000</v>
      </c>
      <c r="O16" s="174">
        <v>369000</v>
      </c>
      <c r="P16" s="462"/>
      <c r="Q16" s="462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4056000</v>
      </c>
      <c r="G17" s="192">
        <f>J17</f>
        <v>4035000</v>
      </c>
      <c r="H17" s="274">
        <v>4035000</v>
      </c>
      <c r="I17" s="406">
        <f>H17/G17</f>
        <v>1</v>
      </c>
      <c r="J17" s="387">
        <f>J29</f>
        <v>4035000</v>
      </c>
      <c r="K17" s="192">
        <v>3854000</v>
      </c>
      <c r="L17" s="214">
        <v>3491250</v>
      </c>
      <c r="M17" s="192">
        <v>2906250</v>
      </c>
      <c r="N17" s="214">
        <v>2556000</v>
      </c>
      <c r="O17" s="192">
        <v>2340000</v>
      </c>
      <c r="P17" s="461"/>
      <c r="Q17" s="461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/>
      <c r="G18" s="192">
        <f aca="true" t="shared" si="4" ref="G18:G24">J18</f>
        <v>513000</v>
      </c>
      <c r="H18" s="274">
        <v>513000</v>
      </c>
      <c r="I18" s="406">
        <f aca="true" t="shared" si="5" ref="I18:I24">H18/G18</f>
        <v>1</v>
      </c>
      <c r="J18" s="387">
        <f>J30</f>
        <v>513000</v>
      </c>
      <c r="K18" s="192">
        <v>115000</v>
      </c>
      <c r="L18" s="214"/>
      <c r="M18" s="192"/>
      <c r="N18" s="214"/>
      <c r="O18" s="192"/>
      <c r="P18" s="461"/>
      <c r="Q18" s="461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2673000</v>
      </c>
      <c r="G19" s="192">
        <f t="shared" si="4"/>
        <v>7464815.28</v>
      </c>
      <c r="H19" s="274">
        <v>7464815.26</v>
      </c>
      <c r="I19" s="406">
        <f t="shared" si="5"/>
        <v>0.9999999973207642</v>
      </c>
      <c r="J19" s="387">
        <f>J31</f>
        <v>7464815.28</v>
      </c>
      <c r="K19" s="192">
        <v>1984316.2</v>
      </c>
      <c r="L19" s="214">
        <v>2825000</v>
      </c>
      <c r="M19" s="192">
        <v>961000</v>
      </c>
      <c r="N19" s="214">
        <v>2714000</v>
      </c>
      <c r="O19" s="192">
        <v>2324000</v>
      </c>
      <c r="P19" s="461"/>
      <c r="Q19" s="461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>
        <v>95000</v>
      </c>
      <c r="G20" s="192">
        <f t="shared" si="4"/>
        <v>95000</v>
      </c>
      <c r="H20" s="274">
        <v>95000</v>
      </c>
      <c r="I20" s="406">
        <f t="shared" si="5"/>
        <v>1</v>
      </c>
      <c r="J20" s="387">
        <f>J32</f>
        <v>95000</v>
      </c>
      <c r="K20" s="192">
        <v>300000</v>
      </c>
      <c r="L20" s="214">
        <v>325000</v>
      </c>
      <c r="M20" s="192">
        <v>101000</v>
      </c>
      <c r="N20" s="214">
        <v>716000</v>
      </c>
      <c r="O20" s="192">
        <v>308000</v>
      </c>
      <c r="P20" s="461"/>
      <c r="Q20" s="461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0</v>
      </c>
      <c r="H21" s="274"/>
      <c r="I21" s="406"/>
      <c r="J21" s="387">
        <f>H21</f>
        <v>0</v>
      </c>
      <c r="K21" s="192"/>
      <c r="L21" s="214"/>
      <c r="M21" s="192"/>
      <c r="N21" s="214"/>
      <c r="O21" s="192"/>
      <c r="P21" s="461"/>
      <c r="Q21" s="461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1400000</v>
      </c>
      <c r="G22" s="192">
        <f t="shared" si="4"/>
        <v>2002023.1</v>
      </c>
      <c r="H22" s="274">
        <v>2002023.1</v>
      </c>
      <c r="I22" s="406">
        <f t="shared" si="5"/>
        <v>1</v>
      </c>
      <c r="J22" s="387">
        <f>H22</f>
        <v>2002023.1</v>
      </c>
      <c r="K22" s="192">
        <v>1363876.21</v>
      </c>
      <c r="L22" s="214">
        <v>111908.3</v>
      </c>
      <c r="M22" s="192">
        <v>62212.46</v>
      </c>
      <c r="N22" s="214">
        <v>1212000</v>
      </c>
      <c r="O22" s="192">
        <v>301000</v>
      </c>
      <c r="P22" s="461"/>
      <c r="Q22" s="461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331">
        <v>11598000</v>
      </c>
      <c r="G23" s="192">
        <f t="shared" si="4"/>
        <v>11179863.39</v>
      </c>
      <c r="H23" s="274">
        <v>11219863.39</v>
      </c>
      <c r="I23" s="406">
        <f t="shared" si="5"/>
        <v>1.0035778612496982</v>
      </c>
      <c r="J23" s="387">
        <f>J37</f>
        <v>11179863.39</v>
      </c>
      <c r="K23" s="192">
        <v>11276000</v>
      </c>
      <c r="L23" s="214">
        <v>11368000</v>
      </c>
      <c r="M23" s="192">
        <v>11091000</v>
      </c>
      <c r="N23" s="214">
        <v>10125000</v>
      </c>
      <c r="O23" s="192">
        <v>9467000</v>
      </c>
      <c r="P23" s="461"/>
      <c r="Q23" s="461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20853000</v>
      </c>
      <c r="G24" s="192">
        <f t="shared" si="4"/>
        <v>23591000</v>
      </c>
      <c r="H24" s="274">
        <v>23481918</v>
      </c>
      <c r="I24" s="406">
        <f t="shared" si="5"/>
        <v>0.9953761180111059</v>
      </c>
      <c r="J24" s="387">
        <f>J38</f>
        <v>23591000</v>
      </c>
      <c r="K24" s="192">
        <v>19086846</v>
      </c>
      <c r="L24" s="214">
        <v>8315468</v>
      </c>
      <c r="M24" s="192">
        <v>6566649.7</v>
      </c>
      <c r="N24" s="214">
        <v>4614000</v>
      </c>
      <c r="O24" s="192">
        <v>4187000</v>
      </c>
      <c r="P24" s="461"/>
      <c r="Q24" s="461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5661000</v>
      </c>
      <c r="G25" s="192"/>
      <c r="H25" s="274">
        <v>9809299.78</v>
      </c>
      <c r="I25" s="406">
        <f>H25/J25</f>
        <v>1</v>
      </c>
      <c r="J25" s="387">
        <f>H25</f>
        <v>9809299.78</v>
      </c>
      <c r="K25" s="192">
        <v>6480202.31</v>
      </c>
      <c r="L25" s="214">
        <v>3606812.84</v>
      </c>
      <c r="M25" s="192">
        <v>2786080.28</v>
      </c>
      <c r="N25" s="214">
        <v>1942000</v>
      </c>
      <c r="O25" s="192">
        <v>1264000</v>
      </c>
      <c r="P25" s="461"/>
      <c r="Q25" s="461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/>
      <c r="G26" s="192"/>
      <c r="H26" s="274">
        <v>11729</v>
      </c>
      <c r="I26" s="406"/>
      <c r="J26" s="387">
        <f>H26/12*12</f>
        <v>11729</v>
      </c>
      <c r="K26" s="192"/>
      <c r="L26" s="214">
        <v>107496.17</v>
      </c>
      <c r="M26" s="192"/>
      <c r="N26" s="214"/>
      <c r="O26" s="192"/>
      <c r="P26" s="461"/>
      <c r="Q26" s="461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154293000</v>
      </c>
      <c r="G27" s="221">
        <f>SUM(G28:G42)</f>
        <v>133794291.67</v>
      </c>
      <c r="H27" s="342">
        <f>SUM(H28:H42)</f>
        <v>165677471.77</v>
      </c>
      <c r="I27" s="403">
        <f>H27/F27</f>
        <v>1.073784758673433</v>
      </c>
      <c r="J27" s="415">
        <f aca="true" t="shared" si="6" ref="J27:O27">SUM(J28:J42)</f>
        <v>163394500.89999998</v>
      </c>
      <c r="K27" s="221">
        <f t="shared" si="6"/>
        <v>135916762.07</v>
      </c>
      <c r="L27" s="380">
        <f t="shared" si="6"/>
        <v>117524119.69000001</v>
      </c>
      <c r="M27" s="221">
        <f t="shared" si="6"/>
        <v>88497409.26</v>
      </c>
      <c r="N27" s="380">
        <f t="shared" si="6"/>
        <v>88653000</v>
      </c>
      <c r="O27" s="221">
        <f t="shared" si="6"/>
        <v>65327000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v>85010000</v>
      </c>
      <c r="G28" s="337">
        <f>72924000+5069800+1941813</f>
        <v>79935613</v>
      </c>
      <c r="H28" s="345">
        <v>79935968.65</v>
      </c>
      <c r="I28" s="407">
        <f>H28/G28</f>
        <v>1.0000044492058877</v>
      </c>
      <c r="J28" s="387">
        <f>G28</f>
        <v>79935613</v>
      </c>
      <c r="K28" s="192">
        <v>67787711</v>
      </c>
      <c r="L28" s="214">
        <v>76297989</v>
      </c>
      <c r="M28" s="192">
        <v>54795999.99</v>
      </c>
      <c r="N28" s="214">
        <v>46486000</v>
      </c>
      <c r="O28" s="192">
        <v>34931000</v>
      </c>
      <c r="P28" s="467"/>
      <c r="Q28" s="467"/>
      <c r="R28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4056000</v>
      </c>
      <c r="G29" s="338">
        <v>4035000</v>
      </c>
      <c r="H29" s="346">
        <v>4035000</v>
      </c>
      <c r="I29" s="407">
        <f aca="true" t="shared" si="7" ref="I29:I38">H29/G29</f>
        <v>1</v>
      </c>
      <c r="J29" s="387">
        <f aca="true" t="shared" si="8" ref="J29:J38">G29</f>
        <v>4035000</v>
      </c>
      <c r="K29" s="326">
        <v>3854000</v>
      </c>
      <c r="L29" s="353">
        <v>3491250</v>
      </c>
      <c r="M29" s="326">
        <v>2906250</v>
      </c>
      <c r="N29" s="353">
        <v>2556000</v>
      </c>
      <c r="O29" s="326">
        <v>2340000</v>
      </c>
      <c r="P29" s="467"/>
      <c r="Q29" s="467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/>
      <c r="G30" s="338">
        <v>513000</v>
      </c>
      <c r="H30" s="346">
        <v>513000</v>
      </c>
      <c r="I30" s="407">
        <f t="shared" si="7"/>
        <v>1</v>
      </c>
      <c r="J30" s="387">
        <f t="shared" si="8"/>
        <v>513000</v>
      </c>
      <c r="K30" s="326">
        <v>115000</v>
      </c>
      <c r="L30" s="353"/>
      <c r="M30" s="326"/>
      <c r="N30" s="353"/>
      <c r="O30" s="326"/>
      <c r="P30" s="467"/>
      <c r="Q30" s="467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2673000</v>
      </c>
      <c r="G31" s="338">
        <v>7464815.28</v>
      </c>
      <c r="H31" s="346">
        <v>7464815.26</v>
      </c>
      <c r="I31" s="407">
        <f t="shared" si="7"/>
        <v>0.9999999973207642</v>
      </c>
      <c r="J31" s="387">
        <f t="shared" si="8"/>
        <v>7464815.28</v>
      </c>
      <c r="K31" s="326">
        <v>1984316.2</v>
      </c>
      <c r="L31" s="353">
        <v>2825000</v>
      </c>
      <c r="M31" s="326">
        <v>961000</v>
      </c>
      <c r="N31" s="353">
        <v>2714000</v>
      </c>
      <c r="O31" s="326">
        <v>2320000</v>
      </c>
      <c r="P31" s="467"/>
      <c r="Q31" s="467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>
        <v>95000</v>
      </c>
      <c r="G32" s="338">
        <v>95000</v>
      </c>
      <c r="H32" s="346">
        <v>95000</v>
      </c>
      <c r="I32" s="407">
        <f t="shared" si="7"/>
        <v>1</v>
      </c>
      <c r="J32" s="387">
        <f t="shared" si="8"/>
        <v>95000</v>
      </c>
      <c r="K32" s="326">
        <v>300000</v>
      </c>
      <c r="L32" s="353">
        <v>325000</v>
      </c>
      <c r="M32" s="326">
        <v>101000</v>
      </c>
      <c r="N32" s="353">
        <v>716000</v>
      </c>
      <c r="O32" s="326">
        <v>308000</v>
      </c>
      <c r="P32" s="467"/>
      <c r="Q32" s="467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87">
        <f t="shared" si="8"/>
        <v>0</v>
      </c>
      <c r="K33" s="326"/>
      <c r="L33" s="353"/>
      <c r="M33" s="326"/>
      <c r="N33" s="353"/>
      <c r="O33" s="326"/>
      <c r="P33" s="467"/>
      <c r="Q33" s="467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338"/>
      <c r="H34" s="346"/>
      <c r="I34" s="407"/>
      <c r="J34" s="387">
        <f t="shared" si="8"/>
        <v>0</v>
      </c>
      <c r="K34" s="326"/>
      <c r="L34" s="353"/>
      <c r="M34" s="326"/>
      <c r="N34" s="353"/>
      <c r="O34" s="326"/>
      <c r="P34" s="467"/>
      <c r="Q34" s="467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1500000</v>
      </c>
      <c r="G35" s="338"/>
      <c r="H35" s="346">
        <v>2351697.24</v>
      </c>
      <c r="I35" s="407">
        <f>H35/F35</f>
        <v>1.5677981600000002</v>
      </c>
      <c r="J35" s="387">
        <f t="shared" si="8"/>
        <v>0</v>
      </c>
      <c r="K35" s="326">
        <v>1809830.51</v>
      </c>
      <c r="L35" s="353"/>
      <c r="M35" s="326">
        <v>62212.14</v>
      </c>
      <c r="N35" s="353">
        <v>1212000</v>
      </c>
      <c r="O35" s="326">
        <v>301000</v>
      </c>
      <c r="P35" s="467"/>
      <c r="Q35" s="467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6980000</v>
      </c>
      <c r="G36" s="338">
        <f>F36</f>
        <v>6980000</v>
      </c>
      <c r="H36" s="346">
        <v>6980000</v>
      </c>
      <c r="I36" s="407">
        <f t="shared" si="7"/>
        <v>1</v>
      </c>
      <c r="J36" s="387">
        <f t="shared" si="8"/>
        <v>6980000</v>
      </c>
      <c r="K36" s="326">
        <v>6684000</v>
      </c>
      <c r="L36" s="353">
        <v>6690000</v>
      </c>
      <c r="M36" s="326">
        <v>6819999.99</v>
      </c>
      <c r="N36" s="353">
        <v>7230000</v>
      </c>
      <c r="O36" s="326">
        <v>4805000</v>
      </c>
      <c r="P36" s="467"/>
      <c r="Q36" s="467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333">
        <v>11598000</v>
      </c>
      <c r="G37" s="338">
        <v>11179863.39</v>
      </c>
      <c r="H37" s="346">
        <v>11219863.39</v>
      </c>
      <c r="I37" s="407">
        <f t="shared" si="7"/>
        <v>1.0035778612496982</v>
      </c>
      <c r="J37" s="387">
        <f t="shared" si="8"/>
        <v>11179863.39</v>
      </c>
      <c r="K37" s="326">
        <v>11276000</v>
      </c>
      <c r="L37" s="353">
        <v>11368000.01</v>
      </c>
      <c r="M37" s="326">
        <v>11091000</v>
      </c>
      <c r="N37" s="353">
        <v>10125000</v>
      </c>
      <c r="O37" s="326">
        <v>9467000</v>
      </c>
      <c r="P37" s="467"/>
      <c r="Q37" s="467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20853000</v>
      </c>
      <c r="G38" s="338">
        <f>(512+5336+145+717+6768+9325+748)*1000+P38</f>
        <v>23591000</v>
      </c>
      <c r="H38" s="346">
        <v>23481918</v>
      </c>
      <c r="I38" s="407">
        <f t="shared" si="7"/>
        <v>0.9953761180111059</v>
      </c>
      <c r="J38" s="387">
        <f t="shared" si="8"/>
        <v>23591000</v>
      </c>
      <c r="K38" s="326">
        <v>19086846</v>
      </c>
      <c r="L38" s="353">
        <v>8315468</v>
      </c>
      <c r="M38" s="326">
        <v>6566650</v>
      </c>
      <c r="N38" s="353">
        <v>4614000</v>
      </c>
      <c r="O38" s="326">
        <v>4187000</v>
      </c>
      <c r="P38" s="574">
        <v>40000</v>
      </c>
      <c r="Q38" s="574">
        <v>0</v>
      </c>
      <c r="R38" s="574">
        <v>357550.15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5661000</v>
      </c>
      <c r="G39" s="338"/>
      <c r="H39" s="346">
        <v>9809299.78</v>
      </c>
      <c r="I39" s="407">
        <f>H39/F39</f>
        <v>1.732785688040982</v>
      </c>
      <c r="J39" s="389">
        <f>H39</f>
        <v>9809299.78</v>
      </c>
      <c r="K39" s="326">
        <v>6195404.49</v>
      </c>
      <c r="L39" s="353">
        <v>3606997.18</v>
      </c>
      <c r="M39" s="326">
        <v>2786080.28</v>
      </c>
      <c r="N39" s="353">
        <v>1942000</v>
      </c>
      <c r="O39" s="326">
        <v>1264000</v>
      </c>
      <c r="P39" s="467"/>
      <c r="Q39" s="467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12721000</v>
      </c>
      <c r="G40" s="338"/>
      <c r="H40" s="346">
        <v>16911609.45</v>
      </c>
      <c r="I40" s="407">
        <f>H40/F40</f>
        <v>1.3294245303042214</v>
      </c>
      <c r="J40" s="353">
        <f>(H40-H46)/12*12+H46</f>
        <v>16911609.45</v>
      </c>
      <c r="K40" s="326">
        <v>14506253.87</v>
      </c>
      <c r="L40" s="353">
        <v>4120464.5</v>
      </c>
      <c r="M40" s="326">
        <v>2381716.86</v>
      </c>
      <c r="N40" s="353">
        <v>11035000</v>
      </c>
      <c r="O40" s="326">
        <v>5386000</v>
      </c>
      <c r="P40" s="467"/>
      <c r="Q40" s="467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3146000</v>
      </c>
      <c r="G41" s="338"/>
      <c r="H41" s="346">
        <v>2856300</v>
      </c>
      <c r="I41" s="407">
        <f>H41/J41</f>
        <v>1</v>
      </c>
      <c r="J41" s="389">
        <f>H41</f>
        <v>2856300</v>
      </c>
      <c r="K41" s="326">
        <v>2307400</v>
      </c>
      <c r="L41" s="353">
        <v>368551</v>
      </c>
      <c r="M41" s="326">
        <v>25500</v>
      </c>
      <c r="N41" s="353">
        <v>23000</v>
      </c>
      <c r="O41" s="326">
        <v>18000</v>
      </c>
      <c r="P41" s="467"/>
      <c r="Q41" s="467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/>
      <c r="G42" s="338"/>
      <c r="H42" s="346">
        <v>23000</v>
      </c>
      <c r="I42" s="407"/>
      <c r="J42" s="389">
        <f>H42/12*12</f>
        <v>23000</v>
      </c>
      <c r="K42" s="326">
        <v>10000</v>
      </c>
      <c r="L42" s="353">
        <v>115400</v>
      </c>
      <c r="M42" s="326"/>
      <c r="N42" s="353"/>
      <c r="O42" s="326"/>
      <c r="P42" s="467"/>
      <c r="Q42" s="467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40</v>
      </c>
      <c r="F43" s="334">
        <f>F28+F33+F36+F40+F41+F42-F5-F26</f>
        <v>20000</v>
      </c>
      <c r="G43" s="227"/>
      <c r="H43" s="347">
        <v>40964129.93</v>
      </c>
      <c r="I43" s="408"/>
      <c r="J43" s="416">
        <f>J28+J33+J36+J40+J41+J42-J5-J26</f>
        <v>1726924.3600000143</v>
      </c>
      <c r="K43" s="227"/>
      <c r="L43" s="211"/>
      <c r="M43" s="227">
        <f>M28+M33+M36+M40+M41+M42-M5-M26</f>
        <v>531806.4300000072</v>
      </c>
      <c r="N43" s="211">
        <f>N28+N33+N36+N40+N41+N42-N5-N26</f>
        <v>3827000</v>
      </c>
      <c r="O43" s="227">
        <f>O28+O33+O36+O40+O41+O42-O5-O26</f>
        <v>2429000</v>
      </c>
      <c r="P43" s="467"/>
      <c r="Q43" s="467"/>
      <c r="S43" s="89"/>
    </row>
    <row r="44" spans="1:17" ht="12.75">
      <c r="A44" s="239" t="s">
        <v>165</v>
      </c>
      <c r="B44" s="171"/>
      <c r="C44" s="171"/>
      <c r="D44" s="171"/>
      <c r="E44" s="245">
        <v>40</v>
      </c>
      <c r="F44" s="330">
        <f>F27-F4</f>
        <v>120000</v>
      </c>
      <c r="G44" s="221"/>
      <c r="H44" s="342">
        <f>H27-H4</f>
        <v>2076954.1500000358</v>
      </c>
      <c r="I44" s="409">
        <f>H44/F44</f>
        <v>17.307951250000297</v>
      </c>
      <c r="J44" s="415">
        <f aca="true" t="shared" si="9" ref="J44:O44">J27-J4</f>
        <v>-275098.74000000954</v>
      </c>
      <c r="K44" s="221">
        <f t="shared" si="9"/>
        <v>1356127.8599999845</v>
      </c>
      <c r="L44" s="380">
        <f t="shared" si="9"/>
        <v>86739.92000000179</v>
      </c>
      <c r="M44" s="221">
        <f t="shared" si="9"/>
        <v>531806.4100000113</v>
      </c>
      <c r="N44" s="380">
        <f t="shared" si="9"/>
        <v>3827000</v>
      </c>
      <c r="O44" s="221">
        <f t="shared" si="9"/>
        <v>2425000</v>
      </c>
      <c r="P44" s="467"/>
      <c r="Q44" s="467"/>
    </row>
    <row r="45" spans="1:17" s="89" customFormat="1" ht="11.25">
      <c r="A45" s="89" t="s">
        <v>176</v>
      </c>
      <c r="B45" s="90"/>
      <c r="C45" s="90"/>
      <c r="D45" s="90"/>
      <c r="E45" s="90"/>
      <c r="F45" s="90"/>
      <c r="G45" s="90" t="s">
        <v>203</v>
      </c>
      <c r="H45" s="91">
        <v>805434.57</v>
      </c>
      <c r="I45" s="413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11960000</v>
      </c>
      <c r="G46" s="91"/>
      <c r="H46" s="91"/>
      <c r="I46" s="411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2039000</v>
      </c>
      <c r="G47" s="91"/>
      <c r="H47" s="91"/>
      <c r="I47" s="411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9921000</v>
      </c>
      <c r="G48" s="91"/>
      <c r="H48" s="91"/>
      <c r="I48" s="411"/>
      <c r="J48" s="91"/>
      <c r="K48" s="91"/>
      <c r="P48" s="458"/>
      <c r="Q48" s="458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78471000</v>
      </c>
      <c r="G50" s="91"/>
      <c r="H50" s="91"/>
      <c r="I50" s="411"/>
      <c r="J50" s="91"/>
    </row>
    <row r="51" spans="1:10" ht="12.75">
      <c r="A51" s="90" t="s">
        <v>146</v>
      </c>
      <c r="B51" s="90"/>
      <c r="C51" s="90"/>
      <c r="D51" s="90"/>
      <c r="E51" s="89"/>
      <c r="F51" s="91">
        <v>4500000</v>
      </c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2039000</v>
      </c>
      <c r="G52" s="211"/>
      <c r="H52" s="211"/>
      <c r="I52" s="412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85010000</v>
      </c>
      <c r="G53" s="91"/>
      <c r="H53" s="91"/>
      <c r="I53" s="41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11"/>
      <c r="J54" s="91"/>
    </row>
    <row r="55" spans="6:10" ht="12.75">
      <c r="F55" s="91"/>
      <c r="G55" s="91"/>
      <c r="H55" s="91"/>
      <c r="I55" s="411"/>
      <c r="J55" s="91"/>
    </row>
  </sheetData>
  <mergeCells count="1">
    <mergeCell ref="A1:D1"/>
  </mergeCells>
  <printOptions horizontalCentered="1"/>
  <pageMargins left="0.47" right="0.31496062992125984" top="0.29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8"/>
  <dimension ref="A1:S53"/>
  <sheetViews>
    <sheetView workbookViewId="0" topLeftCell="A44">
      <selection activeCell="A55" sqref="A55:IV5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25390625" style="0" customWidth="1"/>
    <col min="5" max="5" width="3.75390625" style="0" customWidth="1"/>
    <col min="6" max="6" width="10.875" style="216" bestFit="1" customWidth="1"/>
    <col min="7" max="7" width="9.625" style="216" bestFit="1" customWidth="1"/>
    <col min="8" max="8" width="11.375" style="216" customWidth="1"/>
    <col min="9" max="9" width="5.875" style="402" bestFit="1" customWidth="1"/>
    <col min="10" max="10" width="10.125" style="216" hidden="1" customWidth="1"/>
    <col min="11" max="11" width="9.625" style="89" bestFit="1" customWidth="1"/>
    <col min="12" max="15" width="9.625" style="0" bestFit="1" customWidth="1"/>
    <col min="16" max="16" width="7.375" style="460" customWidth="1"/>
    <col min="17" max="17" width="5.00390625" style="460" customWidth="1"/>
    <col min="18" max="18" width="7.625" style="0" customWidth="1"/>
    <col min="19" max="19" width="6.87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50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60"/>
      <c r="Q3" s="460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198625000</v>
      </c>
      <c r="G4" s="221">
        <f>SUM(G6:G26)</f>
        <v>40453979.16</v>
      </c>
      <c r="H4" s="342">
        <f>SUM(H6:H26)</f>
        <v>229129806.00000003</v>
      </c>
      <c r="I4" s="403">
        <f>H4/F4</f>
        <v>1.1535798917558213</v>
      </c>
      <c r="J4" s="322">
        <f aca="true" t="shared" si="0" ref="J4:O4">SUM(J6:J26)</f>
        <v>229115088.03000003</v>
      </c>
      <c r="K4" s="221">
        <f t="shared" si="0"/>
        <v>214836234.94000003</v>
      </c>
      <c r="L4" s="221">
        <f t="shared" si="0"/>
        <v>175570523.85000005</v>
      </c>
      <c r="M4" s="221">
        <f t="shared" si="0"/>
        <v>144079153.04</v>
      </c>
      <c r="N4" s="221">
        <f t="shared" si="0"/>
        <v>139711682</v>
      </c>
      <c r="O4" s="221">
        <f t="shared" si="0"/>
        <v>123414000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173201000</v>
      </c>
      <c r="G5" s="192"/>
      <c r="H5" s="274">
        <f>SUM(H6:H16)</f>
        <v>187005950.37000003</v>
      </c>
      <c r="I5" s="404">
        <f>H5/F5</f>
        <v>1.079704795988476</v>
      </c>
      <c r="J5" s="187">
        <f aca="true" t="shared" si="1" ref="J5:O5">SUM(J6:J16)</f>
        <v>187005950.37000003</v>
      </c>
      <c r="K5" s="192">
        <f t="shared" si="1"/>
        <v>175922580.19000003</v>
      </c>
      <c r="L5" s="192">
        <f t="shared" si="1"/>
        <v>145480667.21000004</v>
      </c>
      <c r="M5" s="192">
        <f t="shared" si="1"/>
        <v>106126465.97</v>
      </c>
      <c r="N5" s="192">
        <f t="shared" si="1"/>
        <v>102823632</v>
      </c>
      <c r="O5" s="192">
        <f t="shared" si="1"/>
        <v>86384000</v>
      </c>
      <c r="P5" s="461"/>
      <c r="Q5" s="461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96685000</v>
      </c>
      <c r="G6" s="174"/>
      <c r="H6" s="343">
        <v>102027101</v>
      </c>
      <c r="I6" s="405">
        <f>H6/F6</f>
        <v>1.0552526348451157</v>
      </c>
      <c r="J6" s="174">
        <f>H6/12*12</f>
        <v>102027101</v>
      </c>
      <c r="K6" s="174">
        <v>97836267</v>
      </c>
      <c r="L6" s="174">
        <v>80242235</v>
      </c>
      <c r="M6" s="174">
        <v>61621762</v>
      </c>
      <c r="N6" s="174">
        <v>58342910</v>
      </c>
      <c r="O6" s="174">
        <f>(51693+57)*1000</f>
        <v>51750000</v>
      </c>
      <c r="P6" s="462"/>
      <c r="Q6" s="462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7719000</v>
      </c>
      <c r="G7" s="174"/>
      <c r="H7" s="343">
        <v>6300487</v>
      </c>
      <c r="I7" s="405">
        <f aca="true" t="shared" si="2" ref="I7:I16">H7/F7</f>
        <v>0.8162309884700091</v>
      </c>
      <c r="J7" s="174">
        <f aca="true" t="shared" si="3" ref="J7:J15">H7/12*12</f>
        <v>6300487</v>
      </c>
      <c r="K7" s="174">
        <v>6825662</v>
      </c>
      <c r="L7" s="174">
        <v>5825757</v>
      </c>
      <c r="M7" s="174">
        <v>3276619</v>
      </c>
      <c r="N7" s="174">
        <v>3926184</v>
      </c>
      <c r="O7" s="174">
        <v>1779000</v>
      </c>
      <c r="P7" s="462"/>
      <c r="Q7" s="462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33490000</v>
      </c>
      <c r="G8" s="174"/>
      <c r="H8" s="343">
        <v>36053696</v>
      </c>
      <c r="I8" s="405">
        <f t="shared" si="2"/>
        <v>1.0765510898775754</v>
      </c>
      <c r="J8" s="174">
        <f t="shared" si="3"/>
        <v>36053696</v>
      </c>
      <c r="K8" s="174">
        <v>34634605</v>
      </c>
      <c r="L8" s="174">
        <v>28217167</v>
      </c>
      <c r="M8" s="174">
        <v>21342415</v>
      </c>
      <c r="N8" s="174">
        <v>20442420</v>
      </c>
      <c r="O8" s="174">
        <f>(17855+20)*1000</f>
        <v>17875000</v>
      </c>
      <c r="P8" s="462"/>
      <c r="Q8" s="462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4050000</v>
      </c>
      <c r="G9" s="174"/>
      <c r="H9" s="343">
        <v>3714043.08</v>
      </c>
      <c r="I9" s="405">
        <f t="shared" si="2"/>
        <v>0.9170476740740741</v>
      </c>
      <c r="J9" s="174">
        <f t="shared" si="3"/>
        <v>3714043.08</v>
      </c>
      <c r="K9" s="174">
        <v>3497037.48</v>
      </c>
      <c r="L9" s="174">
        <v>3370008.64</v>
      </c>
      <c r="M9" s="174">
        <v>3556967.39</v>
      </c>
      <c r="N9" s="174">
        <v>3232574</v>
      </c>
      <c r="O9" s="174">
        <v>2556000</v>
      </c>
      <c r="P9" s="462"/>
      <c r="Q9" s="462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3200000</v>
      </c>
      <c r="G10" s="174"/>
      <c r="H10" s="343">
        <v>2319464.77</v>
      </c>
      <c r="I10" s="405">
        <f t="shared" si="2"/>
        <v>0.724832740625</v>
      </c>
      <c r="J10" s="174">
        <f t="shared" si="3"/>
        <v>2319464.77</v>
      </c>
      <c r="K10" s="174">
        <v>3317980.31</v>
      </c>
      <c r="L10" s="174">
        <v>2192322.01</v>
      </c>
      <c r="M10" s="174">
        <v>793447.06</v>
      </c>
      <c r="N10" s="174">
        <v>2259803</v>
      </c>
      <c r="O10" s="174">
        <v>1663000</v>
      </c>
      <c r="P10" s="462"/>
      <c r="Q10" s="462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10500000</v>
      </c>
      <c r="G11" s="174"/>
      <c r="H11" s="343">
        <v>10742129.65</v>
      </c>
      <c r="I11" s="405">
        <f t="shared" si="2"/>
        <v>1.0230599666666667</v>
      </c>
      <c r="J11" s="174">
        <f t="shared" si="3"/>
        <v>10742129.65</v>
      </c>
      <c r="K11" s="174">
        <v>10657409.55</v>
      </c>
      <c r="L11" s="174">
        <v>10298809.19</v>
      </c>
      <c r="M11" s="174">
        <v>5964141.46</v>
      </c>
      <c r="N11" s="174">
        <v>5311235</v>
      </c>
      <c r="O11" s="174">
        <v>2372000</v>
      </c>
      <c r="P11" s="462"/>
      <c r="Q11" s="462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9000000</v>
      </c>
      <c r="G12" s="174"/>
      <c r="H12" s="343">
        <v>10564531.14</v>
      </c>
      <c r="I12" s="405">
        <f t="shared" si="2"/>
        <v>1.1738367933333334</v>
      </c>
      <c r="J12" s="550">
        <f>H12/12*12</f>
        <v>10564531.14</v>
      </c>
      <c r="K12" s="174">
        <v>10530709.65</v>
      </c>
      <c r="L12" s="174">
        <v>8314012.36</v>
      </c>
      <c r="M12" s="174">
        <v>6378640.31</v>
      </c>
      <c r="N12" s="174">
        <v>6443758</v>
      </c>
      <c r="O12" s="174">
        <v>5658000</v>
      </c>
      <c r="P12" s="462"/>
      <c r="Q12" s="462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1000000</v>
      </c>
      <c r="G13" s="174"/>
      <c r="H13" s="343">
        <v>2044527.09</v>
      </c>
      <c r="I13" s="405">
        <f t="shared" si="2"/>
        <v>2.04452709</v>
      </c>
      <c r="J13" s="174">
        <f t="shared" si="3"/>
        <v>2044527.09</v>
      </c>
      <c r="K13" s="174">
        <v>987566.54</v>
      </c>
      <c r="L13" s="174">
        <v>841240.4</v>
      </c>
      <c r="M13" s="174">
        <v>234945.89</v>
      </c>
      <c r="N13" s="174">
        <v>239615</v>
      </c>
      <c r="O13" s="174">
        <v>577000</v>
      </c>
      <c r="P13" s="462"/>
      <c r="Q13" s="462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f>F46</f>
        <v>5477000</v>
      </c>
      <c r="G14" s="174"/>
      <c r="H14" s="343">
        <v>7461405.1</v>
      </c>
      <c r="I14" s="405">
        <f t="shared" si="2"/>
        <v>1.3623160671900676</v>
      </c>
      <c r="J14" s="174">
        <f t="shared" si="3"/>
        <v>7461405.1</v>
      </c>
      <c r="K14" s="174">
        <v>5192277.08</v>
      </c>
      <c r="L14" s="174">
        <v>4224058.56</v>
      </c>
      <c r="M14" s="174">
        <v>1507185.75</v>
      </c>
      <c r="N14" s="174">
        <v>1607336</v>
      </c>
      <c r="O14" s="174">
        <v>1587000</v>
      </c>
      <c r="P14" s="462"/>
      <c r="Q14" s="462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534000</v>
      </c>
      <c r="G15" s="174"/>
      <c r="H15" s="343">
        <v>834975</v>
      </c>
      <c r="I15" s="405">
        <f t="shared" si="2"/>
        <v>1.563623595505618</v>
      </c>
      <c r="J15" s="174">
        <f t="shared" si="3"/>
        <v>834975</v>
      </c>
      <c r="K15" s="174">
        <v>573493</v>
      </c>
      <c r="L15" s="174">
        <v>684105</v>
      </c>
      <c r="M15" s="174">
        <v>265930.39</v>
      </c>
      <c r="N15" s="174">
        <v>114467</v>
      </c>
      <c r="O15" s="174">
        <v>132000</v>
      </c>
      <c r="P15" s="462"/>
      <c r="Q15" s="462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32">
        <v>1546000</v>
      </c>
      <c r="G16" s="174"/>
      <c r="H16" s="344">
        <v>4943590.54</v>
      </c>
      <c r="I16" s="405">
        <f t="shared" si="2"/>
        <v>3.1976652910737386</v>
      </c>
      <c r="J16" s="550">
        <f>H16/12*12</f>
        <v>4943590.54</v>
      </c>
      <c r="K16" s="174">
        <v>1869572.58</v>
      </c>
      <c r="L16" s="174">
        <v>1270952.05</v>
      </c>
      <c r="M16" s="174">
        <v>1184411.72</v>
      </c>
      <c r="N16" s="174">
        <v>903330</v>
      </c>
      <c r="O16" s="174">
        <v>435000</v>
      </c>
      <c r="P16" s="462"/>
      <c r="Q16" s="462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5965000</v>
      </c>
      <c r="G17" s="192">
        <f>J17</f>
        <v>5767000</v>
      </c>
      <c r="H17" s="274">
        <v>5767000</v>
      </c>
      <c r="I17" s="406">
        <f>H17/G17</f>
        <v>1</v>
      </c>
      <c r="J17" s="187">
        <f>J29</f>
        <v>5767000</v>
      </c>
      <c r="K17" s="192">
        <v>5617000</v>
      </c>
      <c r="L17" s="192">
        <v>4715000</v>
      </c>
      <c r="M17" s="192">
        <v>3463750</v>
      </c>
      <c r="N17" s="192">
        <v>2061882</v>
      </c>
      <c r="O17" s="192">
        <v>2114000</v>
      </c>
      <c r="P17" s="461"/>
      <c r="Q17" s="461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>
        <v>44000</v>
      </c>
      <c r="G18" s="192">
        <f aca="true" t="shared" si="4" ref="G18:G24">J18</f>
        <v>272000</v>
      </c>
      <c r="H18" s="274">
        <v>241954.97</v>
      </c>
      <c r="I18" s="406">
        <f aca="true" t="shared" si="5" ref="I18:I24">H18/G18</f>
        <v>0.889540330882353</v>
      </c>
      <c r="J18" s="187">
        <f>J30</f>
        <v>272000</v>
      </c>
      <c r="K18" s="192">
        <v>258551</v>
      </c>
      <c r="L18" s="192">
        <v>333090</v>
      </c>
      <c r="M18" s="192">
        <v>347922.6</v>
      </c>
      <c r="N18" s="192">
        <v>275844</v>
      </c>
      <c r="O18" s="192">
        <v>321000</v>
      </c>
      <c r="P18" s="461"/>
      <c r="Q18" s="461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6168000</v>
      </c>
      <c r="G19" s="192">
        <f t="shared" si="4"/>
        <v>8166000</v>
      </c>
      <c r="H19" s="274">
        <v>8166000</v>
      </c>
      <c r="I19" s="547">
        <f t="shared" si="5"/>
        <v>1</v>
      </c>
      <c r="J19" s="187">
        <f>J31</f>
        <v>8166000</v>
      </c>
      <c r="K19" s="192">
        <v>10255418.3</v>
      </c>
      <c r="L19" s="192">
        <v>8590000</v>
      </c>
      <c r="M19" s="192">
        <v>20383950</v>
      </c>
      <c r="N19" s="192">
        <v>27868410</v>
      </c>
      <c r="O19" s="192">
        <v>24104000</v>
      </c>
      <c r="P19" s="461"/>
      <c r="Q19" s="461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>
        <v>821000</v>
      </c>
      <c r="G20" s="192">
        <f t="shared" si="4"/>
        <v>821000</v>
      </c>
      <c r="H20" s="274">
        <v>820333</v>
      </c>
      <c r="I20" s="406">
        <f t="shared" si="5"/>
        <v>0.9991875761266747</v>
      </c>
      <c r="J20" s="187">
        <f>J32</f>
        <v>821000</v>
      </c>
      <c r="K20" s="192">
        <v>347000</v>
      </c>
      <c r="L20" s="192">
        <v>959725.3</v>
      </c>
      <c r="M20" s="192">
        <v>1793929.85</v>
      </c>
      <c r="N20" s="192">
        <v>839537</v>
      </c>
      <c r="O20" s="192">
        <v>2944000</v>
      </c>
      <c r="P20" s="461"/>
      <c r="Q20" s="461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839000</v>
      </c>
      <c r="H21" s="274">
        <v>839000</v>
      </c>
      <c r="I21" s="406">
        <f t="shared" si="5"/>
        <v>1</v>
      </c>
      <c r="J21" s="187">
        <f>H21</f>
        <v>839000</v>
      </c>
      <c r="K21" s="192">
        <v>777600</v>
      </c>
      <c r="L21" s="192">
        <v>1405000</v>
      </c>
      <c r="M21" s="192">
        <v>718277.2</v>
      </c>
      <c r="N21" s="192">
        <v>807157</v>
      </c>
      <c r="O21" s="192"/>
      <c r="P21" s="461"/>
      <c r="Q21" s="461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630000</v>
      </c>
      <c r="G22" s="192">
        <f t="shared" si="4"/>
        <v>10182979.16</v>
      </c>
      <c r="H22" s="274">
        <v>10182979.16</v>
      </c>
      <c r="I22" s="406">
        <f t="shared" si="5"/>
        <v>1</v>
      </c>
      <c r="J22" s="187">
        <f>H22</f>
        <v>10182979.16</v>
      </c>
      <c r="K22" s="192">
        <v>7369753.38</v>
      </c>
      <c r="L22" s="192">
        <v>10166111.44</v>
      </c>
      <c r="M22" s="192">
        <v>8409412.83</v>
      </c>
      <c r="N22" s="192">
        <v>3312068</v>
      </c>
      <c r="O22" s="192">
        <v>3253000</v>
      </c>
      <c r="P22" s="461"/>
      <c r="Q22" s="461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576">
        <f>F37</f>
        <v>8291000</v>
      </c>
      <c r="G23" s="192">
        <f t="shared" si="4"/>
        <v>8860000</v>
      </c>
      <c r="H23" s="274">
        <v>8860000</v>
      </c>
      <c r="I23" s="406">
        <f t="shared" si="5"/>
        <v>1</v>
      </c>
      <c r="J23" s="187">
        <f>J37</f>
        <v>8860000</v>
      </c>
      <c r="K23" s="192">
        <v>9199000</v>
      </c>
      <c r="L23" s="192">
        <v>742000</v>
      </c>
      <c r="M23" s="192">
        <v>728000</v>
      </c>
      <c r="N23" s="192">
        <v>676000</v>
      </c>
      <c r="O23" s="192">
        <v>594000</v>
      </c>
      <c r="P23" s="461"/>
      <c r="Q23" s="461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3116000</v>
      </c>
      <c r="G24" s="192">
        <f t="shared" si="4"/>
        <v>5546000</v>
      </c>
      <c r="H24" s="274">
        <v>5591430</v>
      </c>
      <c r="I24" s="406">
        <f t="shared" si="5"/>
        <v>1.008191489361702</v>
      </c>
      <c r="J24" s="187">
        <f>J38</f>
        <v>5546000</v>
      </c>
      <c r="K24" s="192">
        <v>3815120.4</v>
      </c>
      <c r="L24" s="192">
        <v>2154759.02</v>
      </c>
      <c r="M24" s="192">
        <v>1825622.14</v>
      </c>
      <c r="N24" s="192">
        <v>820674</v>
      </c>
      <c r="O24" s="192">
        <v>1778000</v>
      </c>
      <c r="P24" s="461"/>
      <c r="Q24" s="461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359000</v>
      </c>
      <c r="G25" s="192"/>
      <c r="H25" s="274">
        <v>1643271</v>
      </c>
      <c r="I25" s="406">
        <f>H25/J25</f>
        <v>1</v>
      </c>
      <c r="J25" s="187">
        <f>H25</f>
        <v>1643271</v>
      </c>
      <c r="K25" s="192">
        <v>1260696.67</v>
      </c>
      <c r="L25" s="192">
        <v>1019672.48</v>
      </c>
      <c r="M25" s="192">
        <v>263444.15</v>
      </c>
      <c r="N25" s="192">
        <v>191950</v>
      </c>
      <c r="O25" s="192">
        <v>1265000</v>
      </c>
      <c r="P25" s="461"/>
      <c r="Q25" s="461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30000</v>
      </c>
      <c r="G26" s="192"/>
      <c r="H26" s="485">
        <v>11887.5</v>
      </c>
      <c r="I26" s="406">
        <f>H26/F26</f>
        <v>0.39625</v>
      </c>
      <c r="J26" s="187">
        <f>H26/12*12</f>
        <v>11887.5</v>
      </c>
      <c r="K26" s="192">
        <v>13515</v>
      </c>
      <c r="L26" s="192">
        <v>4498.4</v>
      </c>
      <c r="M26" s="192">
        <v>18378.3</v>
      </c>
      <c r="N26" s="192">
        <v>34528</v>
      </c>
      <c r="O26" s="192">
        <v>657000</v>
      </c>
      <c r="P26" s="461"/>
      <c r="Q26" s="461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201825000</v>
      </c>
      <c r="G27" s="221">
        <f>SUM(G28:G42)</f>
        <v>192966718</v>
      </c>
      <c r="H27" s="342">
        <f>SUM(H28:H42)</f>
        <v>232649316.93</v>
      </c>
      <c r="I27" s="403">
        <f>H27/F27</f>
        <v>1.152727942177629</v>
      </c>
      <c r="J27" s="322">
        <f aca="true" t="shared" si="6" ref="J27:O27">SUM(J28:J42)</f>
        <v>232634598.96</v>
      </c>
      <c r="K27" s="221">
        <f t="shared" si="6"/>
        <v>219191991.37</v>
      </c>
      <c r="L27" s="221">
        <f t="shared" si="6"/>
        <v>180355648.86000004</v>
      </c>
      <c r="M27" s="221">
        <f t="shared" si="6"/>
        <v>148588272.85</v>
      </c>
      <c r="N27" s="221">
        <f t="shared" si="6"/>
        <v>142211138</v>
      </c>
      <c r="O27" s="221">
        <f t="shared" si="6"/>
        <v>125404000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f>F52</f>
        <v>160601000</v>
      </c>
      <c r="G28" s="337">
        <f>157967000+250000+1344718</f>
        <v>159561718</v>
      </c>
      <c r="H28" s="345">
        <v>159561718</v>
      </c>
      <c r="I28" s="407">
        <f>H28/G28</f>
        <v>1</v>
      </c>
      <c r="J28" s="354">
        <f>G28</f>
        <v>159561718</v>
      </c>
      <c r="K28" s="337">
        <v>152827771</v>
      </c>
      <c r="L28" s="337">
        <v>132861233</v>
      </c>
      <c r="M28" s="337">
        <v>92424000</v>
      </c>
      <c r="N28" s="337">
        <v>90604000</v>
      </c>
      <c r="O28" s="337">
        <v>76663000</v>
      </c>
      <c r="P28" s="460"/>
      <c r="Q28" s="460"/>
      <c r="R28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5965000</v>
      </c>
      <c r="G29" s="338">
        <v>5767000</v>
      </c>
      <c r="H29" s="346">
        <v>5767000</v>
      </c>
      <c r="I29" s="407">
        <f>H29/G29</f>
        <v>1</v>
      </c>
      <c r="J29" s="354">
        <f aca="true" t="shared" si="7" ref="J29:J38">G29</f>
        <v>5767000</v>
      </c>
      <c r="K29" s="338">
        <v>5617000</v>
      </c>
      <c r="L29" s="338">
        <v>4715000</v>
      </c>
      <c r="M29" s="338">
        <v>3463750</v>
      </c>
      <c r="N29" s="338">
        <v>2061882</v>
      </c>
      <c r="O29" s="338">
        <v>2114000</v>
      </c>
      <c r="P29" s="461"/>
      <c r="Q29" s="461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>
        <v>44000</v>
      </c>
      <c r="G30" s="338">
        <f>(44+228)*1000</f>
        <v>272000</v>
      </c>
      <c r="H30" s="346">
        <v>241954.97</v>
      </c>
      <c r="I30" s="407">
        <f>H30/G30</f>
        <v>0.889540330882353</v>
      </c>
      <c r="J30" s="354">
        <f t="shared" si="7"/>
        <v>272000</v>
      </c>
      <c r="K30" s="338">
        <v>258551</v>
      </c>
      <c r="L30" s="338">
        <v>333090</v>
      </c>
      <c r="M30" s="338">
        <v>347922.6</v>
      </c>
      <c r="N30" s="338">
        <v>275844</v>
      </c>
      <c r="O30" s="338">
        <v>321000</v>
      </c>
      <c r="P30" s="461"/>
      <c r="Q30" s="461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6168000</v>
      </c>
      <c r="G31" s="338">
        <v>8166000</v>
      </c>
      <c r="H31" s="346">
        <v>8166000</v>
      </c>
      <c r="I31" s="407">
        <f>H31/G31</f>
        <v>1</v>
      </c>
      <c r="J31" s="354">
        <f t="shared" si="7"/>
        <v>8166000</v>
      </c>
      <c r="K31" s="338">
        <v>10255418.3</v>
      </c>
      <c r="L31" s="338">
        <v>8590000</v>
      </c>
      <c r="M31" s="338">
        <v>20383950.11</v>
      </c>
      <c r="N31" s="338">
        <v>27868410</v>
      </c>
      <c r="O31" s="338">
        <v>24104000</v>
      </c>
      <c r="P31" s="461"/>
      <c r="Q31" s="461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>
        <v>821000</v>
      </c>
      <c r="G32" s="338">
        <f>(715+106)*1000</f>
        <v>821000</v>
      </c>
      <c r="H32" s="346">
        <v>820333</v>
      </c>
      <c r="I32" s="407">
        <f>H32/G32</f>
        <v>0.9991875761266747</v>
      </c>
      <c r="J32" s="354">
        <f t="shared" si="7"/>
        <v>821000</v>
      </c>
      <c r="K32" s="338">
        <v>347000</v>
      </c>
      <c r="L32" s="338">
        <v>959725.3</v>
      </c>
      <c r="M32" s="338">
        <v>1793929.85</v>
      </c>
      <c r="N32" s="338">
        <v>839537</v>
      </c>
      <c r="O32" s="338">
        <v>2944000</v>
      </c>
      <c r="P32" s="461"/>
      <c r="Q32" s="461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54">
        <f t="shared" si="7"/>
        <v>0</v>
      </c>
      <c r="K33" s="338"/>
      <c r="L33" s="338"/>
      <c r="M33" s="338"/>
      <c r="N33" s="338"/>
      <c r="O33" s="338"/>
      <c r="P33" s="461"/>
      <c r="Q33" s="461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>
        <v>381000</v>
      </c>
      <c r="G34" s="338">
        <f>(469+150+150+70)*1000</f>
        <v>839000</v>
      </c>
      <c r="H34" s="346">
        <v>839000</v>
      </c>
      <c r="I34" s="407">
        <f>H34/J34</f>
        <v>1</v>
      </c>
      <c r="J34" s="354">
        <f>H34</f>
        <v>839000</v>
      </c>
      <c r="K34" s="338">
        <v>777600</v>
      </c>
      <c r="L34" s="338">
        <v>1405000</v>
      </c>
      <c r="M34" s="338">
        <v>718277.2</v>
      </c>
      <c r="N34" s="338">
        <v>807157</v>
      </c>
      <c r="O34" s="338"/>
      <c r="P34" s="461"/>
      <c r="Q34" s="461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315000</v>
      </c>
      <c r="G35" s="338"/>
      <c r="H35" s="346">
        <v>10205025.72</v>
      </c>
      <c r="I35" s="407">
        <f>H35/F35</f>
        <v>32.39690704761905</v>
      </c>
      <c r="J35" s="354">
        <f>H35</f>
        <v>10205025.72</v>
      </c>
      <c r="K35" s="338">
        <v>7728843.25</v>
      </c>
      <c r="L35" s="338">
        <v>10244500.25</v>
      </c>
      <c r="M35" s="338">
        <v>9854813.16</v>
      </c>
      <c r="N35" s="338">
        <v>4386415</v>
      </c>
      <c r="O35" s="338">
        <v>6801000</v>
      </c>
      <c r="P35" s="461"/>
      <c r="Q35" s="461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3134000</v>
      </c>
      <c r="G36" s="338">
        <f>F36</f>
        <v>3134000</v>
      </c>
      <c r="H36" s="346">
        <v>3134000</v>
      </c>
      <c r="I36" s="407">
        <f>H36/G36</f>
        <v>1</v>
      </c>
      <c r="J36" s="354">
        <f t="shared" si="7"/>
        <v>3134000</v>
      </c>
      <c r="K36" s="338">
        <v>1780000</v>
      </c>
      <c r="L36" s="338">
        <v>1600000</v>
      </c>
      <c r="M36" s="338">
        <v>1155000</v>
      </c>
      <c r="N36" s="338">
        <v>914000</v>
      </c>
      <c r="O36" s="338">
        <v>2093000</v>
      </c>
      <c r="P36" s="461"/>
      <c r="Q36" s="461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577">
        <v>8291000</v>
      </c>
      <c r="G37" s="338">
        <v>8860000</v>
      </c>
      <c r="H37" s="346">
        <v>8860000</v>
      </c>
      <c r="I37" s="407">
        <f>H37/G37</f>
        <v>1</v>
      </c>
      <c r="J37" s="354">
        <f t="shared" si="7"/>
        <v>8860000</v>
      </c>
      <c r="K37" s="338">
        <v>9198999.83</v>
      </c>
      <c r="L37" s="338">
        <v>742000</v>
      </c>
      <c r="M37" s="338">
        <v>728000</v>
      </c>
      <c r="N37" s="338">
        <v>676000</v>
      </c>
      <c r="O37" s="338">
        <v>594000</v>
      </c>
      <c r="P37" s="461"/>
      <c r="Q37" s="461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3116000</v>
      </c>
      <c r="G38" s="338">
        <f>(2245+3301)*1000</f>
        <v>5546000</v>
      </c>
      <c r="H38" s="346">
        <v>5591430</v>
      </c>
      <c r="I38" s="407">
        <f>H38/G38</f>
        <v>1.008191489361702</v>
      </c>
      <c r="J38" s="354">
        <f t="shared" si="7"/>
        <v>5546000</v>
      </c>
      <c r="K38" s="338">
        <v>3815120.4</v>
      </c>
      <c r="L38" s="338">
        <v>2151340.37</v>
      </c>
      <c r="M38" s="338">
        <v>1825622.14</v>
      </c>
      <c r="N38" s="338">
        <v>820674</v>
      </c>
      <c r="O38" s="338">
        <v>1778000</v>
      </c>
      <c r="P38" s="461"/>
      <c r="Q38" s="461"/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359000</v>
      </c>
      <c r="G39" s="338"/>
      <c r="H39" s="346">
        <v>1643271</v>
      </c>
      <c r="I39" s="407">
        <f>H39/F39</f>
        <v>4.577356545961003</v>
      </c>
      <c r="J39" s="355">
        <f>H39</f>
        <v>1643271</v>
      </c>
      <c r="K39" s="338">
        <v>1260696.67</v>
      </c>
      <c r="L39" s="338">
        <v>1018811.8</v>
      </c>
      <c r="M39" s="338">
        <v>262367.95</v>
      </c>
      <c r="N39" s="338">
        <v>181571</v>
      </c>
      <c r="O39" s="338">
        <v>1265000</v>
      </c>
      <c r="P39" s="461"/>
      <c r="Q39" s="461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12600000</v>
      </c>
      <c r="G40" s="338"/>
      <c r="H40" s="346">
        <v>27267946.74</v>
      </c>
      <c r="I40" s="407">
        <f>H40/F40</f>
        <v>2.164122757142857</v>
      </c>
      <c r="J40" s="353">
        <f>(H40-H46)/12*12+H46</f>
        <v>27267946.740000002</v>
      </c>
      <c r="K40" s="338">
        <v>24448935.92</v>
      </c>
      <c r="L40" s="338">
        <v>15470049.74</v>
      </c>
      <c r="M40" s="338">
        <v>15112261.54</v>
      </c>
      <c r="N40" s="338">
        <v>12752145</v>
      </c>
      <c r="O40" s="338">
        <v>6022000</v>
      </c>
      <c r="P40" s="461"/>
      <c r="Q40" s="461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/>
      <c r="G41" s="338"/>
      <c r="H41" s="346">
        <v>539750</v>
      </c>
      <c r="I41" s="407" t="e">
        <f>H41/F41</f>
        <v>#DIV/0!</v>
      </c>
      <c r="J41" s="355">
        <f>H41</f>
        <v>539750</v>
      </c>
      <c r="K41" s="338">
        <v>862540</v>
      </c>
      <c r="L41" s="338">
        <v>260400</v>
      </c>
      <c r="M41" s="338">
        <v>500000</v>
      </c>
      <c r="N41" s="338"/>
      <c r="O41" s="338"/>
      <c r="P41" s="461"/>
      <c r="Q41" s="461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30000</v>
      </c>
      <c r="G42" s="338"/>
      <c r="H42" s="346">
        <v>11887.5</v>
      </c>
      <c r="I42" s="407">
        <f>H42/F42</f>
        <v>0.39625</v>
      </c>
      <c r="J42" s="355">
        <f>H42/12*12</f>
        <v>11887.5</v>
      </c>
      <c r="K42" s="338">
        <v>13515</v>
      </c>
      <c r="L42" s="338">
        <v>4498.4</v>
      </c>
      <c r="M42" s="338">
        <v>18378.3</v>
      </c>
      <c r="N42" s="338">
        <v>23503</v>
      </c>
      <c r="O42" s="338">
        <v>705000</v>
      </c>
      <c r="P42" s="461"/>
      <c r="Q42" s="461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3134000</v>
      </c>
      <c r="G43" s="227"/>
      <c r="H43" s="347">
        <v>40964129.93</v>
      </c>
      <c r="I43" s="408"/>
      <c r="J43" s="324">
        <f>J28+J33+J36+J40+J41+J42-J5-J26</f>
        <v>3497464.369999975</v>
      </c>
      <c r="K43" s="227"/>
      <c r="L43" s="227"/>
      <c r="M43" s="227">
        <f>M28+M33+M36+M40+M41+M42-M5-M26</f>
        <v>3064795.56999999</v>
      </c>
      <c r="N43" s="227">
        <f>N28+N33+N36+N40+N41+N42-N5-N26</f>
        <v>1435488</v>
      </c>
      <c r="O43" s="227">
        <f>O28+O33+O36+O40+O41+O42-O5-O26</f>
        <v>-1558000</v>
      </c>
      <c r="P43" s="461"/>
      <c r="Q43" s="461"/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3200000</v>
      </c>
      <c r="G44" s="221"/>
      <c r="H44" s="342">
        <f>H27-H4</f>
        <v>3519510.9299999774</v>
      </c>
      <c r="I44" s="409">
        <f>H44/F44</f>
        <v>1.0998471656249929</v>
      </c>
      <c r="J44" s="322">
        <f aca="true" t="shared" si="8" ref="J44:O44">J27-J4</f>
        <v>3519510.9299999774</v>
      </c>
      <c r="K44" s="221">
        <f t="shared" si="8"/>
        <v>4355756.429999977</v>
      </c>
      <c r="L44" s="221">
        <f t="shared" si="8"/>
        <v>4785125.00999999</v>
      </c>
      <c r="M44" s="221">
        <f t="shared" si="8"/>
        <v>4509119.810000002</v>
      </c>
      <c r="N44" s="221">
        <f t="shared" si="8"/>
        <v>2499456</v>
      </c>
      <c r="O44" s="221">
        <f t="shared" si="8"/>
        <v>1990000</v>
      </c>
    </row>
    <row r="45" spans="1:17" s="89" customFormat="1" ht="11.25">
      <c r="A45" s="89" t="s">
        <v>140</v>
      </c>
      <c r="B45" s="90"/>
      <c r="C45" s="90"/>
      <c r="D45" s="90"/>
      <c r="E45" s="90"/>
      <c r="F45" s="90"/>
      <c r="G45" s="90" t="s">
        <v>203</v>
      </c>
      <c r="H45" s="91">
        <v>2932366.36</v>
      </c>
      <c r="I45" s="400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5477000</v>
      </c>
      <c r="G46" s="91"/>
      <c r="H46" s="91"/>
      <c r="I46" s="400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1414000</v>
      </c>
      <c r="G47" s="91"/>
      <c r="H47" s="91"/>
      <c r="I47" s="400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4063000</v>
      </c>
      <c r="G48" s="91"/>
      <c r="H48" s="91"/>
      <c r="I48" s="400"/>
      <c r="J48" s="91"/>
      <c r="K48" s="91"/>
      <c r="P48" s="458"/>
      <c r="Q48" s="458"/>
    </row>
    <row r="49" spans="1:17" s="89" customFormat="1" ht="11.25">
      <c r="A49" s="90" t="s">
        <v>170</v>
      </c>
      <c r="B49" s="90"/>
      <c r="C49" s="90"/>
      <c r="D49" s="90"/>
      <c r="E49" s="90"/>
      <c r="F49" s="91">
        <v>159187000</v>
      </c>
      <c r="G49" s="91"/>
      <c r="H49" s="91"/>
      <c r="I49" s="400"/>
      <c r="J49" s="91"/>
      <c r="K49" s="91"/>
      <c r="P49" s="458"/>
      <c r="Q49" s="458"/>
    </row>
    <row r="50" spans="1:17" s="89" customFormat="1" ht="11.25">
      <c r="A50" s="90" t="s">
        <v>146</v>
      </c>
      <c r="B50" s="90"/>
      <c r="C50" s="90"/>
      <c r="D50" s="90"/>
      <c r="F50" s="91"/>
      <c r="G50" s="91"/>
      <c r="H50" s="91"/>
      <c r="I50" s="400"/>
      <c r="J50" s="91"/>
      <c r="P50" s="458"/>
      <c r="Q50" s="458"/>
    </row>
    <row r="51" spans="1:17" s="89" customFormat="1" ht="11.25">
      <c r="A51" s="90" t="s">
        <v>171</v>
      </c>
      <c r="B51" s="90"/>
      <c r="C51" s="90"/>
      <c r="D51" s="90"/>
      <c r="F51" s="233">
        <f>F47</f>
        <v>1414000</v>
      </c>
      <c r="G51" s="211"/>
      <c r="H51" s="211"/>
      <c r="I51" s="401"/>
      <c r="J51" s="211"/>
      <c r="P51" s="458"/>
      <c r="Q51" s="458"/>
    </row>
    <row r="52" spans="1:17" s="89" customFormat="1" ht="11.25">
      <c r="A52" s="90" t="s">
        <v>169</v>
      </c>
      <c r="B52" s="90"/>
      <c r="C52" s="90"/>
      <c r="D52" s="90"/>
      <c r="F52" s="91">
        <f>SUM(F49:F51)</f>
        <v>160601000</v>
      </c>
      <c r="G52" s="91"/>
      <c r="H52" s="91"/>
      <c r="I52" s="400"/>
      <c r="J52" s="91"/>
      <c r="P52" s="458"/>
      <c r="Q52" s="458"/>
    </row>
    <row r="53" spans="1:17" s="89" customFormat="1" ht="11.25">
      <c r="A53" s="90"/>
      <c r="B53" s="90"/>
      <c r="C53" s="90"/>
      <c r="D53" s="90"/>
      <c r="F53" s="91"/>
      <c r="G53" s="91"/>
      <c r="H53" s="91"/>
      <c r="I53" s="400"/>
      <c r="J53" s="91"/>
      <c r="P53" s="458"/>
      <c r="Q53" s="458"/>
    </row>
  </sheetData>
  <mergeCells count="1">
    <mergeCell ref="A1:D1"/>
  </mergeCells>
  <printOptions horizontalCentered="1"/>
  <pageMargins left="0.44" right="0.31496062992125984" top="0.32" bottom="0.21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9"/>
  <dimension ref="A1:S54"/>
  <sheetViews>
    <sheetView workbookViewId="0" topLeftCell="A1">
      <selection activeCell="F14" sqref="F1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00390625" style="0" customWidth="1"/>
    <col min="5" max="5" width="3.75390625" style="0" customWidth="1"/>
    <col min="6" max="6" width="10.375" style="216" bestFit="1" customWidth="1"/>
    <col min="7" max="7" width="8.75390625" style="216" bestFit="1" customWidth="1"/>
    <col min="8" max="8" width="10.375" style="216" bestFit="1" customWidth="1"/>
    <col min="9" max="9" width="5.875" style="402" bestFit="1" customWidth="1"/>
    <col min="10" max="10" width="9.25390625" style="216" hidden="1" customWidth="1"/>
    <col min="11" max="14" width="9.25390625" style="89" bestFit="1" customWidth="1"/>
    <col min="15" max="15" width="8.75390625" style="89" bestFit="1" customWidth="1"/>
    <col min="16" max="16" width="7.375" style="460" customWidth="1"/>
    <col min="17" max="17" width="5.25390625" style="460" customWidth="1"/>
    <col min="18" max="18" width="7.375" style="0" customWidth="1"/>
    <col min="19" max="19" width="7.12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53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60"/>
      <c r="Q3" s="460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75041000</v>
      </c>
      <c r="G4" s="221">
        <f>SUM(G6:G26)</f>
        <v>4042700</v>
      </c>
      <c r="H4" s="342">
        <f>SUM(H6:H26)</f>
        <v>76775516.28</v>
      </c>
      <c r="I4" s="403">
        <f>H4/F4</f>
        <v>1.023114247944457</v>
      </c>
      <c r="J4" s="322">
        <f aca="true" t="shared" si="0" ref="J4:O4">SUM(J6:J26)</f>
        <v>76775516.28</v>
      </c>
      <c r="K4" s="221">
        <f t="shared" si="0"/>
        <v>67294712.19</v>
      </c>
      <c r="L4" s="221">
        <f t="shared" si="0"/>
        <v>58329548.239999995</v>
      </c>
      <c r="M4" s="221">
        <f t="shared" si="0"/>
        <v>42824060.67999999</v>
      </c>
      <c r="N4" s="221">
        <f t="shared" si="0"/>
        <v>33666000</v>
      </c>
      <c r="O4" s="221">
        <f t="shared" si="0"/>
        <v>15288000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68105000</v>
      </c>
      <c r="G5" s="192"/>
      <c r="H5" s="274">
        <f>SUM(H6:H16)</f>
        <v>68240772.58</v>
      </c>
      <c r="I5" s="404">
        <f>H5/F5</f>
        <v>1.0019935772703912</v>
      </c>
      <c r="J5" s="187">
        <f aca="true" t="shared" si="1" ref="J5:O5">SUM(J6:J16)</f>
        <v>68240772.58</v>
      </c>
      <c r="K5" s="192">
        <f t="shared" si="1"/>
        <v>58844749.07</v>
      </c>
      <c r="L5" s="192">
        <f t="shared" si="1"/>
        <v>52869556.839999996</v>
      </c>
      <c r="M5" s="192">
        <f t="shared" si="1"/>
        <v>40248492.92999999</v>
      </c>
      <c r="N5" s="192">
        <f t="shared" si="1"/>
        <v>29528000</v>
      </c>
      <c r="O5" s="192">
        <f t="shared" si="1"/>
        <v>15288000</v>
      </c>
      <c r="P5" s="461"/>
      <c r="Q5" s="461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30329522</v>
      </c>
      <c r="G6" s="174"/>
      <c r="H6" s="343">
        <v>34695744</v>
      </c>
      <c r="I6" s="405">
        <f>H6/F6</f>
        <v>1.1439594728858569</v>
      </c>
      <c r="J6" s="174">
        <f>H6/12*12</f>
        <v>34695744</v>
      </c>
      <c r="K6" s="174">
        <v>29261963</v>
      </c>
      <c r="L6" s="174">
        <v>23627454.5</v>
      </c>
      <c r="M6" s="174">
        <v>17834008</v>
      </c>
      <c r="N6" s="174">
        <v>14388000</v>
      </c>
      <c r="O6" s="174">
        <v>6608000</v>
      </c>
      <c r="P6" s="462"/>
      <c r="Q6" s="462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1333900</v>
      </c>
      <c r="G7" s="174"/>
      <c r="H7" s="343">
        <v>1441708</v>
      </c>
      <c r="I7" s="405">
        <f aca="true" t="shared" si="2" ref="I7:I16">H7/F7</f>
        <v>1.0808216507984107</v>
      </c>
      <c r="J7" s="174">
        <f aca="true" t="shared" si="3" ref="J7:J15">H7/12*12</f>
        <v>1441708</v>
      </c>
      <c r="K7" s="174">
        <v>1357441</v>
      </c>
      <c r="L7" s="174">
        <v>1059744</v>
      </c>
      <c r="M7" s="174">
        <v>798463</v>
      </c>
      <c r="N7" s="174">
        <v>504000</v>
      </c>
      <c r="O7" s="174">
        <v>141000</v>
      </c>
      <c r="P7" s="462"/>
      <c r="Q7" s="462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11228091</v>
      </c>
      <c r="G8" s="174"/>
      <c r="H8" s="343">
        <v>12157033</v>
      </c>
      <c r="I8" s="405">
        <f t="shared" si="2"/>
        <v>1.0827337434297601</v>
      </c>
      <c r="J8" s="174">
        <f t="shared" si="3"/>
        <v>12157033</v>
      </c>
      <c r="K8" s="174">
        <v>10158911</v>
      </c>
      <c r="L8" s="174">
        <v>8286319</v>
      </c>
      <c r="M8" s="174">
        <v>6273634</v>
      </c>
      <c r="N8" s="174">
        <v>5039000</v>
      </c>
      <c r="O8" s="174">
        <v>2307000</v>
      </c>
      <c r="P8" s="462"/>
      <c r="Q8" s="462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3485300</v>
      </c>
      <c r="G9" s="174"/>
      <c r="H9" s="343">
        <v>3412254.42</v>
      </c>
      <c r="I9" s="405">
        <f t="shared" si="2"/>
        <v>0.9790418098872407</v>
      </c>
      <c r="J9" s="174">
        <f t="shared" si="3"/>
        <v>3412254.42</v>
      </c>
      <c r="K9" s="174">
        <v>3032857</v>
      </c>
      <c r="L9" s="174">
        <v>2671055.94</v>
      </c>
      <c r="M9" s="174">
        <v>2375382.18</v>
      </c>
      <c r="N9" s="174">
        <v>2007000</v>
      </c>
      <c r="O9" s="174">
        <v>951000</v>
      </c>
      <c r="P9" s="462"/>
      <c r="Q9" s="462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400000</v>
      </c>
      <c r="G10" s="174"/>
      <c r="H10" s="343">
        <v>241933.11</v>
      </c>
      <c r="I10" s="405">
        <f t="shared" si="2"/>
        <v>0.604832775</v>
      </c>
      <c r="J10" s="174">
        <f t="shared" si="3"/>
        <v>241933.11</v>
      </c>
      <c r="K10" s="174">
        <v>249994.35</v>
      </c>
      <c r="L10" s="174">
        <v>385312.6</v>
      </c>
      <c r="M10" s="174">
        <v>687824.7</v>
      </c>
      <c r="N10" s="174">
        <v>373000</v>
      </c>
      <c r="O10" s="174">
        <v>185000</v>
      </c>
      <c r="P10" s="462"/>
      <c r="Q10" s="462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5013326</v>
      </c>
      <c r="G11" s="174"/>
      <c r="H11" s="343">
        <v>3655167.31</v>
      </c>
      <c r="I11" s="405">
        <f t="shared" si="2"/>
        <v>0.7290902905576059</v>
      </c>
      <c r="J11" s="174">
        <f t="shared" si="3"/>
        <v>3655167.3099999996</v>
      </c>
      <c r="K11" s="174">
        <v>4574990.23</v>
      </c>
      <c r="L11" s="174">
        <v>4477915.65</v>
      </c>
      <c r="M11" s="174">
        <v>4634714.21</v>
      </c>
      <c r="N11" s="174">
        <v>2105000</v>
      </c>
      <c r="O11" s="174">
        <v>1723000</v>
      </c>
      <c r="P11" s="462"/>
      <c r="Q11" s="462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8283000</v>
      </c>
      <c r="G12" s="174"/>
      <c r="H12" s="343">
        <v>6759195.7</v>
      </c>
      <c r="I12" s="405">
        <f t="shared" si="2"/>
        <v>0.8160323192080164</v>
      </c>
      <c r="J12" s="550">
        <f>H12/12*12</f>
        <v>6759195.7</v>
      </c>
      <c r="K12" s="174">
        <v>6449395.21</v>
      </c>
      <c r="L12" s="174">
        <v>8788890.2</v>
      </c>
      <c r="M12" s="174">
        <v>5687375.82</v>
      </c>
      <c r="N12" s="174">
        <v>3819000</v>
      </c>
      <c r="O12" s="174">
        <v>2677000</v>
      </c>
      <c r="P12" s="462"/>
      <c r="Q12" s="462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1874000</v>
      </c>
      <c r="G13" s="174"/>
      <c r="H13" s="343">
        <v>978194.69</v>
      </c>
      <c r="I13" s="405">
        <f t="shared" si="2"/>
        <v>0.5219822251867663</v>
      </c>
      <c r="J13" s="174">
        <f t="shared" si="3"/>
        <v>978194.69</v>
      </c>
      <c r="K13" s="174">
        <v>947506.34</v>
      </c>
      <c r="L13" s="174">
        <v>741867.75</v>
      </c>
      <c r="M13" s="174">
        <v>563250.92</v>
      </c>
      <c r="N13" s="174">
        <v>721000</v>
      </c>
      <c r="O13" s="174">
        <v>569000</v>
      </c>
      <c r="P13" s="462"/>
      <c r="Q13" s="462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575">
        <f>2157000-64000</f>
        <v>2093000</v>
      </c>
      <c r="G14" s="174"/>
      <c r="H14" s="343">
        <v>1212331.36</v>
      </c>
      <c r="I14" s="405">
        <f t="shared" si="2"/>
        <v>0.5792314190157669</v>
      </c>
      <c r="J14" s="174">
        <f t="shared" si="3"/>
        <v>1212331.36</v>
      </c>
      <c r="K14" s="174">
        <v>1040373.01</v>
      </c>
      <c r="L14" s="174">
        <v>863195.87</v>
      </c>
      <c r="M14" s="174">
        <v>166397.23</v>
      </c>
      <c r="N14" s="174">
        <v>93000</v>
      </c>
      <c r="O14" s="174">
        <v>65000</v>
      </c>
      <c r="P14" s="462"/>
      <c r="Q14" s="462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700000</v>
      </c>
      <c r="G15" s="174"/>
      <c r="H15" s="343">
        <v>460231</v>
      </c>
      <c r="I15" s="405">
        <f t="shared" si="2"/>
        <v>0.6574728571428572</v>
      </c>
      <c r="J15" s="174">
        <f t="shared" si="3"/>
        <v>460231</v>
      </c>
      <c r="K15" s="174">
        <v>530569</v>
      </c>
      <c r="L15" s="174">
        <v>290616</v>
      </c>
      <c r="M15" s="174">
        <v>15700</v>
      </c>
      <c r="N15" s="174">
        <v>1000</v>
      </c>
      <c r="O15" s="174"/>
      <c r="P15" s="462"/>
      <c r="Q15" s="462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32">
        <v>3364861</v>
      </c>
      <c r="G16" s="174"/>
      <c r="H16" s="344">
        <v>3226979.99</v>
      </c>
      <c r="I16" s="405">
        <f t="shared" si="2"/>
        <v>0.959023267231544</v>
      </c>
      <c r="J16" s="550">
        <f>H16/12*12</f>
        <v>3226979.99</v>
      </c>
      <c r="K16" s="174">
        <v>1240748.93</v>
      </c>
      <c r="L16" s="174">
        <v>1677185.33</v>
      </c>
      <c r="M16" s="174">
        <v>1211742.87</v>
      </c>
      <c r="N16" s="174">
        <v>478000</v>
      </c>
      <c r="O16" s="174">
        <v>62000</v>
      </c>
      <c r="P16" s="462"/>
      <c r="Q16" s="462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1300000</v>
      </c>
      <c r="G17" s="192">
        <f>J17</f>
        <v>1500000</v>
      </c>
      <c r="H17" s="274">
        <v>1500000</v>
      </c>
      <c r="I17" s="406">
        <f>H17/G17</f>
        <v>1</v>
      </c>
      <c r="J17" s="187">
        <f>J29</f>
        <v>1500000</v>
      </c>
      <c r="K17" s="192">
        <v>1374000</v>
      </c>
      <c r="L17" s="192">
        <v>1280000</v>
      </c>
      <c r="M17" s="192">
        <v>1361768</v>
      </c>
      <c r="N17" s="192">
        <v>1296000</v>
      </c>
      <c r="O17" s="192"/>
      <c r="P17" s="461"/>
      <c r="Q17" s="461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>
        <v>120000</v>
      </c>
      <c r="G18" s="192">
        <f>J18</f>
        <v>81000</v>
      </c>
      <c r="H18" s="274">
        <v>81000</v>
      </c>
      <c r="I18" s="406">
        <f>H18/G18</f>
        <v>1</v>
      </c>
      <c r="J18" s="187">
        <f>J30</f>
        <v>81000</v>
      </c>
      <c r="K18" s="192">
        <v>140000</v>
      </c>
      <c r="L18" s="192">
        <v>148090</v>
      </c>
      <c r="M18" s="192">
        <v>160677.35</v>
      </c>
      <c r="N18" s="192">
        <v>89000</v>
      </c>
      <c r="O18" s="192"/>
      <c r="P18" s="461"/>
      <c r="Q18" s="461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1496000</v>
      </c>
      <c r="G19" s="192">
        <f>J19</f>
        <v>1391700</v>
      </c>
      <c r="H19" s="274">
        <v>1391700</v>
      </c>
      <c r="I19" s="406">
        <f>H19/G19</f>
        <v>1</v>
      </c>
      <c r="J19" s="187">
        <f>J31</f>
        <v>1391700</v>
      </c>
      <c r="K19" s="192">
        <v>2759831.97</v>
      </c>
      <c r="L19" s="192">
        <v>1750000</v>
      </c>
      <c r="M19" s="192">
        <v>510000</v>
      </c>
      <c r="N19" s="192">
        <v>2170000</v>
      </c>
      <c r="O19" s="192"/>
      <c r="P19" s="461"/>
      <c r="Q19" s="461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>
        <v>1070000</v>
      </c>
      <c r="G20" s="192">
        <f>J20</f>
        <v>1070000</v>
      </c>
      <c r="H20" s="274">
        <v>1070000</v>
      </c>
      <c r="I20" s="406">
        <f>H20/G20</f>
        <v>1</v>
      </c>
      <c r="J20" s="187">
        <f>J32</f>
        <v>1070000</v>
      </c>
      <c r="K20" s="192">
        <v>257000</v>
      </c>
      <c r="L20" s="192">
        <v>380000</v>
      </c>
      <c r="M20" s="192">
        <v>108000</v>
      </c>
      <c r="N20" s="192">
        <v>83000</v>
      </c>
      <c r="O20" s="192"/>
      <c r="P20" s="461"/>
      <c r="Q20" s="461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/>
      <c r="H21" s="274"/>
      <c r="I21" s="406"/>
      <c r="J21" s="187">
        <f>H21</f>
        <v>0</v>
      </c>
      <c r="K21" s="192"/>
      <c r="L21" s="192"/>
      <c r="M21" s="192"/>
      <c r="N21" s="192"/>
      <c r="O21" s="192"/>
      <c r="P21" s="461"/>
      <c r="Q21" s="461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2690000</v>
      </c>
      <c r="G22" s="192"/>
      <c r="H22" s="274">
        <v>2999227</v>
      </c>
      <c r="I22" s="406">
        <f>H22/J22</f>
        <v>1</v>
      </c>
      <c r="J22" s="187">
        <f>H22</f>
        <v>2999227</v>
      </c>
      <c r="K22" s="192">
        <v>2700609.3</v>
      </c>
      <c r="L22" s="192">
        <v>894638.8</v>
      </c>
      <c r="M22" s="192"/>
      <c r="N22" s="192">
        <v>100000</v>
      </c>
      <c r="O22" s="192"/>
      <c r="P22" s="461"/>
      <c r="Q22" s="461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331"/>
      <c r="G23" s="192"/>
      <c r="H23" s="274"/>
      <c r="I23" s="406"/>
      <c r="J23" s="187">
        <f>H23</f>
        <v>0</v>
      </c>
      <c r="K23" s="192"/>
      <c r="L23" s="192"/>
      <c r="M23" s="192"/>
      <c r="N23" s="192"/>
      <c r="O23" s="192"/>
      <c r="P23" s="461"/>
      <c r="Q23" s="461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/>
      <c r="G24" s="192"/>
      <c r="H24" s="274"/>
      <c r="I24" s="406"/>
      <c r="J24" s="187">
        <f>H24</f>
        <v>0</v>
      </c>
      <c r="K24" s="192">
        <v>417000</v>
      </c>
      <c r="L24" s="192">
        <v>223000</v>
      </c>
      <c r="M24" s="192">
        <v>274000</v>
      </c>
      <c r="N24" s="192">
        <v>93000</v>
      </c>
      <c r="O24" s="192"/>
      <c r="P24" s="461"/>
      <c r="Q24" s="461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/>
      <c r="G25" s="192"/>
      <c r="H25" s="274">
        <v>247113.19</v>
      </c>
      <c r="I25" s="406">
        <f>H25/J25</f>
        <v>1</v>
      </c>
      <c r="J25" s="187">
        <f>H25</f>
        <v>247113.19</v>
      </c>
      <c r="K25" s="192">
        <v>434484.1</v>
      </c>
      <c r="L25" s="192">
        <v>200000</v>
      </c>
      <c r="M25" s="192"/>
      <c r="N25" s="192"/>
      <c r="O25" s="192"/>
      <c r="P25" s="461"/>
      <c r="Q25" s="461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260000</v>
      </c>
      <c r="G26" s="192"/>
      <c r="H26" s="274">
        <v>1245703.51</v>
      </c>
      <c r="I26" s="406">
        <f>H26/F26</f>
        <v>4.791167346153846</v>
      </c>
      <c r="J26" s="187">
        <f>H26/12*12</f>
        <v>1245703.51</v>
      </c>
      <c r="K26" s="192">
        <v>367037.75</v>
      </c>
      <c r="L26" s="192">
        <v>584262.6</v>
      </c>
      <c r="M26" s="192">
        <v>161122.4</v>
      </c>
      <c r="N26" s="192">
        <v>307000</v>
      </c>
      <c r="O26" s="192"/>
      <c r="P26" s="461"/>
      <c r="Q26" s="461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76236000</v>
      </c>
      <c r="G27" s="221">
        <f>SUM(G28:G42)</f>
        <v>65011204</v>
      </c>
      <c r="H27" s="342">
        <f>SUM(H28:H42)</f>
        <v>77537971.25</v>
      </c>
      <c r="I27" s="403">
        <f>H27/F27</f>
        <v>1.0170781684506007</v>
      </c>
      <c r="J27" s="322">
        <f aca="true" t="shared" si="4" ref="J27:O27">SUM(J28:J42)</f>
        <v>77537971.25</v>
      </c>
      <c r="K27" s="221">
        <f t="shared" si="4"/>
        <v>68843696.51</v>
      </c>
      <c r="L27" s="221">
        <f t="shared" si="4"/>
        <v>59600444.3</v>
      </c>
      <c r="M27" s="221">
        <f t="shared" si="4"/>
        <v>44150576.35</v>
      </c>
      <c r="N27" s="221">
        <f t="shared" si="4"/>
        <v>34331000</v>
      </c>
      <c r="O27" s="221">
        <f t="shared" si="4"/>
        <v>15332000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576">
        <f>61722000-64000</f>
        <v>61658000</v>
      </c>
      <c r="G28" s="337">
        <f>41005000+18820000+846504</f>
        <v>60671504</v>
      </c>
      <c r="H28" s="345">
        <v>60671504</v>
      </c>
      <c r="I28" s="407">
        <f>H28/G28</f>
        <v>1</v>
      </c>
      <c r="J28" s="354">
        <f>G28</f>
        <v>60671504</v>
      </c>
      <c r="K28" s="337">
        <v>53330961</v>
      </c>
      <c r="L28" s="337">
        <v>45951672</v>
      </c>
      <c r="M28" s="337">
        <v>35079020</v>
      </c>
      <c r="N28" s="337">
        <v>27194000</v>
      </c>
      <c r="O28" s="337">
        <v>14901000</v>
      </c>
      <c r="P28" s="460"/>
      <c r="Q28" s="460"/>
      <c r="R28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1300000</v>
      </c>
      <c r="G29" s="338">
        <v>1500000</v>
      </c>
      <c r="H29" s="346">
        <v>1500000</v>
      </c>
      <c r="I29" s="407">
        <f>H29/G29</f>
        <v>1</v>
      </c>
      <c r="J29" s="354">
        <f aca="true" t="shared" si="5" ref="J29:J36">G29</f>
        <v>1500000</v>
      </c>
      <c r="K29" s="338">
        <v>1374000</v>
      </c>
      <c r="L29" s="338">
        <v>1280000</v>
      </c>
      <c r="M29" s="338">
        <v>1361768</v>
      </c>
      <c r="N29" s="338">
        <v>1296000</v>
      </c>
      <c r="O29" s="338"/>
      <c r="P29" s="461"/>
      <c r="Q29" s="461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>
        <v>120000</v>
      </c>
      <c r="G30" s="338">
        <f>(56+25)*1000</f>
        <v>81000</v>
      </c>
      <c r="H30" s="346">
        <v>81000</v>
      </c>
      <c r="I30" s="407">
        <f>H30/G30</f>
        <v>1</v>
      </c>
      <c r="J30" s="354">
        <f t="shared" si="5"/>
        <v>81000</v>
      </c>
      <c r="K30" s="338">
        <v>140000</v>
      </c>
      <c r="L30" s="338">
        <v>148090</v>
      </c>
      <c r="M30" s="338">
        <v>153000</v>
      </c>
      <c r="N30" s="338">
        <v>89000</v>
      </c>
      <c r="O30" s="338"/>
      <c r="P30" s="461"/>
      <c r="Q30" s="461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1496000</v>
      </c>
      <c r="G31" s="338">
        <v>1391700</v>
      </c>
      <c r="H31" s="346">
        <v>1391700</v>
      </c>
      <c r="I31" s="407">
        <f>H31/G31</f>
        <v>1</v>
      </c>
      <c r="J31" s="354">
        <f t="shared" si="5"/>
        <v>1391700</v>
      </c>
      <c r="K31" s="338">
        <v>2759831.97</v>
      </c>
      <c r="L31" s="338">
        <v>1750000</v>
      </c>
      <c r="M31" s="338">
        <v>510000.02</v>
      </c>
      <c r="N31" s="338">
        <v>2170000</v>
      </c>
      <c r="O31" s="338"/>
      <c r="P31" s="461"/>
      <c r="Q31" s="461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>
        <v>1070000</v>
      </c>
      <c r="G32" s="338">
        <f>(912+158)*1000</f>
        <v>1070000</v>
      </c>
      <c r="H32" s="346">
        <v>1070000</v>
      </c>
      <c r="I32" s="407">
        <f>H32/G32</f>
        <v>1</v>
      </c>
      <c r="J32" s="354">
        <f t="shared" si="5"/>
        <v>1070000</v>
      </c>
      <c r="K32" s="338">
        <v>257000</v>
      </c>
      <c r="L32" s="338">
        <v>380000</v>
      </c>
      <c r="M32" s="338">
        <v>108000</v>
      </c>
      <c r="N32" s="338">
        <v>83000</v>
      </c>
      <c r="O32" s="338"/>
      <c r="P32" s="461"/>
      <c r="Q32" s="461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338"/>
      <c r="H33" s="346"/>
      <c r="I33" s="407"/>
      <c r="J33" s="354">
        <f t="shared" si="5"/>
        <v>0</v>
      </c>
      <c r="K33" s="338"/>
      <c r="L33" s="338"/>
      <c r="M33" s="338"/>
      <c r="N33" s="338"/>
      <c r="O33" s="338"/>
      <c r="P33" s="461"/>
      <c r="Q33" s="461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338"/>
      <c r="H34" s="346"/>
      <c r="I34" s="407"/>
      <c r="J34" s="354">
        <f t="shared" si="5"/>
        <v>0</v>
      </c>
      <c r="K34" s="338"/>
      <c r="L34" s="338"/>
      <c r="M34" s="338"/>
      <c r="N34" s="338"/>
      <c r="O34" s="338"/>
      <c r="P34" s="461"/>
      <c r="Q34" s="461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2690000</v>
      </c>
      <c r="G35" s="338"/>
      <c r="H35" s="346">
        <v>2999227</v>
      </c>
      <c r="I35" s="407">
        <f>H35/F35</f>
        <v>1.1149542750929369</v>
      </c>
      <c r="J35" s="354">
        <f>H35</f>
        <v>2999227</v>
      </c>
      <c r="K35" s="338">
        <v>2661457.9</v>
      </c>
      <c r="L35" s="338">
        <v>894638.8</v>
      </c>
      <c r="M35" s="338"/>
      <c r="N35" s="338">
        <v>100000</v>
      </c>
      <c r="O35" s="338"/>
      <c r="P35" s="461"/>
      <c r="Q35" s="461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297000</v>
      </c>
      <c r="G36" s="338">
        <f>F36</f>
        <v>297000</v>
      </c>
      <c r="H36" s="346">
        <v>297000</v>
      </c>
      <c r="I36" s="407">
        <f>H36/G36</f>
        <v>1</v>
      </c>
      <c r="J36" s="354">
        <f t="shared" si="5"/>
        <v>297000</v>
      </c>
      <c r="K36" s="338">
        <v>249000</v>
      </c>
      <c r="L36" s="338">
        <v>223000</v>
      </c>
      <c r="M36" s="338">
        <v>109000</v>
      </c>
      <c r="N36" s="338">
        <v>62000</v>
      </c>
      <c r="O36" s="338"/>
      <c r="P36" s="461"/>
      <c r="Q36" s="461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333"/>
      <c r="G37" s="338"/>
      <c r="H37" s="346"/>
      <c r="I37" s="407"/>
      <c r="J37" s="355">
        <f>H37</f>
        <v>0</v>
      </c>
      <c r="K37" s="338"/>
      <c r="L37" s="338"/>
      <c r="M37" s="338"/>
      <c r="N37" s="338"/>
      <c r="O37" s="338"/>
      <c r="P37" s="461"/>
      <c r="Q37" s="461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/>
      <c r="G38" s="338"/>
      <c r="H38" s="346"/>
      <c r="I38" s="407"/>
      <c r="J38" s="355">
        <f>H38</f>
        <v>0</v>
      </c>
      <c r="K38" s="338">
        <v>417000</v>
      </c>
      <c r="L38" s="338">
        <v>223000</v>
      </c>
      <c r="M38" s="338">
        <v>274000</v>
      </c>
      <c r="N38" s="338">
        <v>93000</v>
      </c>
      <c r="O38" s="338"/>
      <c r="P38" s="461"/>
      <c r="Q38" s="461"/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/>
      <c r="G39" s="338"/>
      <c r="H39" s="346">
        <v>247113.19</v>
      </c>
      <c r="I39" s="407"/>
      <c r="J39" s="355">
        <f>H39</f>
        <v>247113.19</v>
      </c>
      <c r="K39" s="338">
        <v>300708.84</v>
      </c>
      <c r="L39" s="338">
        <v>200000</v>
      </c>
      <c r="M39" s="338"/>
      <c r="N39" s="338"/>
      <c r="O39" s="338"/>
      <c r="P39" s="461"/>
      <c r="Q39" s="461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6425000</v>
      </c>
      <c r="G40" s="338"/>
      <c r="H40" s="346">
        <v>7588803.78</v>
      </c>
      <c r="I40" s="407">
        <f>H40/F40</f>
        <v>1.1811367750972763</v>
      </c>
      <c r="J40" s="353">
        <f>(H40-H46)/12*12+H46</f>
        <v>7588803.780000001</v>
      </c>
      <c r="K40" s="338">
        <v>6405098.6</v>
      </c>
      <c r="L40" s="338">
        <v>7652398.01</v>
      </c>
      <c r="M40" s="338">
        <v>6152914.65</v>
      </c>
      <c r="N40" s="338">
        <v>2880000</v>
      </c>
      <c r="O40" s="338">
        <v>14000</v>
      </c>
      <c r="P40" s="461"/>
      <c r="Q40" s="461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700000</v>
      </c>
      <c r="G41" s="338"/>
      <c r="H41" s="346">
        <v>398200</v>
      </c>
      <c r="I41" s="407">
        <f>H41/F41</f>
        <v>0.5688571428571428</v>
      </c>
      <c r="J41" s="355">
        <f>H41</f>
        <v>398200</v>
      </c>
      <c r="K41" s="338">
        <v>451182</v>
      </c>
      <c r="L41" s="338">
        <v>190820</v>
      </c>
      <c r="M41" s="338">
        <v>50000</v>
      </c>
      <c r="N41" s="338"/>
      <c r="O41" s="338"/>
      <c r="P41" s="461"/>
      <c r="Q41" s="461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480000</v>
      </c>
      <c r="G42" s="338"/>
      <c r="H42" s="346">
        <v>1293423.28</v>
      </c>
      <c r="I42" s="407">
        <f>H42/F42</f>
        <v>2.6946318333333332</v>
      </c>
      <c r="J42" s="355">
        <f>H42/12*12</f>
        <v>1293423.28</v>
      </c>
      <c r="K42" s="338">
        <v>497456.2</v>
      </c>
      <c r="L42" s="338">
        <v>706825.49</v>
      </c>
      <c r="M42" s="338">
        <v>352873.68</v>
      </c>
      <c r="N42" s="338">
        <v>364000</v>
      </c>
      <c r="O42" s="338">
        <v>417000</v>
      </c>
      <c r="P42" s="461"/>
      <c r="Q42" s="461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1195000</v>
      </c>
      <c r="G43" s="227"/>
      <c r="H43" s="347">
        <v>40964129.93</v>
      </c>
      <c r="I43" s="408"/>
      <c r="J43" s="324">
        <f>J28+J33+J36+J40+J41+J42-J5-J26</f>
        <v>762454.9700000042</v>
      </c>
      <c r="K43" s="227"/>
      <c r="L43" s="227"/>
      <c r="M43" s="227">
        <f>M28+M33+M36+M40+M41+M42-M5-M26</f>
        <v>1334193.000000006</v>
      </c>
      <c r="N43" s="227">
        <f>N28+N33+N36+N40+N41+N42-N5-N26</f>
        <v>665000</v>
      </c>
      <c r="O43" s="227">
        <f>O28+O33+O36+O40+O41+O42-O5-O26</f>
        <v>44000</v>
      </c>
      <c r="P43" s="461"/>
      <c r="Q43" s="461"/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1195000</v>
      </c>
      <c r="G44" s="221"/>
      <c r="H44" s="342">
        <f>H27-H4</f>
        <v>762454.9699999988</v>
      </c>
      <c r="I44" s="409">
        <f>H44/F44</f>
        <v>0.6380376317991622</v>
      </c>
      <c r="J44" s="322">
        <f aca="true" t="shared" si="6" ref="J44:O44">J27-J4</f>
        <v>762454.9699999988</v>
      </c>
      <c r="K44" s="221">
        <f t="shared" si="6"/>
        <v>1548984.3200000077</v>
      </c>
      <c r="L44" s="221">
        <f t="shared" si="6"/>
        <v>1270896.0600000024</v>
      </c>
      <c r="M44" s="221">
        <f t="shared" si="6"/>
        <v>1326515.6700000092</v>
      </c>
      <c r="N44" s="221">
        <f t="shared" si="6"/>
        <v>665000</v>
      </c>
      <c r="O44" s="221">
        <f t="shared" si="6"/>
        <v>44000</v>
      </c>
    </row>
    <row r="45" spans="1:17" s="89" customFormat="1" ht="11.25">
      <c r="A45" s="543" t="s">
        <v>140</v>
      </c>
      <c r="B45" s="544"/>
      <c r="C45" s="544"/>
      <c r="D45" s="544"/>
      <c r="E45" s="90"/>
      <c r="F45" s="90"/>
      <c r="G45" s="90" t="s">
        <v>203</v>
      </c>
      <c r="H45" s="91">
        <v>638771.54</v>
      </c>
      <c r="I45" s="402"/>
      <c r="J45" s="90"/>
      <c r="K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2093000</v>
      </c>
      <c r="G46" s="91"/>
      <c r="H46" s="91"/>
      <c r="I46" s="400"/>
      <c r="J46" s="91"/>
      <c r="K46" s="90"/>
      <c r="P46" s="458"/>
      <c r="Q46" s="458"/>
    </row>
    <row r="47" spans="1:17" s="89" customFormat="1" ht="11.25">
      <c r="A47" s="142" t="s">
        <v>168</v>
      </c>
      <c r="B47" s="90"/>
      <c r="C47" s="90"/>
      <c r="D47" s="90"/>
      <c r="E47" s="90"/>
      <c r="F47" s="91">
        <v>1833000</v>
      </c>
      <c r="G47" s="91"/>
      <c r="H47" s="91"/>
      <c r="I47" s="400"/>
      <c r="J47" s="91"/>
      <c r="K47" s="91"/>
      <c r="N47" s="217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260000</v>
      </c>
      <c r="G48" s="91"/>
      <c r="H48" s="91"/>
      <c r="I48" s="400"/>
      <c r="J48" s="91"/>
      <c r="K48" s="91"/>
      <c r="P48" s="458"/>
      <c r="Q48" s="458"/>
    </row>
    <row r="49" spans="1:11" ht="12.75">
      <c r="A49" s="142" t="s">
        <v>144</v>
      </c>
      <c r="B49" s="90"/>
      <c r="C49" s="90"/>
      <c r="D49" s="90"/>
      <c r="E49" s="90"/>
      <c r="F49" s="91"/>
      <c r="G49" s="91"/>
      <c r="H49" s="91"/>
      <c r="I49" s="400"/>
      <c r="J49" s="91"/>
      <c r="K49" s="91"/>
    </row>
    <row r="50" spans="1:10" ht="12.75">
      <c r="A50" s="90" t="s">
        <v>170</v>
      </c>
      <c r="B50" s="90"/>
      <c r="C50" s="90"/>
      <c r="D50" s="90"/>
      <c r="E50" s="89"/>
      <c r="F50" s="91">
        <v>41005000</v>
      </c>
      <c r="G50" s="91"/>
      <c r="H50" s="91"/>
      <c r="I50" s="400"/>
      <c r="J50" s="91"/>
    </row>
    <row r="51" spans="1:10" ht="12.75">
      <c r="A51" s="90" t="s">
        <v>146</v>
      </c>
      <c r="B51" s="90"/>
      <c r="C51" s="90"/>
      <c r="D51" s="90"/>
      <c r="E51" s="89"/>
      <c r="F51" s="91">
        <v>18820000</v>
      </c>
      <c r="G51" s="91"/>
      <c r="H51" s="91"/>
      <c r="I51" s="400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1833000</v>
      </c>
      <c r="G52" s="211"/>
      <c r="H52" s="211"/>
      <c r="I52" s="401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61658000</v>
      </c>
      <c r="G53" s="91"/>
      <c r="H53" s="91"/>
      <c r="I53" s="400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00"/>
      <c r="J54" s="91"/>
    </row>
  </sheetData>
  <mergeCells count="1">
    <mergeCell ref="A1:D1"/>
  </mergeCells>
  <printOptions horizontalCentered="1"/>
  <pageMargins left="0.5905511811023623" right="0.31496062992125984" top="0.36" bottom="0.23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0"/>
  <dimension ref="A1:S58"/>
  <sheetViews>
    <sheetView workbookViewId="0" topLeftCell="A44">
      <selection activeCell="F62" sqref="F6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75390625" style="0" customWidth="1"/>
    <col min="5" max="5" width="3.75390625" style="0" customWidth="1"/>
    <col min="6" max="6" width="10.875" style="216" bestFit="1" customWidth="1"/>
    <col min="7" max="7" width="9.625" style="216" bestFit="1" customWidth="1"/>
    <col min="8" max="8" width="10.875" style="216" bestFit="1" customWidth="1"/>
    <col min="9" max="9" width="5.875" style="402" bestFit="1" customWidth="1"/>
    <col min="10" max="10" width="9.625" style="216" hidden="1" customWidth="1"/>
    <col min="11" max="12" width="9.625" style="89" bestFit="1" customWidth="1"/>
    <col min="13" max="15" width="9.25390625" style="89" bestFit="1" customWidth="1"/>
    <col min="16" max="16" width="7.375" style="460" customWidth="1"/>
    <col min="17" max="17" width="5.00390625" style="460" customWidth="1"/>
    <col min="18" max="18" width="7.375" style="0" customWidth="1"/>
    <col min="19" max="19" width="6.875" style="89" bestFit="1" customWidth="1"/>
  </cols>
  <sheetData>
    <row r="1" spans="1:18" ht="15.75">
      <c r="A1" s="613" t="s">
        <v>138</v>
      </c>
      <c r="B1" s="614"/>
      <c r="C1" s="614"/>
      <c r="D1" s="615"/>
      <c r="E1" s="242"/>
      <c r="F1" s="327" t="s">
        <v>172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51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hidden="1">
      <c r="A3" s="238"/>
      <c r="B3" s="137"/>
      <c r="C3" s="137"/>
      <c r="D3" s="138"/>
      <c r="E3" s="244"/>
      <c r="F3" s="329">
        <v>1</v>
      </c>
      <c r="G3" s="220" t="s">
        <v>200</v>
      </c>
      <c r="H3" s="341">
        <v>2</v>
      </c>
      <c r="I3" s="397" t="s">
        <v>201</v>
      </c>
      <c r="J3" s="321">
        <v>3</v>
      </c>
      <c r="K3" s="220">
        <v>4</v>
      </c>
      <c r="L3" s="220">
        <v>4</v>
      </c>
      <c r="M3" s="220">
        <v>5</v>
      </c>
      <c r="N3" s="220">
        <v>6</v>
      </c>
      <c r="O3" s="220">
        <v>7</v>
      </c>
      <c r="P3" s="460"/>
      <c r="Q3" s="460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145983000</v>
      </c>
      <c r="G4" s="221">
        <f>SUM(G6:G26)</f>
        <v>34031888.1</v>
      </c>
      <c r="H4" s="342">
        <f>SUM(H6:H26)</f>
        <v>148165913.49</v>
      </c>
      <c r="I4" s="403">
        <f>H4/F4</f>
        <v>1.0149532033866957</v>
      </c>
      <c r="J4" s="322">
        <f aca="true" t="shared" si="0" ref="J4:O4">SUM(J6:J26)</f>
        <v>148142267.38</v>
      </c>
      <c r="K4" s="221">
        <f t="shared" si="0"/>
        <v>138442828.69</v>
      </c>
      <c r="L4" s="221">
        <f t="shared" si="0"/>
        <v>111834078.62</v>
      </c>
      <c r="M4" s="221">
        <f t="shared" si="0"/>
        <v>88486234.92</v>
      </c>
      <c r="N4" s="221">
        <f t="shared" si="0"/>
        <v>71616000</v>
      </c>
      <c r="O4" s="221">
        <f t="shared" si="0"/>
        <v>57978000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110214000</v>
      </c>
      <c r="G5" s="192"/>
      <c r="H5" s="274">
        <f>SUM(H6:H16)</f>
        <v>107814607.72999999</v>
      </c>
      <c r="I5" s="404">
        <f>H5/F5</f>
        <v>0.9782296961366068</v>
      </c>
      <c r="J5" s="187">
        <f aca="true" t="shared" si="1" ref="J5:O5">SUM(J6:J16)</f>
        <v>107814607.72999999</v>
      </c>
      <c r="K5" s="192">
        <f t="shared" si="1"/>
        <v>101077210.64999999</v>
      </c>
      <c r="L5" s="192">
        <f t="shared" si="1"/>
        <v>91142538.57</v>
      </c>
      <c r="M5" s="192">
        <f t="shared" si="1"/>
        <v>69394277.05</v>
      </c>
      <c r="N5" s="192">
        <f t="shared" si="1"/>
        <v>57041000</v>
      </c>
      <c r="O5" s="192">
        <f t="shared" si="1"/>
        <v>49828000</v>
      </c>
      <c r="P5" s="461"/>
      <c r="Q5" s="461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55393000</v>
      </c>
      <c r="G6" s="174"/>
      <c r="H6" s="343">
        <v>55975438</v>
      </c>
      <c r="I6" s="405">
        <f>H6/F6</f>
        <v>1.0105146498655064</v>
      </c>
      <c r="J6" s="174">
        <f>H6/12*12</f>
        <v>55975438</v>
      </c>
      <c r="K6" s="174">
        <v>51373400</v>
      </c>
      <c r="L6" s="174">
        <v>44832119</v>
      </c>
      <c r="M6" s="174">
        <v>34763047</v>
      </c>
      <c r="N6" s="174">
        <v>28501000</v>
      </c>
      <c r="O6" s="174">
        <v>25319000</v>
      </c>
      <c r="P6" s="462"/>
      <c r="Q6" s="462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32">
        <v>2496000</v>
      </c>
      <c r="G7" s="174"/>
      <c r="H7" s="343">
        <v>2466369</v>
      </c>
      <c r="I7" s="405">
        <f aca="true" t="shared" si="2" ref="I7:I16">H7/F7</f>
        <v>0.9881286057692308</v>
      </c>
      <c r="J7" s="174">
        <f aca="true" t="shared" si="3" ref="J7:J15">H7/12*12</f>
        <v>2466369</v>
      </c>
      <c r="K7" s="174">
        <v>2522479</v>
      </c>
      <c r="L7" s="174">
        <v>1895485</v>
      </c>
      <c r="M7" s="174">
        <v>1650004</v>
      </c>
      <c r="N7" s="174">
        <v>1134000</v>
      </c>
      <c r="O7" s="174">
        <v>1058000</v>
      </c>
      <c r="P7" s="462"/>
      <c r="Q7" s="462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32">
        <v>19388000</v>
      </c>
      <c r="G8" s="174"/>
      <c r="H8" s="343">
        <v>20001109</v>
      </c>
      <c r="I8" s="405">
        <f t="shared" si="2"/>
        <v>1.0316231173922015</v>
      </c>
      <c r="J8" s="174">
        <f t="shared" si="3"/>
        <v>20001109</v>
      </c>
      <c r="K8" s="174">
        <v>18171093.56</v>
      </c>
      <c r="L8" s="174">
        <v>15888537</v>
      </c>
      <c r="M8" s="174">
        <v>12195715.7</v>
      </c>
      <c r="N8" s="174">
        <v>9941000</v>
      </c>
      <c r="O8" s="174">
        <v>8790000</v>
      </c>
      <c r="P8" s="462"/>
      <c r="Q8" s="462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32">
        <v>1500000</v>
      </c>
      <c r="G9" s="174"/>
      <c r="H9" s="343">
        <v>1466251.75</v>
      </c>
      <c r="I9" s="405">
        <f t="shared" si="2"/>
        <v>0.9775011666666666</v>
      </c>
      <c r="J9" s="174">
        <f t="shared" si="3"/>
        <v>1466251.75</v>
      </c>
      <c r="K9" s="174">
        <v>1369370.44</v>
      </c>
      <c r="L9" s="174">
        <v>1341812.8</v>
      </c>
      <c r="M9" s="174">
        <v>1411003.62</v>
      </c>
      <c r="N9" s="174">
        <v>1565000</v>
      </c>
      <c r="O9" s="174">
        <v>1643000</v>
      </c>
      <c r="P9" s="462"/>
      <c r="Q9" s="462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32">
        <v>850000</v>
      </c>
      <c r="G10" s="174"/>
      <c r="H10" s="343">
        <v>866162.25</v>
      </c>
      <c r="I10" s="405">
        <f t="shared" si="2"/>
        <v>1.019014411764706</v>
      </c>
      <c r="J10" s="174">
        <f t="shared" si="3"/>
        <v>866162.25</v>
      </c>
      <c r="K10" s="174">
        <v>540979.17</v>
      </c>
      <c r="L10" s="174">
        <v>407496.66</v>
      </c>
      <c r="M10" s="174">
        <v>266611.5</v>
      </c>
      <c r="N10" s="174">
        <v>269000</v>
      </c>
      <c r="O10" s="174">
        <v>317000</v>
      </c>
      <c r="P10" s="462"/>
      <c r="Q10" s="462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32">
        <v>7620000</v>
      </c>
      <c r="G11" s="174"/>
      <c r="H11" s="343">
        <v>6322128.53</v>
      </c>
      <c r="I11" s="405">
        <f t="shared" si="2"/>
        <v>0.829675660104987</v>
      </c>
      <c r="J11" s="174">
        <f t="shared" si="3"/>
        <v>6322128.53</v>
      </c>
      <c r="K11" s="174">
        <v>7438594.35</v>
      </c>
      <c r="L11" s="174">
        <v>8344854.51</v>
      </c>
      <c r="M11" s="174">
        <v>7103709.77</v>
      </c>
      <c r="N11" s="174">
        <v>5383000</v>
      </c>
      <c r="O11" s="174">
        <v>3861000</v>
      </c>
      <c r="P11" s="462"/>
      <c r="Q11" s="462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32">
        <v>9200000</v>
      </c>
      <c r="G12" s="174"/>
      <c r="H12" s="343">
        <v>7294962.02</v>
      </c>
      <c r="I12" s="405">
        <f t="shared" si="2"/>
        <v>0.7929306543478261</v>
      </c>
      <c r="J12" s="550">
        <f>H12/12*12</f>
        <v>7294962.02</v>
      </c>
      <c r="K12" s="174">
        <v>8541292.31</v>
      </c>
      <c r="L12" s="174">
        <v>8491515.45</v>
      </c>
      <c r="M12" s="174">
        <v>7609789.93</v>
      </c>
      <c r="N12" s="174">
        <v>5988000</v>
      </c>
      <c r="O12" s="174">
        <v>5305000</v>
      </c>
      <c r="P12" s="462"/>
      <c r="Q12" s="462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32">
        <v>1420000</v>
      </c>
      <c r="G13" s="174"/>
      <c r="H13" s="343">
        <v>1041331.88</v>
      </c>
      <c r="I13" s="405">
        <f t="shared" si="2"/>
        <v>0.733332309859155</v>
      </c>
      <c r="J13" s="174">
        <f t="shared" si="3"/>
        <v>1041331.8799999999</v>
      </c>
      <c r="K13" s="174">
        <v>940374.11</v>
      </c>
      <c r="L13" s="174">
        <v>934579.32</v>
      </c>
      <c r="M13" s="174">
        <v>782735.43</v>
      </c>
      <c r="N13" s="174">
        <v>495000</v>
      </c>
      <c r="O13" s="174">
        <v>527000</v>
      </c>
      <c r="P13" s="462"/>
      <c r="Q13" s="462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32">
        <v>5698000</v>
      </c>
      <c r="G14" s="174"/>
      <c r="H14" s="343">
        <v>6397327.84</v>
      </c>
      <c r="I14" s="405">
        <f t="shared" si="2"/>
        <v>1.1227321586521586</v>
      </c>
      <c r="J14" s="174">
        <f t="shared" si="3"/>
        <v>6397327.84</v>
      </c>
      <c r="K14" s="174">
        <v>5922786</v>
      </c>
      <c r="L14" s="174">
        <v>5597587.36</v>
      </c>
      <c r="M14" s="174">
        <v>1605892.11</v>
      </c>
      <c r="N14" s="174">
        <v>2565000</v>
      </c>
      <c r="O14" s="174">
        <v>2235000</v>
      </c>
      <c r="P14" s="462"/>
      <c r="Q14" s="462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32">
        <v>2100000</v>
      </c>
      <c r="G15" s="174"/>
      <c r="H15" s="343">
        <v>2605569.6</v>
      </c>
      <c r="I15" s="405">
        <f t="shared" si="2"/>
        <v>1.2407474285714286</v>
      </c>
      <c r="J15" s="174">
        <f t="shared" si="3"/>
        <v>2605569.6</v>
      </c>
      <c r="K15" s="174">
        <v>2080691.88</v>
      </c>
      <c r="L15" s="174">
        <v>1940016</v>
      </c>
      <c r="M15" s="174">
        <v>1035343</v>
      </c>
      <c r="N15" s="174">
        <v>675000</v>
      </c>
      <c r="O15" s="174">
        <v>586000</v>
      </c>
      <c r="P15" s="462"/>
      <c r="Q15" s="462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575">
        <v>4549000</v>
      </c>
      <c r="G16" s="174"/>
      <c r="H16" s="344">
        <v>3377957.86</v>
      </c>
      <c r="I16" s="405">
        <f t="shared" si="2"/>
        <v>0.7425715234117388</v>
      </c>
      <c r="J16" s="550">
        <f>H16/12*12</f>
        <v>3377957.8600000003</v>
      </c>
      <c r="K16" s="174">
        <v>2176149.83</v>
      </c>
      <c r="L16" s="174">
        <v>1468535.47</v>
      </c>
      <c r="M16" s="174">
        <v>970424.99</v>
      </c>
      <c r="N16" s="174">
        <v>525000</v>
      </c>
      <c r="O16" s="174">
        <v>187000</v>
      </c>
      <c r="P16" s="462"/>
      <c r="Q16" s="462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331">
        <v>6047000</v>
      </c>
      <c r="G17" s="192">
        <f>J17</f>
        <v>5746000</v>
      </c>
      <c r="H17" s="274">
        <v>5746000</v>
      </c>
      <c r="I17" s="406">
        <f>H17/G17</f>
        <v>1</v>
      </c>
      <c r="J17" s="187">
        <f>J29</f>
        <v>5746000</v>
      </c>
      <c r="K17" s="192">
        <v>6047500</v>
      </c>
      <c r="L17" s="192">
        <v>6060000</v>
      </c>
      <c r="M17" s="192">
        <v>4575000</v>
      </c>
      <c r="N17" s="192">
        <v>3294000</v>
      </c>
      <c r="O17" s="192">
        <v>2130000</v>
      </c>
      <c r="P17" s="461"/>
      <c r="Q17" s="461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331">
        <v>323000</v>
      </c>
      <c r="G18" s="192">
        <f aca="true" t="shared" si="4" ref="G18:G24">J18</f>
        <v>500000</v>
      </c>
      <c r="H18" s="274">
        <v>500000</v>
      </c>
      <c r="I18" s="406">
        <f aca="true" t="shared" si="5" ref="I18:I24">H18/G18</f>
        <v>1</v>
      </c>
      <c r="J18" s="187">
        <f>J30</f>
        <v>500000</v>
      </c>
      <c r="K18" s="192">
        <v>323000</v>
      </c>
      <c r="L18" s="192">
        <v>403147</v>
      </c>
      <c r="M18" s="192">
        <v>420000</v>
      </c>
      <c r="N18" s="192">
        <v>485000</v>
      </c>
      <c r="O18" s="192">
        <v>525000</v>
      </c>
      <c r="P18" s="461"/>
      <c r="Q18" s="461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331">
        <v>980000</v>
      </c>
      <c r="G19" s="192">
        <f t="shared" si="4"/>
        <v>2862000</v>
      </c>
      <c r="H19" s="274">
        <v>2862000</v>
      </c>
      <c r="I19" s="406">
        <f t="shared" si="5"/>
        <v>1</v>
      </c>
      <c r="J19" s="187">
        <f>J31</f>
        <v>2862000</v>
      </c>
      <c r="K19" s="192">
        <v>4212152</v>
      </c>
      <c r="L19" s="192">
        <v>2153000</v>
      </c>
      <c r="M19" s="192">
        <v>1144950</v>
      </c>
      <c r="N19" s="192">
        <v>2642000</v>
      </c>
      <c r="O19" s="192"/>
      <c r="P19" s="461"/>
      <c r="Q19" s="461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331"/>
      <c r="G20" s="192">
        <f t="shared" si="4"/>
        <v>0</v>
      </c>
      <c r="H20" s="274"/>
      <c r="I20" s="406"/>
      <c r="J20" s="187">
        <f>J32</f>
        <v>0</v>
      </c>
      <c r="K20" s="192"/>
      <c r="L20" s="192"/>
      <c r="M20" s="192">
        <v>365000</v>
      </c>
      <c r="N20" s="192">
        <v>162000</v>
      </c>
      <c r="O20" s="192">
        <v>564000</v>
      </c>
      <c r="P20" s="461"/>
      <c r="Q20" s="461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331"/>
      <c r="G21" s="192">
        <f t="shared" si="4"/>
        <v>249824</v>
      </c>
      <c r="H21" s="274">
        <v>249824</v>
      </c>
      <c r="I21" s="406">
        <f t="shared" si="5"/>
        <v>1</v>
      </c>
      <c r="J21" s="187">
        <f>H21</f>
        <v>249824</v>
      </c>
      <c r="K21" s="192">
        <v>240406.58</v>
      </c>
      <c r="L21" s="192"/>
      <c r="M21" s="192"/>
      <c r="N21" s="192"/>
      <c r="O21" s="192"/>
      <c r="P21" s="461"/>
      <c r="Q21" s="461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331">
        <v>1500000</v>
      </c>
      <c r="G22" s="192">
        <f t="shared" si="4"/>
        <v>1718064.1</v>
      </c>
      <c r="H22" s="274">
        <v>1718064.1</v>
      </c>
      <c r="I22" s="406">
        <f>H22/F22</f>
        <v>1.1453760666666668</v>
      </c>
      <c r="J22" s="187">
        <f>H22</f>
        <v>1718064.1</v>
      </c>
      <c r="K22" s="192">
        <v>1584436.58</v>
      </c>
      <c r="L22" s="192">
        <v>490447.23</v>
      </c>
      <c r="M22" s="192">
        <v>458103.18</v>
      </c>
      <c r="N22" s="192">
        <v>101000</v>
      </c>
      <c r="O22" s="192"/>
      <c r="P22" s="461"/>
      <c r="Q22" s="461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576">
        <f>F37</f>
        <v>0</v>
      </c>
      <c r="G23" s="192">
        <f t="shared" si="4"/>
        <v>884000</v>
      </c>
      <c r="H23" s="274">
        <v>884000</v>
      </c>
      <c r="I23" s="406">
        <f t="shared" si="5"/>
        <v>1</v>
      </c>
      <c r="J23" s="187">
        <f>H23</f>
        <v>884000</v>
      </c>
      <c r="K23" s="192">
        <v>904000</v>
      </c>
      <c r="L23" s="192">
        <v>1786000</v>
      </c>
      <c r="M23" s="192">
        <v>1756000.34</v>
      </c>
      <c r="N23" s="192">
        <v>1631000</v>
      </c>
      <c r="O23" s="192">
        <v>1533000</v>
      </c>
      <c r="P23" s="461"/>
      <c r="Q23" s="461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331">
        <v>22146000</v>
      </c>
      <c r="G24" s="192">
        <f t="shared" si="4"/>
        <v>22072000</v>
      </c>
      <c r="H24" s="274">
        <v>22095646.11</v>
      </c>
      <c r="I24" s="406">
        <f t="shared" si="5"/>
        <v>1.0010713170532801</v>
      </c>
      <c r="J24" s="187">
        <f>J38</f>
        <v>22072000</v>
      </c>
      <c r="K24" s="192">
        <v>19824615.85</v>
      </c>
      <c r="L24" s="192">
        <v>3902702</v>
      </c>
      <c r="M24" s="192">
        <v>5272000</v>
      </c>
      <c r="N24" s="192">
        <v>2452000</v>
      </c>
      <c r="O24" s="192">
        <v>1051000</v>
      </c>
      <c r="P24" s="461"/>
      <c r="Q24" s="461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331">
        <v>458000</v>
      </c>
      <c r="G25" s="192"/>
      <c r="H25" s="274">
        <v>417739</v>
      </c>
      <c r="I25" s="406">
        <f>H25/J25</f>
        <v>1</v>
      </c>
      <c r="J25" s="187">
        <f>H25</f>
        <v>417739</v>
      </c>
      <c r="K25" s="192">
        <v>255000</v>
      </c>
      <c r="L25" s="192">
        <v>294000</v>
      </c>
      <c r="M25" s="192">
        <v>226000</v>
      </c>
      <c r="N25" s="192">
        <v>38000</v>
      </c>
      <c r="O25" s="192">
        <v>28000</v>
      </c>
      <c r="P25" s="461"/>
      <c r="Q25" s="461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331">
        <v>4315000</v>
      </c>
      <c r="G26" s="192"/>
      <c r="H26" s="274">
        <v>5878032.55</v>
      </c>
      <c r="I26" s="406">
        <f>H26/F26</f>
        <v>1.3622323406720742</v>
      </c>
      <c r="J26" s="187">
        <f>H26/12*12</f>
        <v>5878032.55</v>
      </c>
      <c r="K26" s="192">
        <v>3974507.03</v>
      </c>
      <c r="L26" s="192">
        <v>5602243.82</v>
      </c>
      <c r="M26" s="192">
        <v>4874904.35</v>
      </c>
      <c r="N26" s="192">
        <v>3770000</v>
      </c>
      <c r="O26" s="192">
        <v>2319000</v>
      </c>
      <c r="P26" s="461"/>
      <c r="Q26" s="461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330">
        <f>SUM(F28:F42)</f>
        <v>148101000</v>
      </c>
      <c r="G27" s="221">
        <f>SUM(G28:G42)</f>
        <v>122750703</v>
      </c>
      <c r="H27" s="342">
        <f>SUM(H28:H42)</f>
        <v>149923996.10999998</v>
      </c>
      <c r="I27" s="403">
        <f>H27/F27</f>
        <v>1.0123091411266634</v>
      </c>
      <c r="J27" s="322">
        <f aca="true" t="shared" si="6" ref="J27:O27">SUM(J28:J42)</f>
        <v>149971526</v>
      </c>
      <c r="K27" s="221">
        <f t="shared" si="6"/>
        <v>141538681.56</v>
      </c>
      <c r="L27" s="221">
        <f t="shared" si="6"/>
        <v>114308834.1</v>
      </c>
      <c r="M27" s="221">
        <f t="shared" si="6"/>
        <v>90750872.26</v>
      </c>
      <c r="N27" s="221">
        <f t="shared" si="6"/>
        <v>73129000</v>
      </c>
      <c r="O27" s="221">
        <f t="shared" si="6"/>
        <v>58964000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576">
        <v>85161000</v>
      </c>
      <c r="G28" s="548">
        <f>83932000+58000+1667703</f>
        <v>85657703</v>
      </c>
      <c r="H28" s="345">
        <v>85657703</v>
      </c>
      <c r="I28" s="407">
        <f>H28/G28</f>
        <v>1</v>
      </c>
      <c r="J28" s="354">
        <f>G28</f>
        <v>85657703</v>
      </c>
      <c r="K28" s="337">
        <v>79854911</v>
      </c>
      <c r="L28" s="337">
        <v>74222049</v>
      </c>
      <c r="M28" s="337">
        <v>53976000</v>
      </c>
      <c r="N28" s="337">
        <v>46919000</v>
      </c>
      <c r="O28" s="337">
        <v>40280000</v>
      </c>
      <c r="P28" s="467"/>
      <c r="Q28" s="467"/>
      <c r="R28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333">
        <v>6047000</v>
      </c>
      <c r="G29" s="546">
        <v>5746000</v>
      </c>
      <c r="H29" s="346">
        <v>5746000</v>
      </c>
      <c r="I29" s="407">
        <f>H29/G29</f>
        <v>1</v>
      </c>
      <c r="J29" s="354">
        <f aca="true" t="shared" si="7" ref="J29:J38">G29</f>
        <v>5746000</v>
      </c>
      <c r="K29" s="338">
        <v>6047500</v>
      </c>
      <c r="L29" s="338">
        <v>6060000</v>
      </c>
      <c r="M29" s="338">
        <v>4575000</v>
      </c>
      <c r="N29" s="338">
        <v>3294000</v>
      </c>
      <c r="O29" s="338">
        <v>2130000</v>
      </c>
      <c r="P29" s="467"/>
      <c r="Q29" s="467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333">
        <v>323000</v>
      </c>
      <c r="G30" s="546">
        <v>500000</v>
      </c>
      <c r="H30" s="346">
        <v>500000</v>
      </c>
      <c r="I30" s="407">
        <f>H30/G30</f>
        <v>1</v>
      </c>
      <c r="J30" s="354">
        <f t="shared" si="7"/>
        <v>500000</v>
      </c>
      <c r="K30" s="338">
        <v>323000</v>
      </c>
      <c r="L30" s="338">
        <v>403147</v>
      </c>
      <c r="M30" s="338">
        <v>420000</v>
      </c>
      <c r="N30" s="338">
        <v>485000</v>
      </c>
      <c r="O30" s="338">
        <v>525000</v>
      </c>
      <c r="P30" s="467"/>
      <c r="Q30" s="467"/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333">
        <v>980000</v>
      </c>
      <c r="G31" s="546">
        <v>2862000</v>
      </c>
      <c r="H31" s="346">
        <v>2862000</v>
      </c>
      <c r="I31" s="407">
        <f>H31/G31</f>
        <v>1</v>
      </c>
      <c r="J31" s="354">
        <f t="shared" si="7"/>
        <v>2862000</v>
      </c>
      <c r="K31" s="338">
        <v>4212152</v>
      </c>
      <c r="L31" s="338">
        <v>2153000</v>
      </c>
      <c r="M31" s="338">
        <v>1144950</v>
      </c>
      <c r="N31" s="338">
        <v>2642000</v>
      </c>
      <c r="O31" s="338">
        <v>100000</v>
      </c>
      <c r="P31" s="467"/>
      <c r="Q31" s="467"/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333"/>
      <c r="G32" s="546"/>
      <c r="H32" s="346"/>
      <c r="I32" s="407"/>
      <c r="J32" s="354">
        <f t="shared" si="7"/>
        <v>0</v>
      </c>
      <c r="K32" s="338"/>
      <c r="L32" s="338"/>
      <c r="M32" s="338">
        <v>365000</v>
      </c>
      <c r="N32" s="338">
        <v>162000</v>
      </c>
      <c r="O32" s="338">
        <v>564000</v>
      </c>
      <c r="P32" s="467"/>
      <c r="Q32" s="467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333"/>
      <c r="G33" s="546"/>
      <c r="H33" s="346"/>
      <c r="I33" s="407"/>
      <c r="J33" s="354">
        <f t="shared" si="7"/>
        <v>0</v>
      </c>
      <c r="K33" s="338"/>
      <c r="L33" s="338"/>
      <c r="M33" s="338"/>
      <c r="N33" s="338"/>
      <c r="O33" s="338"/>
      <c r="P33" s="467"/>
      <c r="Q33" s="467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333"/>
      <c r="G34" s="546">
        <v>321000</v>
      </c>
      <c r="H34" s="346">
        <v>249824</v>
      </c>
      <c r="I34" s="407">
        <f>H34/J34</f>
        <v>0.7782679127725857</v>
      </c>
      <c r="J34" s="354">
        <f t="shared" si="7"/>
        <v>321000</v>
      </c>
      <c r="K34" s="338">
        <v>240406.58</v>
      </c>
      <c r="L34" s="338"/>
      <c r="M34" s="338"/>
      <c r="N34" s="338"/>
      <c r="O34" s="338"/>
      <c r="P34" s="467"/>
      <c r="Q34" s="467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333">
        <v>1500000</v>
      </c>
      <c r="G35" s="546"/>
      <c r="H35" s="346">
        <v>1693358.44</v>
      </c>
      <c r="I35" s="407">
        <f>H35/F35</f>
        <v>1.1289056266666666</v>
      </c>
      <c r="J35" s="354">
        <f>H35</f>
        <v>1693358.44</v>
      </c>
      <c r="K35" s="338">
        <v>1584436.58</v>
      </c>
      <c r="L35" s="338">
        <v>497740.7</v>
      </c>
      <c r="M35" s="338">
        <v>475230.92</v>
      </c>
      <c r="N35" s="338">
        <v>101000</v>
      </c>
      <c r="O35" s="338"/>
      <c r="P35" s="467"/>
      <c r="Q35" s="467"/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333">
        <v>4708000</v>
      </c>
      <c r="G36" s="546">
        <f>F36</f>
        <v>4708000</v>
      </c>
      <c r="H36" s="346">
        <v>4708000</v>
      </c>
      <c r="I36" s="407">
        <f>H36/G36</f>
        <v>1</v>
      </c>
      <c r="J36" s="354">
        <f t="shared" si="7"/>
        <v>4708000</v>
      </c>
      <c r="K36" s="338">
        <v>3173000</v>
      </c>
      <c r="L36" s="338">
        <v>3064000</v>
      </c>
      <c r="M36" s="338">
        <v>1981000</v>
      </c>
      <c r="N36" s="338">
        <v>1233000</v>
      </c>
      <c r="O36" s="338">
        <v>825000</v>
      </c>
      <c r="P36" s="467"/>
      <c r="Q36" s="467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577">
        <v>0</v>
      </c>
      <c r="G37" s="546">
        <v>884000</v>
      </c>
      <c r="H37" s="346">
        <v>884000</v>
      </c>
      <c r="I37" s="407">
        <f>H37/G37</f>
        <v>1</v>
      </c>
      <c r="J37" s="354">
        <f t="shared" si="7"/>
        <v>884000</v>
      </c>
      <c r="K37" s="338">
        <v>904000</v>
      </c>
      <c r="L37" s="338">
        <v>1786000</v>
      </c>
      <c r="M37" s="338">
        <v>1756000.34</v>
      </c>
      <c r="N37" s="338">
        <v>1631000</v>
      </c>
      <c r="O37" s="338">
        <v>1533000</v>
      </c>
      <c r="P37" s="467"/>
      <c r="Q37" s="467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333">
        <v>22146000</v>
      </c>
      <c r="G38" s="546">
        <f>(16783+2789+2500)*1000</f>
        <v>22072000</v>
      </c>
      <c r="H38" s="346">
        <v>22095646.11</v>
      </c>
      <c r="I38" s="407">
        <f>H38/G38</f>
        <v>1.0010713170532801</v>
      </c>
      <c r="J38" s="354">
        <f t="shared" si="7"/>
        <v>22072000</v>
      </c>
      <c r="K38" s="338">
        <v>19824615.85</v>
      </c>
      <c r="L38" s="338">
        <v>3902702</v>
      </c>
      <c r="M38" s="338">
        <v>5272000</v>
      </c>
      <c r="N38" s="338">
        <v>2452000</v>
      </c>
      <c r="O38" s="338">
        <v>1051000</v>
      </c>
      <c r="P38" s="467">
        <v>40800</v>
      </c>
      <c r="Q38" s="467">
        <v>0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333">
        <v>459000</v>
      </c>
      <c r="G39" s="338"/>
      <c r="H39" s="346">
        <v>417739</v>
      </c>
      <c r="I39" s="407">
        <f>H39/F39</f>
        <v>0.9101067538126362</v>
      </c>
      <c r="J39" s="355">
        <f>H39</f>
        <v>417739</v>
      </c>
      <c r="K39" s="338">
        <v>255000</v>
      </c>
      <c r="L39" s="338">
        <v>294000</v>
      </c>
      <c r="M39" s="338">
        <v>226000</v>
      </c>
      <c r="N39" s="338">
        <v>38000</v>
      </c>
      <c r="O39" s="338">
        <v>28000</v>
      </c>
      <c r="P39" s="467"/>
      <c r="Q39" s="467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333">
        <v>20700000</v>
      </c>
      <c r="G40" s="338"/>
      <c r="H40" s="346">
        <v>17134257.3</v>
      </c>
      <c r="I40" s="407">
        <f>H40/F40</f>
        <v>0.8277418985507247</v>
      </c>
      <c r="J40" s="353">
        <f>(H40-H46)/12*12+H46</f>
        <v>17134257.3</v>
      </c>
      <c r="K40" s="338">
        <v>19230623.84</v>
      </c>
      <c r="L40" s="338">
        <v>15743743.41</v>
      </c>
      <c r="M40" s="338">
        <v>14811458.6</v>
      </c>
      <c r="N40" s="338">
        <v>9408000</v>
      </c>
      <c r="O40" s="338">
        <v>8535000</v>
      </c>
      <c r="P40" s="467"/>
      <c r="Q40" s="467"/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333">
        <v>1000000</v>
      </c>
      <c r="G41" s="338"/>
      <c r="H41" s="346">
        <v>923600</v>
      </c>
      <c r="I41" s="407">
        <f>H41/F41</f>
        <v>0.9236</v>
      </c>
      <c r="J41" s="355">
        <f>H41</f>
        <v>923600</v>
      </c>
      <c r="K41" s="338">
        <v>751950</v>
      </c>
      <c r="L41" s="338"/>
      <c r="M41" s="338">
        <v>300650</v>
      </c>
      <c r="N41" s="338">
        <v>305000</v>
      </c>
      <c r="O41" s="338"/>
      <c r="P41" s="467"/>
      <c r="Q41" s="467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333">
        <v>5077000</v>
      </c>
      <c r="G42" s="338"/>
      <c r="H42" s="346">
        <v>7051868.26</v>
      </c>
      <c r="I42" s="407">
        <f>H42/F42</f>
        <v>1.3889833090407722</v>
      </c>
      <c r="J42" s="355">
        <f>H42/12*12</f>
        <v>7051868.26</v>
      </c>
      <c r="K42" s="338">
        <v>5137085.71</v>
      </c>
      <c r="L42" s="338">
        <v>6182451.99</v>
      </c>
      <c r="M42" s="338">
        <v>5447582.4</v>
      </c>
      <c r="N42" s="338">
        <v>4459000</v>
      </c>
      <c r="O42" s="338">
        <v>3393000</v>
      </c>
      <c r="P42" s="467"/>
      <c r="Q42" s="467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>
        <f>F28+F33+F36+F40+F41+F42-F5-F26</f>
        <v>2117000</v>
      </c>
      <c r="G43" s="227"/>
      <c r="H43" s="347">
        <v>40964129.93</v>
      </c>
      <c r="I43" s="408"/>
      <c r="J43" s="324">
        <f>J28+J33+J36+J40+J41+J42-J5-J26</f>
        <v>1782788.2800000133</v>
      </c>
      <c r="K43" s="227"/>
      <c r="L43" s="227"/>
      <c r="M43" s="227">
        <f>M28+M33+M36+M40+M41+M42-M5-M26</f>
        <v>2247509.6000000034</v>
      </c>
      <c r="N43" s="227">
        <f>N28+N33+N36+N40+N41+N42-N5-N26</f>
        <v>1513000</v>
      </c>
      <c r="O43" s="227">
        <f>O28+O33+O36+O40+O41+O42-O5-O26</f>
        <v>886000</v>
      </c>
      <c r="P43" s="467"/>
      <c r="Q43" s="467"/>
      <c r="S43" s="89"/>
    </row>
    <row r="44" spans="1:17" ht="12.75">
      <c r="A44" s="239" t="s">
        <v>165</v>
      </c>
      <c r="B44" s="171"/>
      <c r="C44" s="171"/>
      <c r="D44" s="171"/>
      <c r="E44" s="245">
        <v>40</v>
      </c>
      <c r="F44" s="330">
        <f>F27-F4</f>
        <v>2118000</v>
      </c>
      <c r="G44" s="221"/>
      <c r="H44" s="342">
        <f>H27-H4</f>
        <v>1758082.619999975</v>
      </c>
      <c r="I44" s="409">
        <f>H44/F44</f>
        <v>0.8300673371104698</v>
      </c>
      <c r="J44" s="322">
        <f aca="true" t="shared" si="8" ref="J44:O44">J27-J4</f>
        <v>1829258.6200000048</v>
      </c>
      <c r="K44" s="221">
        <f t="shared" si="8"/>
        <v>3095852.870000005</v>
      </c>
      <c r="L44" s="221">
        <f t="shared" si="8"/>
        <v>2474755.4799999893</v>
      </c>
      <c r="M44" s="221">
        <f t="shared" si="8"/>
        <v>2264637.3400000036</v>
      </c>
      <c r="N44" s="221">
        <f t="shared" si="8"/>
        <v>1513000</v>
      </c>
      <c r="O44" s="221">
        <f t="shared" si="8"/>
        <v>986000</v>
      </c>
      <c r="P44" s="467"/>
      <c r="Q44" s="467"/>
    </row>
    <row r="45" spans="1:17" s="89" customFormat="1" ht="11.25">
      <c r="A45" s="89" t="s">
        <v>177</v>
      </c>
      <c r="B45" s="90"/>
      <c r="C45" s="90"/>
      <c r="D45" s="90"/>
      <c r="E45" s="90"/>
      <c r="F45" s="90"/>
      <c r="G45" s="90" t="s">
        <v>203</v>
      </c>
      <c r="H45" s="91">
        <v>2608797.13</v>
      </c>
      <c r="I45" s="399"/>
      <c r="J45" s="90"/>
      <c r="K45" s="90"/>
      <c r="P45" s="458"/>
      <c r="Q45" s="458"/>
    </row>
    <row r="46" spans="1:17" s="89" customFormat="1" ht="11.25" customHeight="1">
      <c r="A46" s="210" t="s">
        <v>141</v>
      </c>
      <c r="B46" s="90"/>
      <c r="C46" s="90"/>
      <c r="D46" s="90"/>
      <c r="E46" s="90"/>
      <c r="F46" s="91">
        <f>SUM(F47:F48)</f>
        <v>5698000</v>
      </c>
      <c r="G46" s="91"/>
      <c r="H46" s="91"/>
      <c r="I46" s="400"/>
      <c r="J46" s="91"/>
      <c r="K46" s="90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v>1229000</v>
      </c>
      <c r="G47" s="91"/>
      <c r="H47" s="91"/>
      <c r="I47" s="400"/>
      <c r="J47" s="91"/>
      <c r="K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v>4469000</v>
      </c>
      <c r="G48" s="91"/>
      <c r="H48" s="91"/>
      <c r="I48" s="400"/>
      <c r="J48" s="91"/>
      <c r="K48" s="91"/>
      <c r="P48" s="458"/>
      <c r="Q48" s="458"/>
    </row>
    <row r="49" spans="1:17" s="89" customFormat="1" ht="11.25">
      <c r="A49" s="142" t="s">
        <v>144</v>
      </c>
      <c r="B49" s="90"/>
      <c r="C49" s="90"/>
      <c r="D49" s="90"/>
      <c r="E49" s="90"/>
      <c r="F49" s="91"/>
      <c r="G49" s="91"/>
      <c r="H49" s="91"/>
      <c r="I49" s="400"/>
      <c r="J49" s="91"/>
      <c r="K49" s="91"/>
      <c r="P49" s="458"/>
      <c r="Q49" s="458"/>
    </row>
    <row r="50" spans="1:17" s="89" customFormat="1" ht="11.25">
      <c r="A50" s="90" t="s">
        <v>170</v>
      </c>
      <c r="B50" s="90"/>
      <c r="C50" s="90"/>
      <c r="D50" s="90"/>
      <c r="F50" s="91">
        <v>83932000</v>
      </c>
      <c r="G50" s="91"/>
      <c r="H50" s="91"/>
      <c r="I50" s="400"/>
      <c r="J50" s="91"/>
      <c r="P50" s="458"/>
      <c r="Q50" s="458"/>
    </row>
    <row r="51" spans="1:17" s="89" customFormat="1" ht="11.25">
      <c r="A51" s="90" t="s">
        <v>146</v>
      </c>
      <c r="B51" s="90"/>
      <c r="C51" s="90"/>
      <c r="D51" s="90"/>
      <c r="F51" s="91"/>
      <c r="G51" s="91"/>
      <c r="H51" s="91"/>
      <c r="I51" s="400"/>
      <c r="J51" s="91"/>
      <c r="P51" s="458"/>
      <c r="Q51" s="458"/>
    </row>
    <row r="52" spans="1:17" s="89" customFormat="1" ht="11.25">
      <c r="A52" s="90" t="s">
        <v>171</v>
      </c>
      <c r="B52" s="90"/>
      <c r="C52" s="90"/>
      <c r="D52" s="90"/>
      <c r="F52" s="233">
        <f>F47</f>
        <v>1229000</v>
      </c>
      <c r="G52" s="211"/>
      <c r="H52" s="211"/>
      <c r="I52" s="401"/>
      <c r="J52" s="211"/>
      <c r="P52" s="458"/>
      <c r="Q52" s="458"/>
    </row>
    <row r="53" spans="1:17" s="89" customFormat="1" ht="11.25">
      <c r="A53" s="90" t="s">
        <v>169</v>
      </c>
      <c r="B53" s="90"/>
      <c r="C53" s="90"/>
      <c r="D53" s="90"/>
      <c r="F53" s="91">
        <f>SUM(F50:F52)</f>
        <v>85161000</v>
      </c>
      <c r="G53" s="91"/>
      <c r="H53" s="91"/>
      <c r="I53" s="400"/>
      <c r="J53" s="91"/>
      <c r="P53" s="458"/>
      <c r="Q53" s="458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400"/>
      <c r="J54" s="91"/>
    </row>
    <row r="55" spans="1:10" ht="12.75" hidden="1">
      <c r="A55" s="5"/>
      <c r="F55" s="91"/>
      <c r="G55" s="91"/>
      <c r="H55" s="91"/>
      <c r="I55" s="400"/>
      <c r="J55" s="91"/>
    </row>
    <row r="56" ht="12.75" hidden="1">
      <c r="A56" s="315" t="s">
        <v>186</v>
      </c>
    </row>
    <row r="57" spans="1:11" ht="12.75" hidden="1">
      <c r="A57" s="315" t="s">
        <v>188</v>
      </c>
      <c r="F57" s="315">
        <f>-0.94</f>
        <v>-0.94</v>
      </c>
      <c r="G57" s="315"/>
      <c r="H57" s="315"/>
      <c r="I57" s="417"/>
      <c r="J57" s="315"/>
      <c r="K57" s="231" t="s">
        <v>187</v>
      </c>
    </row>
    <row r="58" ht="12.75" hidden="1">
      <c r="A58" s="315" t="s">
        <v>184</v>
      </c>
    </row>
  </sheetData>
  <mergeCells count="1">
    <mergeCell ref="A1:D1"/>
  </mergeCells>
  <printOptions horizontalCentered="1"/>
  <pageMargins left="0.51" right="0.31496062992125984" top="0.37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4">
    <tabColor indexed="43"/>
  </sheetPr>
  <dimension ref="A1:I53"/>
  <sheetViews>
    <sheetView workbookViewId="0" topLeftCell="A1">
      <selection activeCell="J1" sqref="J1:M16384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30.00390625" style="5" customWidth="1"/>
    <col min="5" max="5" width="3.75390625" style="5" customWidth="1"/>
    <col min="6" max="7" width="11.875" style="5" customWidth="1"/>
    <col min="8" max="8" width="11.875" style="305" customWidth="1"/>
    <col min="9" max="9" width="4.00390625" style="5" customWidth="1"/>
    <col min="10" max="16384" width="9.125" style="5" customWidth="1"/>
  </cols>
  <sheetData>
    <row r="1" spans="1:8" ht="12.75">
      <c r="A1" s="610" t="s">
        <v>202</v>
      </c>
      <c r="B1" s="611"/>
      <c r="C1" s="611"/>
      <c r="D1" s="612"/>
      <c r="E1" s="242"/>
      <c r="F1" s="260" t="s">
        <v>72</v>
      </c>
      <c r="G1" s="263" t="s">
        <v>9</v>
      </c>
      <c r="H1" s="287" t="s">
        <v>87</v>
      </c>
    </row>
    <row r="2" spans="1:8" ht="12.75">
      <c r="A2" s="240" t="s">
        <v>39</v>
      </c>
      <c r="B2" s="256"/>
      <c r="C2" s="256"/>
      <c r="D2" s="257" t="s">
        <v>116</v>
      </c>
      <c r="E2" s="244" t="s">
        <v>21</v>
      </c>
      <c r="F2" s="261">
        <v>2006</v>
      </c>
      <c r="G2" s="264">
        <v>2006</v>
      </c>
      <c r="H2" s="288">
        <v>2006</v>
      </c>
    </row>
    <row r="3" spans="1:8" ht="12.75">
      <c r="A3" s="239" t="s">
        <v>157</v>
      </c>
      <c r="B3" s="171"/>
      <c r="C3" s="171"/>
      <c r="D3" s="171"/>
      <c r="E3" s="245">
        <v>1</v>
      </c>
      <c r="F3" s="262">
        <f>SUM(F5:F25)</f>
        <v>2274243.32199</v>
      </c>
      <c r="G3" s="265">
        <f>SUM(G5:G25)</f>
        <v>840213.6832399999</v>
      </c>
      <c r="H3" s="255">
        <f>SUM(H5:H25)</f>
        <v>3114457.00523</v>
      </c>
    </row>
    <row r="4" spans="1:8" ht="12">
      <c r="A4" s="240" t="s">
        <v>10</v>
      </c>
      <c r="B4" s="3" t="s">
        <v>91</v>
      </c>
      <c r="C4" s="3"/>
      <c r="D4" s="3"/>
      <c r="E4" s="246">
        <v>2</v>
      </c>
      <c r="F4" s="37">
        <f>SUM(F5:F15)</f>
        <v>1493641.54239</v>
      </c>
      <c r="G4" s="266">
        <f>SUM(G5:G15)</f>
        <v>671234.7359199999</v>
      </c>
      <c r="H4" s="289">
        <f>SUM(F4:G4)</f>
        <v>2164876.27831</v>
      </c>
    </row>
    <row r="5" spans="1:9" s="29" customFormat="1" ht="12">
      <c r="A5" s="241"/>
      <c r="B5" s="27"/>
      <c r="C5" s="27" t="s">
        <v>13</v>
      </c>
      <c r="D5" s="28" t="s">
        <v>17</v>
      </c>
      <c r="E5" s="258">
        <v>3</v>
      </c>
      <c r="F5" s="38">
        <f>'skut fak.'!O5</f>
        <v>730331.85093</v>
      </c>
      <c r="G5" s="267">
        <f>'skut ost.'!P5</f>
        <v>152852.54533</v>
      </c>
      <c r="H5" s="222">
        <f aca="true" t="shared" si="0" ref="H5:H25">F5+G5</f>
        <v>883184.39626</v>
      </c>
      <c r="I5" s="36"/>
    </row>
    <row r="6" spans="1:8" s="29" customFormat="1" ht="12">
      <c r="A6" s="241"/>
      <c r="B6" s="27"/>
      <c r="C6" s="27"/>
      <c r="D6" s="28" t="s">
        <v>18</v>
      </c>
      <c r="E6" s="258">
        <v>4</v>
      </c>
      <c r="F6" s="38">
        <f>'skut fak.'!O6</f>
        <v>24769.160999999996</v>
      </c>
      <c r="G6" s="267">
        <f>'skut ost.'!P6</f>
        <v>9933.461</v>
      </c>
      <c r="H6" s="222">
        <f t="shared" si="0"/>
        <v>34702.621999999996</v>
      </c>
    </row>
    <row r="7" spans="1:8" s="29" customFormat="1" ht="12">
      <c r="A7" s="241"/>
      <c r="B7" s="27"/>
      <c r="C7" s="27"/>
      <c r="D7" s="28" t="s">
        <v>19</v>
      </c>
      <c r="E7" s="258">
        <v>5</v>
      </c>
      <c r="F7" s="38">
        <f>'skut fak.'!O7</f>
        <v>257755.63457</v>
      </c>
      <c r="G7" s="267">
        <f>'skut ost.'!P7</f>
        <v>55397.23967</v>
      </c>
      <c r="H7" s="222">
        <f t="shared" si="0"/>
        <v>313152.87424</v>
      </c>
    </row>
    <row r="8" spans="1:8" s="29" customFormat="1" ht="12">
      <c r="A8" s="241"/>
      <c r="B8" s="27"/>
      <c r="C8" s="27"/>
      <c r="D8" s="28" t="s">
        <v>0</v>
      </c>
      <c r="E8" s="258">
        <v>6</v>
      </c>
      <c r="F8" s="38">
        <f>'skut fak.'!O8</f>
        <v>46299.60006</v>
      </c>
      <c r="G8" s="267">
        <f>'skut ost.'!P8</f>
        <v>36328.371960000004</v>
      </c>
      <c r="H8" s="222">
        <f t="shared" si="0"/>
        <v>82627.97202</v>
      </c>
    </row>
    <row r="9" spans="1:8" s="29" customFormat="1" ht="12">
      <c r="A9" s="241"/>
      <c r="B9" s="27"/>
      <c r="C9" s="27"/>
      <c r="D9" s="28" t="s">
        <v>1</v>
      </c>
      <c r="E9" s="258">
        <v>7</v>
      </c>
      <c r="F9" s="38">
        <f>'skut fak.'!O9</f>
        <v>14598.55203</v>
      </c>
      <c r="G9" s="267">
        <f>'skut ost.'!P9</f>
        <v>30713.94558</v>
      </c>
      <c r="H9" s="222">
        <f t="shared" si="0"/>
        <v>45312.49761</v>
      </c>
    </row>
    <row r="10" spans="1:8" s="29" customFormat="1" ht="12">
      <c r="A10" s="241"/>
      <c r="B10" s="27"/>
      <c r="C10" s="27"/>
      <c r="D10" s="28" t="s">
        <v>2</v>
      </c>
      <c r="E10" s="258">
        <v>8</v>
      </c>
      <c r="F10" s="38">
        <f>'skut fak.'!O10</f>
        <v>89450.61189</v>
      </c>
      <c r="G10" s="267">
        <f>'skut ost.'!P10</f>
        <v>50317.01557</v>
      </c>
      <c r="H10" s="222">
        <f t="shared" si="0"/>
        <v>139767.62746</v>
      </c>
    </row>
    <row r="11" spans="1:8" s="29" customFormat="1" ht="12">
      <c r="A11" s="241"/>
      <c r="B11" s="27"/>
      <c r="C11" s="27"/>
      <c r="D11" s="28" t="s">
        <v>3</v>
      </c>
      <c r="E11" s="258">
        <v>9</v>
      </c>
      <c r="F11" s="38">
        <f>'skut fak.'!O11</f>
        <v>77716.25934000002</v>
      </c>
      <c r="G11" s="267">
        <f>'skut ost.'!P11</f>
        <v>69733.3983</v>
      </c>
      <c r="H11" s="222">
        <f t="shared" si="0"/>
        <v>147449.65764000002</v>
      </c>
    </row>
    <row r="12" spans="1:8" s="29" customFormat="1" ht="12">
      <c r="A12" s="241"/>
      <c r="B12" s="27"/>
      <c r="C12" s="27"/>
      <c r="D12" s="28" t="s">
        <v>4</v>
      </c>
      <c r="E12" s="258">
        <v>10</v>
      </c>
      <c r="F12" s="38">
        <f>'skut fak.'!O12</f>
        <v>11446.85583</v>
      </c>
      <c r="G12" s="267">
        <f>'skut ost.'!P12</f>
        <v>4080.6736</v>
      </c>
      <c r="H12" s="222">
        <f t="shared" si="0"/>
        <v>15527.52943</v>
      </c>
    </row>
    <row r="13" spans="1:8" s="29" customFormat="1" ht="13.5">
      <c r="A13" s="241"/>
      <c r="B13" s="27"/>
      <c r="C13" s="27"/>
      <c r="D13" s="28" t="s">
        <v>178</v>
      </c>
      <c r="E13" s="258">
        <v>11</v>
      </c>
      <c r="F13" s="38">
        <f>'skut fak.'!O13</f>
        <v>141146.74766000002</v>
      </c>
      <c r="G13" s="267">
        <f>'skut ost.'!P13</f>
        <v>65086.655779999994</v>
      </c>
      <c r="H13" s="222">
        <f t="shared" si="0"/>
        <v>206233.40344000002</v>
      </c>
    </row>
    <row r="14" spans="1:8" s="29" customFormat="1" ht="12">
      <c r="A14" s="241"/>
      <c r="B14" s="27"/>
      <c r="C14" s="27"/>
      <c r="D14" s="28" t="s">
        <v>6</v>
      </c>
      <c r="E14" s="258">
        <v>12</v>
      </c>
      <c r="F14" s="38">
        <f>'skut fak.'!O14</f>
        <v>20783.928099999994</v>
      </c>
      <c r="G14" s="267">
        <f>'skut ost.'!P14</f>
        <v>2379.9335</v>
      </c>
      <c r="H14" s="222">
        <f t="shared" si="0"/>
        <v>23163.861599999993</v>
      </c>
    </row>
    <row r="15" spans="1:8" s="29" customFormat="1" ht="12">
      <c r="A15" s="241"/>
      <c r="B15" s="28"/>
      <c r="C15" s="28"/>
      <c r="D15" s="28" t="s">
        <v>9</v>
      </c>
      <c r="E15" s="258">
        <v>13</v>
      </c>
      <c r="F15" s="38">
        <f>'skut fak.'!O15</f>
        <v>79342.34098</v>
      </c>
      <c r="G15" s="267">
        <f>'skut ost.'!P15</f>
        <v>194411.49563000002</v>
      </c>
      <c r="H15" s="222">
        <f t="shared" si="0"/>
        <v>273753.83661</v>
      </c>
    </row>
    <row r="16" spans="1:8" ht="12">
      <c r="A16" s="240"/>
      <c r="B16" s="4" t="s">
        <v>14</v>
      </c>
      <c r="C16" s="3"/>
      <c r="D16" s="3"/>
      <c r="E16" s="246">
        <v>14</v>
      </c>
      <c r="F16" s="224">
        <f>'skut fak.'!O16</f>
        <v>98020</v>
      </c>
      <c r="G16" s="274">
        <f>'skut ost.'!P16</f>
        <v>0</v>
      </c>
      <c r="H16" s="290">
        <f t="shared" si="0"/>
        <v>98020</v>
      </c>
    </row>
    <row r="17" spans="1:8" ht="12">
      <c r="A17" s="240"/>
      <c r="B17" s="4" t="s">
        <v>15</v>
      </c>
      <c r="C17" s="3"/>
      <c r="D17" s="3"/>
      <c r="E17" s="246">
        <v>15</v>
      </c>
      <c r="F17" s="224">
        <f>'skut fak.'!O17</f>
        <v>9795.06421</v>
      </c>
      <c r="G17" s="274">
        <f>'skut ost.'!P17</f>
        <v>25857.890760000002</v>
      </c>
      <c r="H17" s="290">
        <f t="shared" si="0"/>
        <v>35652.954970000006</v>
      </c>
    </row>
    <row r="18" spans="1:8" ht="12">
      <c r="A18" s="240"/>
      <c r="B18" s="4" t="s">
        <v>20</v>
      </c>
      <c r="C18" s="3"/>
      <c r="D18" s="3"/>
      <c r="E18" s="246">
        <v>16</v>
      </c>
      <c r="F18" s="224">
        <f>'skut fak.'!O18</f>
        <v>49432.51488999999</v>
      </c>
      <c r="G18" s="274">
        <f>'skut ost.'!P18</f>
        <v>41664.20341</v>
      </c>
      <c r="H18" s="290">
        <f t="shared" si="0"/>
        <v>91096.7183</v>
      </c>
    </row>
    <row r="19" spans="1:8" ht="12">
      <c r="A19" s="240"/>
      <c r="B19" s="4" t="s">
        <v>16</v>
      </c>
      <c r="C19" s="3"/>
      <c r="D19" s="3"/>
      <c r="E19" s="246">
        <v>17</v>
      </c>
      <c r="F19" s="224">
        <f>'skut fak.'!O19</f>
        <v>8763.332999999999</v>
      </c>
      <c r="G19" s="274">
        <f>'skut ost.'!P19</f>
        <v>0</v>
      </c>
      <c r="H19" s="290">
        <f t="shared" si="0"/>
        <v>8763.332999999999</v>
      </c>
    </row>
    <row r="20" spans="1:8" ht="12">
      <c r="A20" s="240"/>
      <c r="B20" s="4" t="s">
        <v>24</v>
      </c>
      <c r="C20" s="4"/>
      <c r="D20" s="4"/>
      <c r="E20" s="246">
        <v>18</v>
      </c>
      <c r="F20" s="224">
        <f>'skut fak.'!O20</f>
        <v>3394.58995</v>
      </c>
      <c r="G20" s="274">
        <f>'skut ost.'!P20</f>
        <v>4523.54876</v>
      </c>
      <c r="H20" s="290">
        <f t="shared" si="0"/>
        <v>7918.138709999999</v>
      </c>
    </row>
    <row r="21" spans="1:8" ht="12">
      <c r="A21" s="240"/>
      <c r="B21" s="4" t="s">
        <v>31</v>
      </c>
      <c r="C21" s="4"/>
      <c r="D21" s="4"/>
      <c r="E21" s="246">
        <v>19</v>
      </c>
      <c r="F21" s="224">
        <f>'skut fak.'!O21</f>
        <v>39233.34682</v>
      </c>
      <c r="G21" s="274">
        <f>'skut ost.'!P21</f>
        <v>28421.89823</v>
      </c>
      <c r="H21" s="290">
        <f t="shared" si="0"/>
        <v>67655.24505</v>
      </c>
    </row>
    <row r="22" spans="1:8" ht="12">
      <c r="A22" s="240"/>
      <c r="B22" s="4" t="s">
        <v>25</v>
      </c>
      <c r="C22" s="4"/>
      <c r="D22" s="4"/>
      <c r="E22" s="246">
        <v>20</v>
      </c>
      <c r="F22" s="224">
        <f>'skut fak.'!O22</f>
        <v>257524.59553000005</v>
      </c>
      <c r="G22" s="274">
        <f>'skut ost.'!P22</f>
        <v>1111.13661</v>
      </c>
      <c r="H22" s="290">
        <f t="shared" si="0"/>
        <v>258635.73214000004</v>
      </c>
    </row>
    <row r="23" spans="1:8" ht="12">
      <c r="A23" s="240"/>
      <c r="B23" s="4" t="s">
        <v>26</v>
      </c>
      <c r="C23" s="4"/>
      <c r="D23" s="4"/>
      <c r="E23" s="246">
        <v>21</v>
      </c>
      <c r="F23" s="224">
        <f>'skut fak.'!O23</f>
        <v>222957.97942000002</v>
      </c>
      <c r="G23" s="274">
        <f>'skut ost.'!P23</f>
        <v>12178.087</v>
      </c>
      <c r="H23" s="290">
        <f t="shared" si="0"/>
        <v>235136.06642000002</v>
      </c>
    </row>
    <row r="24" spans="1:8" ht="12">
      <c r="A24" s="240"/>
      <c r="B24" s="4" t="s">
        <v>27</v>
      </c>
      <c r="C24" s="4"/>
      <c r="D24" s="4"/>
      <c r="E24" s="246">
        <v>22</v>
      </c>
      <c r="F24" s="224">
        <f>'skut fak.'!O24</f>
        <v>63553.88250000001</v>
      </c>
      <c r="G24" s="274">
        <f>'skut ost.'!P24</f>
        <v>4094.96083</v>
      </c>
      <c r="H24" s="290">
        <f t="shared" si="0"/>
        <v>67648.84333</v>
      </c>
    </row>
    <row r="25" spans="1:8" ht="12">
      <c r="A25" s="240"/>
      <c r="B25" s="95" t="s">
        <v>30</v>
      </c>
      <c r="C25" s="95"/>
      <c r="D25" s="95"/>
      <c r="E25" s="247">
        <v>23</v>
      </c>
      <c r="F25" s="224">
        <f>'skut fak.'!O25</f>
        <v>27926.473280000002</v>
      </c>
      <c r="G25" s="274">
        <f>'skut ost.'!P25</f>
        <v>51127.22172000001</v>
      </c>
      <c r="H25" s="300">
        <f t="shared" si="0"/>
        <v>79053.695</v>
      </c>
    </row>
    <row r="26" spans="1:8" ht="12.75">
      <c r="A26" s="239" t="s">
        <v>158</v>
      </c>
      <c r="B26" s="171"/>
      <c r="C26" s="171"/>
      <c r="D26" s="171"/>
      <c r="E26" s="245">
        <v>24</v>
      </c>
      <c r="F26" s="262">
        <f>SUM(F27:F41)</f>
        <v>2308904.58425</v>
      </c>
      <c r="G26" s="265">
        <f>SUM(G27:G41)</f>
        <v>865568.2486900003</v>
      </c>
      <c r="H26" s="255">
        <f>SUM(H27:H41)</f>
        <v>3174472.8329399996</v>
      </c>
    </row>
    <row r="27" spans="1:8" ht="13.5">
      <c r="A27" s="240" t="s">
        <v>10</v>
      </c>
      <c r="B27" s="3" t="s">
        <v>179</v>
      </c>
      <c r="C27" s="3"/>
      <c r="D27" s="3"/>
      <c r="E27" s="246">
        <v>25</v>
      </c>
      <c r="F27" s="224">
        <f>'skut fak.'!O27</f>
        <v>1140987.57485</v>
      </c>
      <c r="G27" s="274">
        <f>'skut ost.'!P27</f>
        <v>350215.6645</v>
      </c>
      <c r="H27" s="289">
        <f aca="true" t="shared" si="1" ref="H27:H43">F27+G27</f>
        <v>1491203.23935</v>
      </c>
    </row>
    <row r="28" spans="1:8" ht="12">
      <c r="A28" s="240"/>
      <c r="B28" s="4" t="s">
        <v>14</v>
      </c>
      <c r="C28" s="4"/>
      <c r="D28" s="4"/>
      <c r="E28" s="246">
        <v>26</v>
      </c>
      <c r="F28" s="224">
        <f>'skut fak.'!O28</f>
        <v>98020</v>
      </c>
      <c r="G28" s="274">
        <f>'skut ost.'!P28</f>
        <v>0</v>
      </c>
      <c r="H28" s="289">
        <f t="shared" si="1"/>
        <v>98020</v>
      </c>
    </row>
    <row r="29" spans="1:8" ht="12">
      <c r="A29" s="240"/>
      <c r="B29" s="4" t="s">
        <v>15</v>
      </c>
      <c r="C29" s="4"/>
      <c r="D29" s="4"/>
      <c r="E29" s="246">
        <v>27</v>
      </c>
      <c r="F29" s="224">
        <f>'skut fak.'!O29</f>
        <v>9795.06421</v>
      </c>
      <c r="G29" s="274">
        <f>'skut ost.'!P29</f>
        <v>25857.890760000002</v>
      </c>
      <c r="H29" s="289">
        <f t="shared" si="1"/>
        <v>35652.954970000006</v>
      </c>
    </row>
    <row r="30" spans="1:8" ht="12">
      <c r="A30" s="240"/>
      <c r="B30" s="4" t="s">
        <v>20</v>
      </c>
      <c r="C30" s="3"/>
      <c r="D30" s="3"/>
      <c r="E30" s="246">
        <v>28</v>
      </c>
      <c r="F30" s="224">
        <f>'skut fak.'!O30</f>
        <v>49432.51488999999</v>
      </c>
      <c r="G30" s="274">
        <f>'skut ost.'!P30</f>
        <v>41664.20341</v>
      </c>
      <c r="H30" s="289">
        <f t="shared" si="1"/>
        <v>91096.7183</v>
      </c>
    </row>
    <row r="31" spans="1:8" ht="12">
      <c r="A31" s="240"/>
      <c r="B31" s="4" t="s">
        <v>16</v>
      </c>
      <c r="C31" s="4"/>
      <c r="D31" s="4"/>
      <c r="E31" s="246">
        <v>29</v>
      </c>
      <c r="F31" s="224">
        <f>'skut fak.'!O31</f>
        <v>8763.332999999999</v>
      </c>
      <c r="G31" s="274">
        <f>'skut ost.'!P31</f>
        <v>0</v>
      </c>
      <c r="H31" s="289">
        <f t="shared" si="1"/>
        <v>8763.332999999999</v>
      </c>
    </row>
    <row r="32" spans="1:8" ht="12">
      <c r="A32" s="240"/>
      <c r="B32" s="4" t="s">
        <v>173</v>
      </c>
      <c r="C32" s="4"/>
      <c r="D32" s="4"/>
      <c r="E32" s="246">
        <v>30</v>
      </c>
      <c r="F32" s="224">
        <f>'skut fak.'!O32</f>
        <v>0</v>
      </c>
      <c r="G32" s="274">
        <f>'skut ost.'!P32</f>
        <v>103207.037</v>
      </c>
      <c r="H32" s="289">
        <f t="shared" si="1"/>
        <v>103207.037</v>
      </c>
    </row>
    <row r="33" spans="1:8" ht="12">
      <c r="A33" s="240"/>
      <c r="B33" s="4" t="s">
        <v>24</v>
      </c>
      <c r="C33" s="4"/>
      <c r="D33" s="4"/>
      <c r="E33" s="246">
        <v>31</v>
      </c>
      <c r="F33" s="224">
        <f>'skut fak.'!O33</f>
        <v>3394.58995</v>
      </c>
      <c r="G33" s="274">
        <f>'skut ost.'!P33</f>
        <v>4523.54876</v>
      </c>
      <c r="H33" s="289">
        <f t="shared" si="1"/>
        <v>7918.138709999999</v>
      </c>
    </row>
    <row r="34" spans="1:8" ht="12">
      <c r="A34" s="240"/>
      <c r="B34" s="4" t="s">
        <v>31</v>
      </c>
      <c r="C34" s="4"/>
      <c r="D34" s="4"/>
      <c r="E34" s="246">
        <v>32</v>
      </c>
      <c r="F34" s="224">
        <f>'skut fak.'!O34</f>
        <v>39608.06121</v>
      </c>
      <c r="G34" s="274">
        <f>'skut ost.'!P34</f>
        <v>28421.89823</v>
      </c>
      <c r="H34" s="289">
        <f t="shared" si="1"/>
        <v>68029.95944</v>
      </c>
    </row>
    <row r="35" spans="1:8" ht="12">
      <c r="A35" s="240"/>
      <c r="B35" s="4" t="s">
        <v>85</v>
      </c>
      <c r="C35" s="4"/>
      <c r="D35" s="4"/>
      <c r="E35" s="246">
        <v>33</v>
      </c>
      <c r="F35" s="224">
        <f>'skut fak.'!O35</f>
        <v>112915</v>
      </c>
      <c r="G35" s="274">
        <f>'skut ost.'!P35</f>
        <v>0</v>
      </c>
      <c r="H35" s="289">
        <f t="shared" si="1"/>
        <v>112915</v>
      </c>
    </row>
    <row r="36" spans="1:8" ht="12">
      <c r="A36" s="240"/>
      <c r="B36" s="4" t="s">
        <v>25</v>
      </c>
      <c r="C36" s="4"/>
      <c r="D36" s="4"/>
      <c r="E36" s="246">
        <v>34</v>
      </c>
      <c r="F36" s="224">
        <f>'skut fak.'!O36</f>
        <v>257524.59553000005</v>
      </c>
      <c r="G36" s="274">
        <f>'skut ost.'!P36</f>
        <v>1111.13661</v>
      </c>
      <c r="H36" s="289">
        <f t="shared" si="1"/>
        <v>258635.73214000004</v>
      </c>
    </row>
    <row r="37" spans="1:8" ht="12">
      <c r="A37" s="240"/>
      <c r="B37" s="4" t="s">
        <v>26</v>
      </c>
      <c r="C37" s="4"/>
      <c r="D37" s="4"/>
      <c r="E37" s="246">
        <v>35</v>
      </c>
      <c r="F37" s="224">
        <f>'skut fak.'!O37</f>
        <v>222957.97942000002</v>
      </c>
      <c r="G37" s="274">
        <f>'skut ost.'!P37</f>
        <v>12178.087</v>
      </c>
      <c r="H37" s="289">
        <f t="shared" si="1"/>
        <v>235136.06642000002</v>
      </c>
    </row>
    <row r="38" spans="1:8" ht="12">
      <c r="A38" s="240"/>
      <c r="B38" s="4" t="s">
        <v>27</v>
      </c>
      <c r="C38" s="4"/>
      <c r="D38" s="4"/>
      <c r="E38" s="246">
        <v>36</v>
      </c>
      <c r="F38" s="224">
        <f>'skut fak.'!O38</f>
        <v>63553.88250000001</v>
      </c>
      <c r="G38" s="274">
        <f>'skut ost.'!P38</f>
        <v>4094.96083</v>
      </c>
      <c r="H38" s="289">
        <f t="shared" si="1"/>
        <v>67648.84333</v>
      </c>
    </row>
    <row r="39" spans="1:8" ht="13.5">
      <c r="A39" s="240"/>
      <c r="B39" s="4" t="s">
        <v>180</v>
      </c>
      <c r="C39" s="4"/>
      <c r="D39" s="4"/>
      <c r="E39" s="246">
        <v>37</v>
      </c>
      <c r="F39" s="224">
        <f>'skut fak.'!O39</f>
        <v>260472.08320999998</v>
      </c>
      <c r="G39" s="274">
        <f>'skut ost.'!P39</f>
        <v>212032.20380999998</v>
      </c>
      <c r="H39" s="289">
        <f t="shared" si="1"/>
        <v>472504.28701999993</v>
      </c>
    </row>
    <row r="40" spans="1:8" ht="12">
      <c r="A40" s="240"/>
      <c r="B40" s="4" t="s">
        <v>29</v>
      </c>
      <c r="C40" s="4"/>
      <c r="D40" s="4"/>
      <c r="E40" s="246">
        <v>38</v>
      </c>
      <c r="F40" s="224">
        <f>'skut fak.'!O40</f>
        <v>11018.653</v>
      </c>
      <c r="G40" s="274">
        <f>'skut ost.'!P40</f>
        <v>17786.886000000002</v>
      </c>
      <c r="H40" s="289">
        <f t="shared" si="1"/>
        <v>28805.539000000004</v>
      </c>
    </row>
    <row r="41" spans="1:8" ht="12">
      <c r="A41" s="240"/>
      <c r="B41" s="4" t="s">
        <v>30</v>
      </c>
      <c r="C41" s="4"/>
      <c r="D41" s="4"/>
      <c r="E41" s="246">
        <v>39</v>
      </c>
      <c r="F41" s="224">
        <f>'skut fak.'!O41</f>
        <v>30461.25248</v>
      </c>
      <c r="G41" s="274">
        <f>'skut ost.'!P41</f>
        <v>64474.73178000001</v>
      </c>
      <c r="H41" s="289">
        <f t="shared" si="1"/>
        <v>94935.98426000001</v>
      </c>
    </row>
    <row r="42" spans="1:8" s="29" customFormat="1" ht="12.75" customHeight="1" hidden="1" thickBot="1">
      <c r="A42" s="241" t="s">
        <v>32</v>
      </c>
      <c r="B42" s="27"/>
      <c r="C42" s="27"/>
      <c r="D42" s="27"/>
      <c r="E42" s="259">
        <v>42</v>
      </c>
      <c r="F42" s="181">
        <f>'plán fak.'!O42</f>
        <v>8246.675000000047</v>
      </c>
      <c r="G42" s="268">
        <f>'plán ost. '!O42</f>
        <v>14627.735999998826</v>
      </c>
      <c r="H42" s="300">
        <f t="shared" si="1"/>
        <v>22874.410999998872</v>
      </c>
    </row>
    <row r="43" spans="1:8" ht="12.75">
      <c r="A43" s="239" t="s">
        <v>165</v>
      </c>
      <c r="B43" s="171"/>
      <c r="C43" s="171"/>
      <c r="D43" s="171"/>
      <c r="E43" s="245">
        <v>40</v>
      </c>
      <c r="F43" s="262">
        <f>F26-F3</f>
        <v>34661.262259999756</v>
      </c>
      <c r="G43" s="265">
        <f>G26-G3</f>
        <v>25354.565450000344</v>
      </c>
      <c r="H43" s="255">
        <f t="shared" si="1"/>
        <v>60015.8277100001</v>
      </c>
    </row>
    <row r="44" spans="1:8" s="89" customFormat="1" ht="6" customHeight="1">
      <c r="A44" s="210"/>
      <c r="B44" s="90"/>
      <c r="C44" s="90"/>
      <c r="D44" s="90"/>
      <c r="E44" s="90"/>
      <c r="F44" s="91"/>
      <c r="G44" s="91"/>
      <c r="H44" s="304"/>
    </row>
    <row r="45" spans="1:8" s="89" customFormat="1" ht="11.25">
      <c r="A45" s="210" t="s">
        <v>141</v>
      </c>
      <c r="B45" s="90"/>
      <c r="C45" s="90"/>
      <c r="D45" s="90"/>
      <c r="E45" s="90"/>
      <c r="F45" s="91">
        <f>'plán fak.'!O45</f>
        <v>127851</v>
      </c>
      <c r="G45" s="91">
        <f>'plán ost. '!O45</f>
        <v>56299</v>
      </c>
      <c r="H45" s="211">
        <f aca="true" t="shared" si="2" ref="H45:H52">SUM(F45:G45)</f>
        <v>184150</v>
      </c>
    </row>
    <row r="46" spans="1:8" s="89" customFormat="1" ht="11.25">
      <c r="A46" s="142" t="s">
        <v>142</v>
      </c>
      <c r="B46" s="90"/>
      <c r="C46" s="90"/>
      <c r="D46" s="90"/>
      <c r="E46" s="90"/>
      <c r="F46" s="91">
        <f>'plán fak.'!O46</f>
        <v>38176</v>
      </c>
      <c r="G46" s="91">
        <f>'plán ost. '!O46</f>
        <v>26726</v>
      </c>
      <c r="H46" s="91">
        <f t="shared" si="2"/>
        <v>64902</v>
      </c>
    </row>
    <row r="47" spans="1:8" s="89" customFormat="1" ht="11.25">
      <c r="A47" s="142" t="s">
        <v>143</v>
      </c>
      <c r="B47" s="90"/>
      <c r="C47" s="90"/>
      <c r="D47" s="90"/>
      <c r="E47" s="90"/>
      <c r="F47" s="91">
        <f>'plán fak.'!O47</f>
        <v>89675</v>
      </c>
      <c r="G47" s="91">
        <f>'plán ost. '!O47</f>
        <v>29573</v>
      </c>
      <c r="H47" s="91">
        <f t="shared" si="2"/>
        <v>119248</v>
      </c>
    </row>
    <row r="48" spans="1:8" s="89" customFormat="1" ht="11.25">
      <c r="A48" s="142" t="s">
        <v>145</v>
      </c>
      <c r="B48" s="90"/>
      <c r="C48" s="90"/>
      <c r="D48" s="90"/>
      <c r="E48" s="90"/>
      <c r="F48" s="91">
        <f>'plán fak.'!O48</f>
        <v>0</v>
      </c>
      <c r="G48" s="91">
        <f>'plán ost. '!O48</f>
        <v>0</v>
      </c>
      <c r="H48" s="91">
        <f t="shared" si="2"/>
        <v>0</v>
      </c>
    </row>
    <row r="49" spans="1:8" s="89" customFormat="1" ht="11.25">
      <c r="A49" s="90" t="s">
        <v>170</v>
      </c>
      <c r="B49" s="90"/>
      <c r="C49" s="90"/>
      <c r="D49" s="90"/>
      <c r="E49" s="90"/>
      <c r="F49" s="91">
        <f>'plán fak.'!O49</f>
        <v>1072899</v>
      </c>
      <c r="G49" s="91">
        <f>'plán ost. '!O49</f>
        <v>197048</v>
      </c>
      <c r="H49" s="91">
        <f t="shared" si="2"/>
        <v>1269947</v>
      </c>
    </row>
    <row r="50" spans="1:8" s="89" customFormat="1" ht="11.25">
      <c r="A50" s="90" t="s">
        <v>146</v>
      </c>
      <c r="B50" s="90"/>
      <c r="C50" s="90"/>
      <c r="D50" s="90"/>
      <c r="F50" s="91">
        <f>'plán fak.'!O50</f>
        <v>23320</v>
      </c>
      <c r="G50" s="91">
        <f>'plán ost. '!O50</f>
        <v>117730</v>
      </c>
      <c r="H50" s="91">
        <f t="shared" si="2"/>
        <v>141050</v>
      </c>
    </row>
    <row r="51" spans="1:8" s="89" customFormat="1" ht="11.25">
      <c r="A51" s="90" t="s">
        <v>171</v>
      </c>
      <c r="B51" s="90"/>
      <c r="C51" s="90"/>
      <c r="D51" s="90"/>
      <c r="F51" s="91">
        <f>'plán fak.'!O51</f>
        <v>38176</v>
      </c>
      <c r="G51" s="91">
        <f>'plán ost. '!O51</f>
        <v>22520</v>
      </c>
      <c r="H51" s="91">
        <f t="shared" si="2"/>
        <v>60696</v>
      </c>
    </row>
    <row r="52" spans="1:8" s="89" customFormat="1" ht="11.25">
      <c r="A52" s="312" t="s">
        <v>183</v>
      </c>
      <c r="B52" s="90"/>
      <c r="C52" s="90"/>
      <c r="D52" s="90"/>
      <c r="F52" s="91">
        <f>'plán fak.'!O52</f>
        <v>1134395</v>
      </c>
      <c r="G52" s="91">
        <f>'plán ost. '!O52</f>
        <v>337298</v>
      </c>
      <c r="H52" s="206">
        <f t="shared" si="2"/>
        <v>1471693</v>
      </c>
    </row>
    <row r="53" spans="1:8" s="89" customFormat="1" ht="11.25">
      <c r="A53" s="90"/>
      <c r="B53" s="90"/>
      <c r="C53" s="90"/>
      <c r="D53" s="90"/>
      <c r="F53" s="91"/>
      <c r="G53" s="91"/>
      <c r="H53" s="91">
        <f>99000+H52</f>
        <v>1570693</v>
      </c>
    </row>
  </sheetData>
  <mergeCells count="1">
    <mergeCell ref="A1:D1"/>
  </mergeCells>
  <printOptions/>
  <pageMargins left="0.6692913385826772" right="0.15748031496062992" top="0.3" bottom="0.4330708661417323" header="0.22" footer="0.2755905511811024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/>
  <dimension ref="A1:S54"/>
  <sheetViews>
    <sheetView workbookViewId="0" topLeftCell="A6">
      <selection activeCell="H13" sqref="H1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00390625" style="0" customWidth="1"/>
    <col min="5" max="5" width="3.75390625" style="0" customWidth="1"/>
    <col min="6" max="6" width="11.75390625" style="89" customWidth="1"/>
    <col min="7" max="7" width="10.875" style="89" bestFit="1" customWidth="1"/>
    <col min="8" max="8" width="10.75390625" style="89" customWidth="1"/>
    <col min="9" max="9" width="6.75390625" style="89" bestFit="1" customWidth="1"/>
    <col min="10" max="10" width="10.875" style="89" hidden="1" customWidth="1"/>
    <col min="11" max="14" width="10.875" style="89" bestFit="1" customWidth="1"/>
    <col min="15" max="15" width="10.125" style="89" bestFit="1" customWidth="1"/>
    <col min="16" max="16" width="8.75390625" style="460" customWidth="1"/>
    <col min="17" max="17" width="7.00390625" style="460" customWidth="1"/>
    <col min="18" max="18" width="7.875" style="0" customWidth="1"/>
    <col min="19" max="19" width="9.00390625" style="89" bestFit="1" customWidth="1"/>
  </cols>
  <sheetData>
    <row r="1" spans="1:17" ht="12.75">
      <c r="A1" s="616" t="s">
        <v>138</v>
      </c>
      <c r="B1" s="617"/>
      <c r="C1" s="617"/>
      <c r="D1" s="618"/>
      <c r="E1" s="294"/>
      <c r="F1" s="420" t="s">
        <v>172</v>
      </c>
      <c r="G1" s="218"/>
      <c r="H1" s="418" t="s">
        <v>8</v>
      </c>
      <c r="I1" s="335" t="s">
        <v>196</v>
      </c>
      <c r="J1" s="218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  <c r="Q1" s="468"/>
    </row>
    <row r="2" spans="1:19" s="7" customFormat="1" ht="12.75">
      <c r="A2" s="295" t="s">
        <v>38</v>
      </c>
      <c r="B2" s="296"/>
      <c r="C2" s="296"/>
      <c r="D2" s="297" t="s">
        <v>43</v>
      </c>
      <c r="E2" s="298" t="s">
        <v>21</v>
      </c>
      <c r="F2" s="421">
        <v>2006</v>
      </c>
      <c r="G2" s="219" t="s">
        <v>198</v>
      </c>
      <c r="H2" s="419" t="s">
        <v>223</v>
      </c>
      <c r="I2" s="336" t="s">
        <v>199</v>
      </c>
      <c r="J2" s="219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  <c r="Q2" s="468"/>
      <c r="S2" s="89"/>
    </row>
    <row r="3" spans="1:19" s="7" customFormat="1" ht="12.75" hidden="1">
      <c r="A3" s="240"/>
      <c r="B3" s="256"/>
      <c r="C3" s="256"/>
      <c r="D3" s="257"/>
      <c r="E3" s="247"/>
      <c r="F3" s="422">
        <v>1</v>
      </c>
      <c r="G3" s="220"/>
      <c r="H3" s="220"/>
      <c r="I3" s="321"/>
      <c r="J3" s="220"/>
      <c r="K3" s="220">
        <v>4</v>
      </c>
      <c r="L3" s="220">
        <f>SUM(L5:L25)</f>
        <v>2764179746.660001</v>
      </c>
      <c r="M3" s="220">
        <f>SUM(M5:M25)</f>
        <v>2143519855.6</v>
      </c>
      <c r="N3" s="220">
        <f>SUM(N5:N25)</f>
        <v>1938788786</v>
      </c>
      <c r="O3" s="220">
        <f>SUM(O5:O25)</f>
        <v>1601351000</v>
      </c>
      <c r="P3" s="460"/>
      <c r="Q3" s="460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423">
        <f>SUM(F6:F26)</f>
        <v>2150450325</v>
      </c>
      <c r="G4" s="221">
        <f>SUM(G6:G26)</f>
        <v>686659809.52</v>
      </c>
      <c r="H4" s="221">
        <f>SUM(H6:H26)</f>
        <v>2274243321.9900002</v>
      </c>
      <c r="I4" s="403">
        <f>H4/F4</f>
        <v>1.0575660807184655</v>
      </c>
      <c r="J4" s="221">
        <f>SUM(J6:J26)</f>
        <v>2274570111.92</v>
      </c>
      <c r="K4" s="221">
        <v>2007662365.86</v>
      </c>
      <c r="L4" s="221">
        <v>1626397142.5</v>
      </c>
      <c r="M4" s="221">
        <v>1292301614.46</v>
      </c>
      <c r="N4" s="221">
        <v>1177697682</v>
      </c>
      <c r="O4" s="221">
        <v>971308000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424">
        <f>SUM(F6:F16)</f>
        <v>1465217325</v>
      </c>
      <c r="G5" s="192">
        <f>SUM(G6:G16)</f>
        <v>0</v>
      </c>
      <c r="H5" s="192">
        <f>SUM(H6:H16)</f>
        <v>1493641542.3899999</v>
      </c>
      <c r="I5" s="404">
        <f>H5/F5</f>
        <v>1.0193993183843904</v>
      </c>
      <c r="J5" s="192">
        <f>SUM(J6:J16)</f>
        <v>1493641542.3899999</v>
      </c>
      <c r="K5" s="192">
        <v>1309549071.17</v>
      </c>
      <c r="L5" s="192">
        <v>1168308645.7</v>
      </c>
      <c r="M5" s="192">
        <v>864505516.6999999</v>
      </c>
      <c r="N5" s="192">
        <v>784638632</v>
      </c>
      <c r="O5" s="192">
        <v>654382000</v>
      </c>
      <c r="P5" s="461"/>
      <c r="Q5" s="461"/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388">
        <f>LF!F6+'FF'!F6+PrF!F6+FSS!F6+PřF!F6+'FI'!F6+PdF!F6+FSpS!F6+ESF!F6</f>
        <v>711901987</v>
      </c>
      <c r="G6" s="174">
        <f>LF!G6+'FF'!G6+PrF!G6+FSS!G6+PřF!G6+'FI'!G6+PdF!G6+FSpS!G6+ESF!G6</f>
        <v>0</v>
      </c>
      <c r="H6" s="174">
        <f>LF!H6+'FF'!H6+PrF!H6+FSS!H6+PřF!H6+'FI'!H6+PdF!H6+FSpS!H6+ESF!H6</f>
        <v>730331850.93</v>
      </c>
      <c r="I6" s="405">
        <f>H6/F6</f>
        <v>1.0258882040878472</v>
      </c>
      <c r="J6" s="174">
        <f>LF!J6+'FF'!J6+PrF!J6+FSS!J6+PřF!J6+'FI'!J6+PdF!J6+FSpS!J6+ESF!J6</f>
        <v>730331850.93</v>
      </c>
      <c r="K6" s="174">
        <v>664643452.89</v>
      </c>
      <c r="L6" s="174">
        <v>587588680.7</v>
      </c>
      <c r="M6" s="174">
        <v>465873069</v>
      </c>
      <c r="N6" s="174">
        <v>402562910</v>
      </c>
      <c r="O6" s="174">
        <v>341867000</v>
      </c>
      <c r="P6" s="462"/>
      <c r="Q6" s="462"/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388">
        <f>LF!F7+'FF'!F7+PrF!F7+FSS!F7+PřF!F7+'FI'!F7+PdF!F7+FSpS!F7+ESF!F7</f>
        <v>27121197</v>
      </c>
      <c r="G7" s="174">
        <f>LF!G7+'FF'!G7+PrF!G7+FSS!G7+PřF!G7+'FI'!G7+PdF!G7+FSpS!G7+ESF!G7</f>
        <v>0</v>
      </c>
      <c r="H7" s="174">
        <f>LF!H7+'FF'!H7+PrF!H7+FSS!H7+PřF!H7+'FI'!H7+PdF!H7+FSpS!H7+ESF!H7</f>
        <v>24769161</v>
      </c>
      <c r="I7" s="405">
        <f aca="true" t="shared" si="0" ref="I7:I44">H7/F7</f>
        <v>0.9132768365644038</v>
      </c>
      <c r="J7" s="174">
        <f>LF!J7+'FF'!J7+PrF!J7+FSS!J7+PřF!J7+'FI'!J7+PdF!J7+FSpS!J7+ESF!J7</f>
        <v>24769161</v>
      </c>
      <c r="K7" s="174">
        <v>24202368.6</v>
      </c>
      <c r="L7" s="174">
        <v>20646951</v>
      </c>
      <c r="M7" s="174">
        <v>16356579</v>
      </c>
      <c r="N7" s="174">
        <v>13822184</v>
      </c>
      <c r="O7" s="174">
        <v>9284000</v>
      </c>
      <c r="P7" s="462"/>
      <c r="Q7" s="462"/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388">
        <f>LF!F8+'FF'!F8+PrF!F8+FSS!F8+PřF!F8+'FI'!F8+PdF!F8+FSpS!F8+ESF!F8</f>
        <v>253016954</v>
      </c>
      <c r="G8" s="174">
        <f>LF!G8+'FF'!G8+PrF!G8+FSS!G8+PřF!G8+'FI'!G8+PdF!G8+FSpS!G8+ESF!G8</f>
        <v>0</v>
      </c>
      <c r="H8" s="174">
        <f>LF!H8+'FF'!H8+PrF!H8+FSS!H8+PřF!H8+'FI'!H8+PdF!H8+FSpS!H8+ESF!H8</f>
        <v>257755634.57</v>
      </c>
      <c r="I8" s="405">
        <f t="shared" si="0"/>
        <v>1.0187287076817786</v>
      </c>
      <c r="J8" s="174">
        <f>LF!J8+'FF'!J8+PrF!J8+FSS!J8+PřF!J8+'FI'!J8+PdF!J8+FSpS!J8+ESF!J8</f>
        <v>257755634.57</v>
      </c>
      <c r="K8" s="174">
        <v>234612660.4</v>
      </c>
      <c r="L8" s="174">
        <v>205892590</v>
      </c>
      <c r="M8" s="174">
        <v>162716082.39999998</v>
      </c>
      <c r="N8" s="174">
        <v>140697420</v>
      </c>
      <c r="O8" s="174">
        <v>118743000</v>
      </c>
      <c r="P8" s="462"/>
      <c r="Q8" s="462"/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388">
        <f>LF!F9+'FF'!F9+PrF!F9+FSS!F9+PřF!F9+'FI'!F9+PdF!F9+FSpS!F9+ESF!F9</f>
        <v>46485300</v>
      </c>
      <c r="G9" s="174">
        <f>LF!G9+'FF'!G9+PrF!G9+FSS!G9+PřF!G9+'FI'!G9+PdF!G9+FSpS!G9+ESF!G9</f>
        <v>0</v>
      </c>
      <c r="H9" s="174">
        <f>LF!H9+'FF'!H9+PrF!H9+FSS!H9+PřF!H9+'FI'!H9+PdF!H9+FSpS!H9+ESF!H9</f>
        <v>46299600.059999995</v>
      </c>
      <c r="I9" s="405">
        <f t="shared" si="0"/>
        <v>0.9960051900278152</v>
      </c>
      <c r="J9" s="174">
        <f>LF!J9+'FF'!J9+PrF!J9+FSS!J9+PřF!J9+'FI'!J9+PdF!J9+FSpS!J9+ESF!J9</f>
        <v>46299600.059999995</v>
      </c>
      <c r="K9" s="174">
        <v>35788239.69</v>
      </c>
      <c r="L9" s="174">
        <v>35150163.64999999</v>
      </c>
      <c r="M9" s="174">
        <v>30146882.18</v>
      </c>
      <c r="N9" s="174">
        <v>35683574</v>
      </c>
      <c r="O9" s="174">
        <v>33932000</v>
      </c>
      <c r="P9" s="462"/>
      <c r="Q9" s="462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388">
        <f>LF!F10+'FF'!F10+PrF!F10+FSS!F10+PřF!F10+'FI'!F10+PdF!F10+FSpS!F10+ESF!F10</f>
        <v>15540000</v>
      </c>
      <c r="G10" s="174">
        <f>LF!G10+'FF'!G10+PrF!G10+FSS!G10+PřF!G10+'FI'!G10+PdF!G10+FSpS!G10+ESF!G10</f>
        <v>0</v>
      </c>
      <c r="H10" s="174">
        <f>LF!H10+'FF'!H10+PrF!H10+FSS!H10+PřF!H10+'FI'!H10+PdF!H10+FSpS!H10+ESF!H10</f>
        <v>14598552.03</v>
      </c>
      <c r="I10" s="405">
        <f t="shared" si="0"/>
        <v>0.9394177625482625</v>
      </c>
      <c r="J10" s="174">
        <f>LF!J10+'FF'!J10+PrF!J10+FSS!J10+PřF!J10+'FI'!J10+PdF!J10+FSpS!J10+ESF!J10</f>
        <v>14598552.03</v>
      </c>
      <c r="K10" s="174">
        <v>11347694.93</v>
      </c>
      <c r="L10" s="174">
        <v>13348040.379999999</v>
      </c>
      <c r="M10" s="174">
        <v>8692931.61</v>
      </c>
      <c r="N10" s="174">
        <v>11555803</v>
      </c>
      <c r="O10" s="174">
        <v>9298000</v>
      </c>
      <c r="P10" s="462"/>
      <c r="Q10" s="462"/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388">
        <f>LF!F11+'FF'!F11+PrF!F11+FSS!F11+PřF!F11+'FI'!F11+PdF!F11+FSpS!F11+ESF!F11</f>
        <v>100345326</v>
      </c>
      <c r="G11" s="174">
        <f>LF!G11+'FF'!G11+PrF!G11+FSS!G11+PřF!G11+'FI'!G11+PdF!G11+FSpS!G11+ESF!G11</f>
        <v>0</v>
      </c>
      <c r="H11" s="174">
        <f>LF!H11+'FF'!H11+PrF!H11+FSS!H11+PřF!H11+'FI'!H11+PdF!H11+FSpS!H11+ESF!H11</f>
        <v>89450611.89000002</v>
      </c>
      <c r="I11" s="405">
        <f t="shared" si="0"/>
        <v>0.8914277869803324</v>
      </c>
      <c r="J11" s="174">
        <f>LF!J11+'FF'!J11+PrF!J11+FSS!J11+PřF!J11+'FI'!J11+PdF!J11+FSpS!J11+ESF!J11</f>
        <v>89450611.89000002</v>
      </c>
      <c r="K11" s="174">
        <v>95229695.32</v>
      </c>
      <c r="L11" s="174">
        <v>98358814.94000001</v>
      </c>
      <c r="M11" s="174">
        <v>76098777.87</v>
      </c>
      <c r="N11" s="174">
        <v>72553235</v>
      </c>
      <c r="O11" s="174">
        <v>50466000</v>
      </c>
      <c r="P11" s="462"/>
      <c r="Q11" s="462"/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388">
        <f>LF!F12+'FF'!F12+PrF!F12+FSS!F12+PřF!F12+'FI'!F12+PdF!F12+FSpS!F12+ESF!F12</f>
        <v>84914700</v>
      </c>
      <c r="G12" s="174">
        <f>LF!G12+'FF'!G12+PrF!G12+FSS!G12+PřF!G12+'FI'!G12+PdF!G12+FSpS!G12+ESF!G12</f>
        <v>0</v>
      </c>
      <c r="H12" s="174">
        <f>LF!H12+'FF'!H12+PrF!H12+FSS!H12+PřF!H12+'FI'!H12+PdF!H12+FSpS!H12+ESF!H12</f>
        <v>77716259.34</v>
      </c>
      <c r="I12" s="405">
        <f t="shared" si="0"/>
        <v>0.915227391017103</v>
      </c>
      <c r="J12" s="174">
        <f>LF!J12+'FF'!J12+PrF!J12+FSS!J12+PřF!J12+'FI'!J12+PdF!J12+FSpS!J12+ESF!J12</f>
        <v>77716259.34</v>
      </c>
      <c r="K12" s="174">
        <v>78690394.89</v>
      </c>
      <c r="L12" s="174">
        <v>65831870.69</v>
      </c>
      <c r="M12" s="174">
        <v>56452914.88</v>
      </c>
      <c r="N12" s="174">
        <v>53987758</v>
      </c>
      <c r="O12" s="174">
        <v>48410000</v>
      </c>
      <c r="P12" s="462"/>
      <c r="Q12" s="462"/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388">
        <f>LF!F13+'FF'!F13+PrF!F13+FSS!F13+PřF!F13+'FI'!F13+PdF!F13+FSpS!F13+ESF!F13</f>
        <v>11994000</v>
      </c>
      <c r="G13" s="174">
        <f>LF!G13+'FF'!G13+PrF!G13+FSS!G13+PřF!G13+'FI'!G13+PdF!G13+FSpS!G13+ESF!G13</f>
        <v>0</v>
      </c>
      <c r="H13" s="174">
        <f>LF!H13+'FF'!H13+PrF!H13+FSS!H13+PřF!H13+'FI'!H13+PdF!H13+FSpS!H13+ESF!H13</f>
        <v>11446855.83</v>
      </c>
      <c r="I13" s="405">
        <f t="shared" si="0"/>
        <v>0.9543818434217108</v>
      </c>
      <c r="J13" s="174">
        <f>LF!J13+'FF'!J13+PrF!J13+FSS!J13+PřF!J13+'FI'!J13+PdF!J13+FSpS!J13+ESF!J13</f>
        <v>11446855.829999998</v>
      </c>
      <c r="K13" s="174">
        <v>8289644.17</v>
      </c>
      <c r="L13" s="174">
        <v>7846455.67</v>
      </c>
      <c r="M13" s="174">
        <v>6195707.609999999</v>
      </c>
      <c r="N13" s="174">
        <v>5393615</v>
      </c>
      <c r="O13" s="174">
        <v>5938000</v>
      </c>
      <c r="P13" s="462"/>
      <c r="Q13" s="462"/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388">
        <f>LF!F14+'FF'!F14+PrF!F14+FSS!F14+PřF!F14+'FI'!F14+PdF!F14+FSpS!F14+ESF!F14</f>
        <v>125565000</v>
      </c>
      <c r="G14" s="174">
        <f>LF!G14+'FF'!G14+PrF!G14+FSS!G14+PřF!G14+'FI'!G14+PdF!G14+FSpS!G14+ESF!G14</f>
        <v>0</v>
      </c>
      <c r="H14" s="174">
        <f>LF!H14+'FF'!H14+PrF!H14+FSS!H14+PřF!H14+'FI'!H14+PdF!H14+FSpS!H14+ESF!H14</f>
        <v>141146747.66</v>
      </c>
      <c r="I14" s="405">
        <f t="shared" si="0"/>
        <v>1.1240930805558873</v>
      </c>
      <c r="J14" s="174">
        <f>LF!J14+'FF'!J14+PrF!J14+FSS!J14+PřF!J14+'FI'!J14+PdF!J14+FSpS!J14+ESF!J14</f>
        <v>141146747.66</v>
      </c>
      <c r="K14" s="174">
        <v>112507454.05000001</v>
      </c>
      <c r="L14" s="174">
        <v>99129004.10000001</v>
      </c>
      <c r="M14" s="174">
        <v>23370233.720000003</v>
      </c>
      <c r="N14" s="174">
        <v>31602336</v>
      </c>
      <c r="O14" s="174">
        <v>18991000</v>
      </c>
      <c r="P14" s="462"/>
      <c r="Q14" s="462"/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388">
        <f>LF!F15+'FF'!F15+PrF!F15+FSS!F15+PřF!F15+'FI'!F15+PdF!F15+FSpS!F15+ESF!F15</f>
        <v>20976000</v>
      </c>
      <c r="G15" s="174">
        <f>LF!G15+'FF'!G15+PrF!G15+FSS!G15+PřF!G15+'FI'!G15+PdF!G15+FSpS!G15+ESF!G15</f>
        <v>0</v>
      </c>
      <c r="H15" s="174">
        <f>LF!H15+'FF'!H15+PrF!H15+FSS!H15+PřF!H15+'FI'!H15+PdF!H15+FSpS!H15+ESF!H15</f>
        <v>20783928.1</v>
      </c>
      <c r="I15" s="405">
        <f t="shared" si="0"/>
        <v>0.9908432541952709</v>
      </c>
      <c r="J15" s="174">
        <f>LF!J15+'FF'!J15+PrF!J15+FSS!J15+PřF!J15+'FI'!J15+PdF!J15+FSpS!J15+ESF!J15</f>
        <v>20783928.1</v>
      </c>
      <c r="K15" s="174">
        <v>17842712.88</v>
      </c>
      <c r="L15" s="174">
        <v>10470796</v>
      </c>
      <c r="M15" s="174">
        <v>7238955.29</v>
      </c>
      <c r="N15" s="174">
        <v>5545467</v>
      </c>
      <c r="O15" s="174">
        <v>7881000</v>
      </c>
      <c r="P15" s="462"/>
      <c r="Q15" s="462"/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388">
        <f>LF!F16+'FF'!F16+PrF!F16+FSS!F16+PřF!F16+'FI'!F16+PdF!F16+FSpS!F16+ESF!F16</f>
        <v>67356861</v>
      </c>
      <c r="G16" s="174">
        <f>LF!G16+'FF'!G16+PrF!G16+FSS!G16+PřF!G16+'FI'!G16+PdF!G16+FSpS!G16+ESF!G16</f>
        <v>0</v>
      </c>
      <c r="H16" s="174">
        <f>LF!H16+'FF'!H16+PrF!H16+FSS!H16+PřF!H16+'FI'!H16+PdF!H16+FSpS!H16+ESF!H16</f>
        <v>79342340.98</v>
      </c>
      <c r="I16" s="405">
        <f t="shared" si="0"/>
        <v>1.1779400019843562</v>
      </c>
      <c r="J16" s="174">
        <f>LF!J16+'FF'!J16+PrF!J16+FSS!J16+PřF!J16+'FI'!J16+PdF!J16+FSpS!J16+ESF!J16</f>
        <v>79342340.98</v>
      </c>
      <c r="K16" s="174">
        <v>26394753.35</v>
      </c>
      <c r="L16" s="174">
        <v>24045278.57</v>
      </c>
      <c r="M16" s="174">
        <v>11363383.140000002</v>
      </c>
      <c r="N16" s="174">
        <v>11234330</v>
      </c>
      <c r="O16" s="174">
        <v>9572000</v>
      </c>
      <c r="P16" s="462"/>
      <c r="Q16" s="462"/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424">
        <f>LF!F17+'FF'!F17+PrF!F17+FSS!F17+PřF!F17+'FI'!F17+PdF!F17+FSpS!F17+ESF!F17</f>
        <v>97140000</v>
      </c>
      <c r="G17" s="192">
        <f>LF!G17+'FF'!G17+PrF!G17+FSS!G17+PřF!G17+'FI'!G17+PdF!G17+FSpS!G17+ESF!G17</f>
        <v>98020000</v>
      </c>
      <c r="H17" s="192">
        <f>LF!H17+'FF'!H17+PrF!H17+FSS!H17+PřF!H17+'FI'!H17+PdF!H17+FSpS!H17+ESF!H17</f>
        <v>98020000</v>
      </c>
      <c r="I17" s="406">
        <f t="shared" si="0"/>
        <v>1.0090590899732346</v>
      </c>
      <c r="J17" s="192">
        <f>LF!J17+'FF'!J17+PrF!J17+FSS!J17+PřF!J17+'FI'!J17+PdF!J17+FSpS!J17+ESF!J17</f>
        <v>98020000</v>
      </c>
      <c r="K17" s="192">
        <v>93173000</v>
      </c>
      <c r="L17" s="192">
        <v>80915000</v>
      </c>
      <c r="M17" s="192">
        <v>62556851</v>
      </c>
      <c r="N17" s="192">
        <v>48869882</v>
      </c>
      <c r="O17" s="192">
        <v>33885000</v>
      </c>
      <c r="P17" s="461"/>
      <c r="Q17" s="461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424">
        <f>LF!F18+'FF'!F18+PrF!F18+FSS!F18+PřF!F18+'FI'!F18+PdF!F18+FSpS!F18+ESF!F18</f>
        <v>5397000</v>
      </c>
      <c r="G18" s="192">
        <f>LF!G18+'FF'!G18+PrF!G18+FSS!G18+PřF!G18+'FI'!G18+PdF!G18+FSpS!G18+ESF!G18</f>
        <v>9825109.24</v>
      </c>
      <c r="H18" s="192">
        <f>LF!H18+'FF'!H18+PrF!H18+FSS!H18+PřF!H18+'FI'!H18+PdF!H18+FSpS!H18+ESF!H18</f>
        <v>9795064.21</v>
      </c>
      <c r="I18" s="406">
        <f t="shared" si="0"/>
        <v>1.8149090624420976</v>
      </c>
      <c r="J18" s="192">
        <f>LF!J18+'FF'!J18+PrF!J18+FSS!J18+PřF!J18+'FI'!J18+PdF!J18+FSpS!J18+ESF!J18</f>
        <v>9825109.24</v>
      </c>
      <c r="K18" s="192">
        <v>6636404</v>
      </c>
      <c r="L18" s="192">
        <v>4772954.5</v>
      </c>
      <c r="M18" s="192">
        <v>5388635.639999999</v>
      </c>
      <c r="N18" s="192">
        <v>5884844</v>
      </c>
      <c r="O18" s="192">
        <v>5666000</v>
      </c>
      <c r="P18" s="461"/>
      <c r="Q18" s="461"/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424">
        <f>LF!F19+'FF'!F19+PrF!F19+FSS!F19+PřF!F19+'FI'!F19+PdF!F19+FSpS!F19+ESF!F19</f>
        <v>43110000</v>
      </c>
      <c r="G19" s="192">
        <f>LF!G19+'FF'!G19+PrF!G19+FSS!G19+PřF!G19+'FI'!G19+PdF!G19+FSpS!G19+ESF!G19</f>
        <v>49699024.28</v>
      </c>
      <c r="H19" s="192">
        <f>LF!H19+'FF'!H19+PrF!H19+FSS!H19+PřF!H19+'FI'!H19+PdF!H19+FSpS!H19+ESF!H19</f>
        <v>49432514.89</v>
      </c>
      <c r="I19" s="406">
        <f t="shared" si="0"/>
        <v>1.1466600531199258</v>
      </c>
      <c r="J19" s="192">
        <f>LF!J19+'FF'!J19+PrF!J19+FSS!J19+PřF!J19+'FI'!J19+PdF!J19+FSpS!J19+ESF!J19</f>
        <v>49699024.28</v>
      </c>
      <c r="K19" s="192">
        <v>57478916.370000005</v>
      </c>
      <c r="L19" s="192">
        <v>36746400</v>
      </c>
      <c r="M19" s="192">
        <v>48593194.07</v>
      </c>
      <c r="N19" s="192">
        <v>72521410</v>
      </c>
      <c r="O19" s="192">
        <v>36345000</v>
      </c>
      <c r="P19" s="461"/>
      <c r="Q19" s="461"/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424">
        <f>LF!F20+'FF'!F20+PrF!F20+FSS!F20+PřF!F20+'FI'!F20+PdF!F20+FSpS!F20+ESF!F20</f>
        <v>8828000</v>
      </c>
      <c r="G20" s="192">
        <f>LF!G20+'FF'!G20+PrF!G20+FSS!G20+PřF!G20+'FI'!G20+PdF!G20+FSpS!G20+ESF!G20</f>
        <v>8764000</v>
      </c>
      <c r="H20" s="192">
        <f>LF!H20+'FF'!H20+PrF!H20+FSS!H20+PřF!H20+'FI'!H20+PdF!H20+FSpS!H20+ESF!H20</f>
        <v>8763333</v>
      </c>
      <c r="I20" s="406">
        <f t="shared" si="0"/>
        <v>0.9926747847757137</v>
      </c>
      <c r="J20" s="192">
        <f>LF!J20+'FF'!J20+PrF!J20+FSS!J20+PřF!J20+'FI'!J20+PdF!J20+FSpS!J20+ESF!J20</f>
        <v>8764000</v>
      </c>
      <c r="K20" s="192">
        <v>10103000</v>
      </c>
      <c r="L20" s="192">
        <v>9696419.57</v>
      </c>
      <c r="M20" s="192">
        <v>13133077.75</v>
      </c>
      <c r="N20" s="192">
        <v>8785537</v>
      </c>
      <c r="O20" s="192">
        <v>11863000</v>
      </c>
      <c r="P20" s="461"/>
      <c r="Q20" s="461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424">
        <f>LF!F21+'FF'!F21+PrF!F21+FSS!F21+PřF!F21+'FI'!F21+PdF!F21+FSpS!F21+ESF!F21</f>
        <v>500000</v>
      </c>
      <c r="G21" s="192">
        <f>LF!G21+'FF'!G21+PrF!G21+FSS!G21+PřF!G21+'FI'!G21+PdF!G21+FSpS!G21+ESF!G21</f>
        <v>3610124</v>
      </c>
      <c r="H21" s="192">
        <f>LF!H21+'FF'!H21+PrF!H21+FSS!H21+PřF!H21+'FI'!H21+PdF!H21+FSpS!H21+ESF!H21</f>
        <v>3394589.95</v>
      </c>
      <c r="I21" s="406">
        <f t="shared" si="0"/>
        <v>6.789179900000001</v>
      </c>
      <c r="J21" s="192">
        <f>LF!J21+'FF'!J21+PrF!J21+FSS!J21+PřF!J21+'FI'!J21+PdF!J21+FSpS!J21+ESF!J21</f>
        <v>3610124</v>
      </c>
      <c r="K21" s="192">
        <v>3411808.98</v>
      </c>
      <c r="L21" s="192">
        <v>2308957.33</v>
      </c>
      <c r="M21" s="192">
        <v>3387159.1</v>
      </c>
      <c r="N21" s="192">
        <v>2066157</v>
      </c>
      <c r="O21" s="192">
        <v>1451000</v>
      </c>
      <c r="P21" s="461"/>
      <c r="Q21" s="461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424">
        <f>LF!F22+'FF'!F22+PrF!F22+FSS!F22+PřF!F22+'FI'!F22+PdF!F22+FSpS!F22+ESF!F22</f>
        <v>15120000</v>
      </c>
      <c r="G22" s="192">
        <f>LF!G22+'FF'!G22+PrF!G22+FSS!G22+PřF!G22+'FI'!G22+PdF!G22+FSpS!G22+ESF!G22</f>
        <v>36234119.82</v>
      </c>
      <c r="H22" s="192">
        <f>LF!H22+'FF'!H22+PrF!H22+FSS!H22+PřF!H22+'FI'!H22+PdF!H22+FSpS!H22+ESF!H22</f>
        <v>39233346.82</v>
      </c>
      <c r="I22" s="406">
        <f t="shared" si="0"/>
        <v>2.59479807010582</v>
      </c>
      <c r="J22" s="192">
        <f>LF!J22+'FF'!J22+PrF!J22+FSS!J22+PřF!J22+'FI'!J22+PdF!J22+FSpS!J22+ESF!J22</f>
        <v>39233346.82</v>
      </c>
      <c r="K22" s="192">
        <v>28887288.54</v>
      </c>
      <c r="L22" s="192">
        <v>22211071.21</v>
      </c>
      <c r="M22" s="192">
        <v>24052482.93</v>
      </c>
      <c r="N22" s="192">
        <v>19152068</v>
      </c>
      <c r="O22" s="192">
        <v>12674000</v>
      </c>
      <c r="P22" s="461"/>
      <c r="Q22" s="461"/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424">
        <f>LF!F23+'FF'!F23+PrF!F23+FSS!F23+PřF!F23+'FI'!F23+PdF!F23+FSpS!F23+ESF!F23</f>
        <v>256531000</v>
      </c>
      <c r="G23" s="192">
        <f>LF!G23+'FF'!G23+PrF!G23+FSS!G23+PřF!G23+'FI'!G23+PdF!G23+FSpS!G23+ESF!G23</f>
        <v>255282863.39</v>
      </c>
      <c r="H23" s="192">
        <f>LF!H23+'FF'!H23+PrF!H23+FSS!H23+PřF!H23+'FI'!H23+PdF!H23+FSpS!H23+ESF!H23</f>
        <v>257524595.53000003</v>
      </c>
      <c r="I23" s="406">
        <f t="shared" si="0"/>
        <v>1.0038731986777427</v>
      </c>
      <c r="J23" s="192">
        <f>LF!J23+'FF'!J23+PrF!J23+FSS!J23+PřF!J23+'FI'!J23+PdF!J23+FSpS!J23+ESF!J23</f>
        <v>255282863.39</v>
      </c>
      <c r="K23" s="192">
        <v>254564891</v>
      </c>
      <c r="L23" s="192">
        <v>113636000</v>
      </c>
      <c r="M23" s="192">
        <v>112989422.75</v>
      </c>
      <c r="N23" s="192">
        <v>100353000</v>
      </c>
      <c r="O23" s="192">
        <v>95328000</v>
      </c>
      <c r="P23" s="461"/>
      <c r="Q23" s="461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424">
        <f>LF!F24+'FF'!F24+PrF!F24+FSS!F24+PřF!F24+'FI'!F24+PdF!F24+FSpS!F24+ESF!F24</f>
        <v>179065000</v>
      </c>
      <c r="G24" s="192">
        <f>LF!G24+'FF'!G24+PrF!G24+FSS!G24+PřF!G24+'FI'!G24+PdF!G24+FSpS!G24+ESF!G24</f>
        <v>225013746.01999998</v>
      </c>
      <c r="H24" s="192">
        <f>LF!H24+'FF'!H24+PrF!H24+FSS!H24+PřF!H24+'FI'!H24+PdF!H24+FSpS!H24+ESF!H24</f>
        <v>222957979.42000002</v>
      </c>
      <c r="I24" s="406">
        <f t="shared" si="0"/>
        <v>1.2451231643258036</v>
      </c>
      <c r="J24" s="192">
        <f>LF!J24+'FF'!J24+PrF!J24+FSS!J24+PřF!J24+'FI'!J24+PdF!J24+FSpS!J24+ESF!J24</f>
        <v>225013746.01999998</v>
      </c>
      <c r="K24" s="192">
        <v>165511825.96</v>
      </c>
      <c r="L24" s="192">
        <v>123500728.64999999</v>
      </c>
      <c r="M24" s="192">
        <v>123333988</v>
      </c>
      <c r="N24" s="192">
        <v>95084674</v>
      </c>
      <c r="O24" s="192">
        <v>81399000</v>
      </c>
      <c r="P24" s="461"/>
      <c r="Q24" s="461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424">
        <f>LF!F25+'FF'!F25+PrF!F25+FSS!F25+PřF!F25+'FI'!F25+PdF!F25+FSpS!F25+ESF!F25</f>
        <v>52892000</v>
      </c>
      <c r="G25" s="192">
        <f>LF!G25+'FF'!G25+PrF!G25+FSS!G25+PřF!G25+'FI'!G25+PdF!G25+FSpS!G25+ESF!G25</f>
        <v>210822.77</v>
      </c>
      <c r="H25" s="192">
        <f>LF!H25+'FF'!H25+PrF!H25+FSS!H25+PřF!H25+'FI'!H25+PdF!H25+FSpS!H25+ESF!H25</f>
        <v>63553882.5</v>
      </c>
      <c r="I25" s="406">
        <f t="shared" si="0"/>
        <v>1.2015783577856765</v>
      </c>
      <c r="J25" s="192">
        <f>LF!J25+'FF'!J25+PrF!J25+FSS!J25+PřF!J25+'FI'!J25+PdF!J25+FSpS!J25+ESF!J25</f>
        <v>63553882.5</v>
      </c>
      <c r="K25" s="192">
        <v>50114361.97</v>
      </c>
      <c r="L25" s="192">
        <v>33774924</v>
      </c>
      <c r="M25" s="192">
        <v>21074010.96</v>
      </c>
      <c r="N25" s="192">
        <v>16793950</v>
      </c>
      <c r="O25" s="192">
        <v>13976000</v>
      </c>
      <c r="P25" s="461"/>
      <c r="Q25" s="461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424">
        <f>LF!F26+'FF'!F26+PrF!F26+FSS!F26+PřF!F26+'FI'!F26+PdF!F26+FSpS!F26+ESF!F26</f>
        <v>26650000</v>
      </c>
      <c r="G26" s="192">
        <f>LF!G26+'FF'!G26+PrF!G26+FSS!G26+PřF!G26+'FI'!G26+PdF!G26+FSpS!G26+ESF!G26</f>
        <v>0</v>
      </c>
      <c r="H26" s="192">
        <f>LF!H26+'FF'!H26+PrF!H26+FSS!H26+PřF!H26+'FI'!H26+PdF!H26+FSpS!H26+ESF!H26</f>
        <v>27926473.28</v>
      </c>
      <c r="I26" s="406">
        <f t="shared" si="0"/>
        <v>1.047897684052533</v>
      </c>
      <c r="J26" s="192">
        <f>LF!J26+'FF'!J26+PrF!J26+FSS!J26+PřF!J26+'FI'!J26+PdF!J26+FSpS!J26+ESF!J26</f>
        <v>27926473.28</v>
      </c>
      <c r="K26" s="192">
        <v>28231797.87</v>
      </c>
      <c r="L26" s="192">
        <v>30526041.540000003</v>
      </c>
      <c r="M26" s="192">
        <v>13287275.559999999</v>
      </c>
      <c r="N26" s="192">
        <v>23547528</v>
      </c>
      <c r="O26" s="192">
        <v>24339000</v>
      </c>
      <c r="P26" s="461"/>
      <c r="Q26" s="461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423">
        <f>SUM(F28:F42)</f>
        <v>2158576000</v>
      </c>
      <c r="G27" s="221">
        <f>SUM(G28:G42)</f>
        <v>1904047889.9299998</v>
      </c>
      <c r="H27" s="221">
        <f>SUM(H28:H42)</f>
        <v>2308904584.25</v>
      </c>
      <c r="I27" s="403">
        <f t="shared" si="0"/>
        <v>1.0696424792316788</v>
      </c>
      <c r="J27" s="221">
        <f>LF!J27+'FF'!J27+PrF!J27+FSS!J27+PřF!J27+'FI'!J27+PdF!J27+FSpS!J27+ESF!J27</f>
        <v>2306810125.09</v>
      </c>
      <c r="K27" s="221">
        <v>2047383102.6700003</v>
      </c>
      <c r="L27" s="221">
        <v>1662877568.0700002</v>
      </c>
      <c r="M27" s="221">
        <v>1335974191.8200002</v>
      </c>
      <c r="N27" s="221">
        <v>1212597138</v>
      </c>
      <c r="O27" s="221">
        <v>983315000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424">
        <f>LF!F28+'FF'!F28+PrF!F28+FSS!F28+PřF!F28+'FI'!F28+PdF!F28+FSpS!F28+ESF!F28</f>
        <v>1134395000</v>
      </c>
      <c r="G28" s="192">
        <f>LF!G28+'FF'!G28+PrF!G28+FSS!G28+PřF!G28+'FI'!G28+PdF!G28+FSpS!G28+ESF!G28</f>
        <v>1140816847</v>
      </c>
      <c r="H28" s="192">
        <f>LF!H28+'FF'!H28+PrF!H28+FSS!H28+PřF!H28+'FI'!H28+PdF!H28+FSpS!H28+ESF!H28</f>
        <v>1140987574.85</v>
      </c>
      <c r="I28" s="407">
        <f t="shared" si="0"/>
        <v>1.0058115337691016</v>
      </c>
      <c r="J28" s="192">
        <f>LF!J28+'FF'!J28+PrF!J28+FSS!J28+PřF!J28+'FI'!J28+PdF!J28+FSpS!J28+ESF!J28</f>
        <v>1140816847</v>
      </c>
      <c r="K28" s="192">
        <v>1012497875.95</v>
      </c>
      <c r="L28" s="192">
        <v>968988653.69</v>
      </c>
      <c r="M28" s="192">
        <v>678553591.52</v>
      </c>
      <c r="N28" s="192">
        <v>592940000</v>
      </c>
      <c r="O28" s="584">
        <v>475989000</v>
      </c>
      <c r="P28" s="581">
        <f>LF!P28+'FF'!P28+PrF!P28+FSS!P28+PřF!P28+'FI'!P28+PdF!P28+FSpS!P28+ESF!P28</f>
        <v>3168997</v>
      </c>
      <c r="Q28" s="581">
        <f>LF!Q28+'FF'!Q28+PrF!Q28+FSS!Q28+PřF!Q28+'FI'!Q28+PdF!Q28+FSpS!Q28+ESF!Q28</f>
        <v>0</v>
      </c>
      <c r="R28" s="581">
        <f>LF!R28+'FF'!R28+PrF!R28+FSS!R28+PřF!R28+'FI'!R28+PdF!R28+FSpS!R28+ESF!R28</f>
        <v>0</v>
      </c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425">
        <f>LF!F29+'FF'!F29+PrF!F29+FSS!F29+PřF!F29+'FI'!F29+PdF!F29+FSpS!F29+ESF!F29</f>
        <v>97140000</v>
      </c>
      <c r="G29" s="326">
        <f>LF!G29+'FF'!G29+PrF!G29+FSS!G29+PřF!G29+'FI'!G29+PdF!G29+FSpS!G29+ESF!G29</f>
        <v>98020000</v>
      </c>
      <c r="H29" s="326">
        <f>LF!H29+'FF'!H29+PrF!H29+FSS!H29+PřF!H29+'FI'!H29+PdF!H29+FSpS!H29+ESF!H29</f>
        <v>98020000</v>
      </c>
      <c r="I29" s="407">
        <f t="shared" si="0"/>
        <v>1.0090590899732346</v>
      </c>
      <c r="J29" s="326">
        <f>LF!J29+'FF'!J29+PrF!J29+FSS!J29+PřF!J29+'FI'!J29+PdF!J29+FSpS!J29+ESF!J29</f>
        <v>98020000</v>
      </c>
      <c r="K29" s="326">
        <v>93173000</v>
      </c>
      <c r="L29" s="326">
        <v>80915000</v>
      </c>
      <c r="M29" s="326">
        <v>62556851</v>
      </c>
      <c r="N29" s="326">
        <v>48869882</v>
      </c>
      <c r="O29" s="326">
        <v>33885000</v>
      </c>
      <c r="P29" s="581">
        <f>LF!P29+'FF'!P29+PrF!P29+FSS!P29+PřF!P29+'FI'!P29+PdF!P29+FSpS!P29+ESF!P29</f>
        <v>0</v>
      </c>
      <c r="Q29" s="581">
        <f>LF!Q29+'FF'!Q29+PrF!Q29+FSS!Q29+PřF!Q29+'FI'!Q29+PdF!Q29+FSpS!Q29+ESF!Q29</f>
        <v>0</v>
      </c>
      <c r="R29" s="581">
        <f>LF!R29+'FF'!R29+PrF!R29+FSS!R29+PřF!R29+'FI'!R29+PdF!R29+FSpS!R29+ESF!R29</f>
        <v>0</v>
      </c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425">
        <f>LF!F30+'FF'!F30+PrF!F30+FSS!F30+PřF!F30+'FI'!F30+PdF!F30+FSpS!F30+ESF!F30</f>
        <v>5397000</v>
      </c>
      <c r="G30" s="326">
        <f>LF!G30+'FF'!G30+PrF!G30+FSS!G30+PřF!G30+'FI'!G30+PdF!G30+FSpS!G30+ESF!G30</f>
        <v>9825109.24</v>
      </c>
      <c r="H30" s="326">
        <f>LF!H30+'FF'!H30+PrF!H30+FSS!H30+PřF!H30+'FI'!H30+PdF!H30+FSpS!H30+ESF!H30</f>
        <v>9795064.21</v>
      </c>
      <c r="I30" s="407">
        <f t="shared" si="0"/>
        <v>1.8149090624420976</v>
      </c>
      <c r="J30" s="326">
        <f>LF!J30+'FF'!J30+PrF!J30+FSS!J30+PřF!J30+'FI'!J30+PdF!J30+FSpS!J30+ESF!J30</f>
        <v>9825109.24</v>
      </c>
      <c r="K30" s="326">
        <v>6636404</v>
      </c>
      <c r="L30" s="326">
        <v>4772954.5</v>
      </c>
      <c r="M30" s="326">
        <v>5380958.289999999</v>
      </c>
      <c r="N30" s="326">
        <v>5884844</v>
      </c>
      <c r="O30" s="326">
        <v>5681000</v>
      </c>
      <c r="P30" s="581">
        <f>LF!P30+'FF'!P30+PrF!P30+FSS!P30+PřF!P30+'FI'!P30+PdF!P30+FSpS!P30+ESF!P30</f>
        <v>0</v>
      </c>
      <c r="Q30" s="581">
        <f>LF!Q30+'FF'!Q30+PrF!Q30+FSS!Q30+PřF!Q30+'FI'!Q30+PdF!Q30+FSpS!Q30+ESF!Q30</f>
        <v>0</v>
      </c>
      <c r="R30" s="581">
        <f>LF!R30+'FF'!R30+PrF!R30+FSS!R30+PřF!R30+'FI'!R30+PdF!R30+FSpS!R30+ESF!R30</f>
        <v>0</v>
      </c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425">
        <f>LF!F31+'FF'!F31+PrF!F31+FSS!F31+PřF!F31+'FI'!F31+PdF!F31+FSpS!F31+ESF!F31</f>
        <v>43110000</v>
      </c>
      <c r="G31" s="326">
        <f>LF!G31+'FF'!G31+PrF!G31+FSS!G31+PřF!G31+'FI'!G31+PdF!G31+FSpS!G31+ESF!G31</f>
        <v>49699024.28</v>
      </c>
      <c r="H31" s="326">
        <f>LF!H31+'FF'!H31+PrF!H31+FSS!H31+PřF!H31+'FI'!H31+PdF!H31+FSpS!H31+ESF!H31</f>
        <v>49432514.89</v>
      </c>
      <c r="I31" s="407">
        <f t="shared" si="0"/>
        <v>1.1466600531199258</v>
      </c>
      <c r="J31" s="326">
        <f>LF!J31+'FF'!J31+PrF!J31+FSS!J31+PřF!J31+'FI'!J31+PdF!J31+FSpS!J31+ESF!J31</f>
        <v>49699024.28</v>
      </c>
      <c r="K31" s="326">
        <v>57478916.370000005</v>
      </c>
      <c r="L31" s="326">
        <v>36746400</v>
      </c>
      <c r="M31" s="326">
        <v>48593144.63</v>
      </c>
      <c r="N31" s="326">
        <v>72521410</v>
      </c>
      <c r="O31" s="326">
        <v>44556000</v>
      </c>
      <c r="P31" s="581">
        <f>LF!P31+'FF'!P31+PrF!P31+FSS!P31+PřF!P31+'FI'!P31+PdF!P31+FSpS!P31+ESF!P31</f>
        <v>0</v>
      </c>
      <c r="Q31" s="581">
        <f>LF!Q31+'FF'!Q31+PrF!Q31+FSS!Q31+PřF!Q31+'FI'!Q31+PdF!Q31+FSpS!Q31+ESF!Q31</f>
        <v>0</v>
      </c>
      <c r="R31" s="581">
        <f>LF!R31+'FF'!R31+PrF!R31+FSS!R31+PřF!R31+'FI'!R31+PdF!R31+FSpS!R31+ESF!R31</f>
        <v>0</v>
      </c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425">
        <f>LF!F32+'FF'!F32+PrF!F32+FSS!F32+PřF!F32+'FI'!F32+PdF!F32+FSpS!F32+ESF!F32</f>
        <v>8828000</v>
      </c>
      <c r="G32" s="326">
        <f>LF!G32+'FF'!G32+PrF!G32+FSS!G32+PřF!G32+'FI'!G32+PdF!G32+FSpS!G32+ESF!G32</f>
        <v>8764000</v>
      </c>
      <c r="H32" s="326">
        <f>LF!H32+'FF'!H32+PrF!H32+FSS!H32+PřF!H32+'FI'!H32+PdF!H32+FSpS!H32+ESF!H32</f>
        <v>8763333</v>
      </c>
      <c r="I32" s="407">
        <f t="shared" si="0"/>
        <v>0.9926747847757137</v>
      </c>
      <c r="J32" s="326">
        <f>LF!J32+'FF'!J32+PrF!J32+FSS!J32+PřF!J32+'FI'!J32+PdF!J32+FSpS!J32+ESF!J32</f>
        <v>8764000</v>
      </c>
      <c r="K32" s="326">
        <v>10103000</v>
      </c>
      <c r="L32" s="326">
        <v>9696419.57</v>
      </c>
      <c r="M32" s="326">
        <v>13133077.75</v>
      </c>
      <c r="N32" s="326">
        <v>8785537</v>
      </c>
      <c r="O32" s="326">
        <v>11862000</v>
      </c>
      <c r="P32" s="581">
        <f>LF!P32+'FF'!P32+PrF!P32+FSS!P32+PřF!P32+'FI'!P32+PdF!P32+FSpS!P32+ESF!P32</f>
        <v>0</v>
      </c>
      <c r="Q32" s="581">
        <f>LF!Q32+'FF'!Q32+PrF!Q32+FSS!Q32+PřF!Q32+'FI'!Q32+PdF!Q32+FSpS!Q32+ESF!Q32</f>
        <v>0</v>
      </c>
      <c r="R32" s="581">
        <f>LF!R32+'FF'!R32+PrF!R32+FSS!R32+PřF!R32+'FI'!R32+PdF!R32+FSpS!R32+ESF!R32</f>
        <v>0</v>
      </c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425">
        <f>LF!F33+'FF'!F33+PrF!F33+FSS!F33+PřF!F33+'FI'!F33+PdF!F33+FSpS!F33+ESF!F33</f>
        <v>0</v>
      </c>
      <c r="G33" s="326">
        <f>LF!G33+'FF'!G33+PrF!G33+FSS!G33+PřF!G33+'FI'!G33+PdF!G33+FSpS!G33+ESF!G33</f>
        <v>0</v>
      </c>
      <c r="H33" s="326">
        <f>LF!H33+'FF'!H33+PrF!H33+FSS!H33+PřF!H33+'FI'!H33+PdF!H33+FSpS!H33+ESF!H33</f>
        <v>0</v>
      </c>
      <c r="I33" s="407" t="e">
        <f t="shared" si="0"/>
        <v>#DIV/0!</v>
      </c>
      <c r="J33" s="326">
        <f>LF!J33+'FF'!J33+PrF!J33+FSS!J33+PřF!J33+'FI'!J33+PdF!J33+FSpS!J33+ESF!J33</f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581">
        <f>LF!P33+'FF'!P33+PrF!P33+FSS!P33+PřF!P33+'FI'!P33+PdF!P33+FSpS!P33+ESF!P33</f>
        <v>0</v>
      </c>
      <c r="Q33" s="581">
        <f>LF!Q33+'FF'!Q33+PrF!Q33+FSS!Q33+PřF!Q33+'FI'!Q33+PdF!Q33+FSpS!Q33+ESF!Q33</f>
        <v>0</v>
      </c>
      <c r="R33" s="581">
        <f>LF!R33+'FF'!R33+PrF!R33+FSS!R33+PřF!R33+'FI'!R33+PdF!R33+FSpS!R33+ESF!R33</f>
        <v>0</v>
      </c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425">
        <f>LF!F34+'FF'!F34+PrF!F34+FSS!F34+PřF!F34+'FI'!F34+PdF!F34+FSpS!F34+ESF!F34</f>
        <v>881000</v>
      </c>
      <c r="G34" s="326">
        <f>LF!G34+'FF'!G34+PrF!G34+FSS!G34+PřF!G34+'FI'!G34+PdF!G34+FSpS!G34+ESF!G34</f>
        <v>3711300</v>
      </c>
      <c r="H34" s="326">
        <f>LF!H34+'FF'!H34+PrF!H34+FSS!H34+PřF!H34+'FI'!H34+PdF!H34+FSpS!H34+ESF!H34</f>
        <v>3394589.95</v>
      </c>
      <c r="I34" s="407">
        <f t="shared" si="0"/>
        <v>3.853110045402951</v>
      </c>
      <c r="J34" s="326">
        <f>LF!J34+'FF'!J34+PrF!J34+FSS!J34+PřF!J34+'FI'!J34+PdF!J34+FSpS!J34+ESF!J34</f>
        <v>3711300</v>
      </c>
      <c r="K34" s="326">
        <v>3411808.98</v>
      </c>
      <c r="L34" s="326">
        <v>2308957.16</v>
      </c>
      <c r="M34" s="326">
        <v>3387159</v>
      </c>
      <c r="N34" s="326">
        <v>2066157</v>
      </c>
      <c r="O34" s="326">
        <v>1451000</v>
      </c>
      <c r="P34" s="581">
        <f>LF!P34+'FF'!P34+PrF!P34+FSS!P34+PřF!P34+'FI'!P34+PdF!P34+FSpS!P34+ESF!P34</f>
        <v>0</v>
      </c>
      <c r="Q34" s="581">
        <f>LF!Q34+'FF'!Q34+PrF!Q34+FSS!Q34+PřF!Q34+'FI'!Q34+PdF!Q34+FSpS!Q34+ESF!Q34</f>
        <v>0</v>
      </c>
      <c r="R34" s="581">
        <f>LF!R34+'FF'!R34+PrF!R34+FSS!R34+PřF!R34+'FI'!R34+PdF!R34+FSpS!R34+ESF!R34</f>
        <v>0</v>
      </c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425">
        <f>LF!F35+'FF'!F35+PrF!F35+FSS!F35+PřF!F35+'FI'!F35+PdF!F35+FSpS!F35+ESF!F35</f>
        <v>14905000</v>
      </c>
      <c r="G35" s="326">
        <f>LF!G35+'FF'!G35+PrF!G35+FSS!G35+PřF!G35+'FI'!G35+PdF!G35+FSpS!G35+ESF!G35</f>
        <v>0</v>
      </c>
      <c r="H35" s="326">
        <f>LF!H35+'FF'!H35+PrF!H35+FSS!H35+PřF!H35+'FI'!H35+PdF!H35+FSpS!H35+ESF!H35</f>
        <v>39608061.20999999</v>
      </c>
      <c r="I35" s="407">
        <f t="shared" si="0"/>
        <v>2.657367407581348</v>
      </c>
      <c r="J35" s="326">
        <f>LF!J35+'FF'!J35+PrF!J35+FSS!J35+PřF!J35+'FI'!J35+PdF!J35+FSpS!J35+ESF!J35</f>
        <v>37256363.97</v>
      </c>
      <c r="K35" s="326">
        <v>29196468.59</v>
      </c>
      <c r="L35" s="326">
        <v>22904019.560000002</v>
      </c>
      <c r="M35" s="326">
        <v>25581623.200000003</v>
      </c>
      <c r="N35" s="326">
        <v>20220415</v>
      </c>
      <c r="O35" s="326">
        <v>17284000</v>
      </c>
      <c r="P35" s="581">
        <f>LF!P35+'FF'!P35+PrF!P35+FSS!P35+PřF!P35+'FI'!P35+PdF!P35+FSpS!P35+ESF!P35</f>
        <v>0</v>
      </c>
      <c r="Q35" s="581">
        <f>LF!Q35+'FF'!Q35+PrF!Q35+FSS!Q35+PřF!Q35+'FI'!Q35+PdF!Q35+FSpS!Q35+ESF!Q35</f>
        <v>0</v>
      </c>
      <c r="R35" s="581">
        <f>LF!R35+'FF'!R35+PrF!R35+FSS!R35+PřF!R35+'FI'!R35+PdF!R35+FSpS!R35+ESF!R35</f>
        <v>0</v>
      </c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425">
        <f>LF!F36+'FF'!F36+PrF!F36+FSS!F36+PřF!F36+'FI'!F36+PdF!F36+FSpS!F36+ESF!F36</f>
        <v>112915000</v>
      </c>
      <c r="G36" s="326">
        <f>LF!G36+'FF'!G36+PrF!G36+FSS!G36+PřF!G36+'FI'!G36+PdF!G36+FSpS!G36+ESF!G36</f>
        <v>112915000</v>
      </c>
      <c r="H36" s="326">
        <f>LF!H36+'FF'!H36+PrF!H36+FSS!H36+PřF!H36+'FI'!H36+PdF!H36+FSpS!H36+ESF!H36</f>
        <v>112915000</v>
      </c>
      <c r="I36" s="407">
        <f t="shared" si="0"/>
        <v>1</v>
      </c>
      <c r="J36" s="326">
        <f>LF!J36+'FF'!J36+PrF!J36+FSS!J36+PřF!J36+'FI'!J36+PdF!J36+FSpS!J36+ESF!J36</f>
        <v>112915000</v>
      </c>
      <c r="K36" s="326">
        <v>99469000</v>
      </c>
      <c r="L36" s="326">
        <v>98014000</v>
      </c>
      <c r="M36" s="326">
        <v>93699999.99</v>
      </c>
      <c r="N36" s="326">
        <v>89632000</v>
      </c>
      <c r="O36" s="326">
        <v>65916000</v>
      </c>
      <c r="P36" s="581">
        <f>LF!P36+'FF'!P36+PrF!P36+FSS!P36+PřF!P36+'FI'!P36+PdF!P36+FSpS!P36+ESF!P36</f>
        <v>0</v>
      </c>
      <c r="Q36" s="581">
        <f>LF!Q36+'FF'!Q36+PrF!Q36+FSS!Q36+PřF!Q36+'FI'!Q36+PdF!Q36+FSpS!Q36+ESF!Q36</f>
        <v>0</v>
      </c>
      <c r="R36" s="581">
        <f>LF!R36+'FF'!R36+PrF!R36+FSS!R36+PřF!R36+'FI'!R36+PdF!R36+FSpS!R36+ESF!R36</f>
        <v>0</v>
      </c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425">
        <f>LF!F37+'FF'!F37+PrF!F37+FSS!F37+PřF!F37+'FI'!F37+PdF!F37+FSpS!F37+ESF!F37</f>
        <v>256531000</v>
      </c>
      <c r="G37" s="326">
        <f>LF!G37+'FF'!G37+PrF!G37+FSS!G37+PřF!G37+'FI'!G37+PdF!G37+FSpS!G37+ESF!G37</f>
        <v>255282863.39</v>
      </c>
      <c r="H37" s="326">
        <f>LF!H37+'FF'!H37+PrF!H37+FSS!H37+PřF!H37+'FI'!H37+PdF!H37+FSpS!H37+ESF!H37</f>
        <v>257524595.53000003</v>
      </c>
      <c r="I37" s="407">
        <f t="shared" si="0"/>
        <v>1.0038731986777427</v>
      </c>
      <c r="J37" s="326">
        <f>LF!J37+'FF'!J37+PrF!J37+FSS!J37+PřF!J37+'FI'!J37+PdF!J37+FSpS!J37+ESF!J37</f>
        <v>255282863.39</v>
      </c>
      <c r="K37" s="326">
        <v>254564890.62</v>
      </c>
      <c r="L37" s="326">
        <v>113636000.01</v>
      </c>
      <c r="M37" s="326">
        <v>112989422.75</v>
      </c>
      <c r="N37" s="326">
        <v>100353000</v>
      </c>
      <c r="O37" s="326">
        <v>95328000</v>
      </c>
      <c r="P37" s="581">
        <f>LF!P37+'FF'!P37+PrF!P37+FSS!P37+PřF!P37+'FI'!P37+PdF!P37+FSpS!P37+ESF!P37</f>
        <v>0</v>
      </c>
      <c r="Q37" s="581">
        <f>LF!Q37+'FF'!Q37+PrF!Q37+FSS!Q37+PřF!Q37+'FI'!Q37+PdF!Q37+FSpS!Q37+ESF!Q37</f>
        <v>0</v>
      </c>
      <c r="R37" s="581">
        <f>LF!R37+'FF'!R37+PrF!R37+FSS!R37+PřF!R37+'FI'!R37+PdF!R37+FSpS!R37+ESF!R37</f>
        <v>0</v>
      </c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425">
        <f>LF!F38+'FF'!F38+PrF!F38+FSS!F38+PřF!F38+'FI'!F38+PdF!F38+FSpS!F38+ESF!F38</f>
        <v>178777000</v>
      </c>
      <c r="G38" s="326">
        <f>LF!G38+'FF'!G38+PrF!G38+FSS!G38+PřF!G38+'FI'!G38+PdF!G38+FSpS!G38+ESF!G38</f>
        <v>225013746.01999998</v>
      </c>
      <c r="H38" s="326">
        <f>LF!H38+'FF'!H38+PrF!H38+FSS!H38+PřF!H38+'FI'!H38+PdF!H38+FSpS!H38+ESF!H38</f>
        <v>222957979.42000002</v>
      </c>
      <c r="I38" s="407">
        <f t="shared" si="0"/>
        <v>1.2471289898588747</v>
      </c>
      <c r="J38" s="326">
        <f>LF!J38+'FF'!J38+PrF!J38+FSS!J38+PřF!J38+'FI'!J38+PdF!J38+FSpS!J38+ESF!J38</f>
        <v>225013746.01999998</v>
      </c>
      <c r="K38" s="326">
        <v>165511825.66</v>
      </c>
      <c r="L38" s="326">
        <v>123497310</v>
      </c>
      <c r="M38" s="326">
        <v>123333977.82000001</v>
      </c>
      <c r="N38" s="326">
        <v>95084674</v>
      </c>
      <c r="O38" s="326">
        <v>81412000</v>
      </c>
      <c r="P38" s="581">
        <f>LF!P38+'FF'!P38+PrF!P38+FSS!P38+PřF!P38+'FI'!P38+PdF!P38+FSpS!P38+ESF!P38</f>
        <v>3740305</v>
      </c>
      <c r="Q38" s="581">
        <f>LF!Q38+'FF'!Q38+PrF!Q38+FSS!Q38+PřF!Q38+'FI'!Q38+PdF!Q38+FSpS!Q38+ESF!Q38</f>
        <v>278620.23</v>
      </c>
      <c r="R38" s="581">
        <f>LF!R38+'FF'!R38+PrF!R38+FSS!R38+PřF!R38+'FI'!R38+PdF!R38+FSpS!R38+ESF!R38</f>
        <v>4639275.11</v>
      </c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425">
        <f>LF!F39+'FF'!F39+PrF!F39+FSS!F39+PřF!F39+'FI'!F39+PdF!F39+FSpS!F39+ESF!F39</f>
        <v>52893000</v>
      </c>
      <c r="G39" s="326">
        <f>LF!G39+'FF'!G39+PrF!G39+FSS!G39+PřF!G39+'FI'!G39+PdF!G39+FSpS!G39+ESF!G39</f>
        <v>0</v>
      </c>
      <c r="H39" s="326">
        <f>LF!H39+'FF'!H39+PrF!H39+FSS!H39+PřF!H39+'FI'!H39+PdF!H39+FSpS!H39+ESF!H39</f>
        <v>63553882.5</v>
      </c>
      <c r="I39" s="407">
        <f t="shared" si="0"/>
        <v>1.201555640632976</v>
      </c>
      <c r="J39" s="326">
        <f>LF!J39+'FF'!J39+PrF!J39+FSS!J39+PřF!J39+'FI'!J39+PdF!J39+FSpS!J39+ESF!J39</f>
        <v>63553882.5</v>
      </c>
      <c r="K39" s="326">
        <v>49992633.68</v>
      </c>
      <c r="L39" s="326">
        <v>33774247.66</v>
      </c>
      <c r="M39" s="326">
        <v>21059619.05</v>
      </c>
      <c r="N39" s="326">
        <v>16826571</v>
      </c>
      <c r="O39" s="326">
        <v>14024000</v>
      </c>
      <c r="P39" s="581">
        <f>LF!P39+'FF'!P39+PrF!P39+FSS!P39+PřF!P39+'FI'!P39+PdF!P39+FSpS!P39+ESF!P39</f>
        <v>0</v>
      </c>
      <c r="Q39" s="581">
        <f>LF!Q39+'FF'!Q39+PrF!Q39+FSS!Q39+PřF!Q39+'FI'!Q39+PdF!Q39+FSpS!Q39+ESF!Q39</f>
        <v>0</v>
      </c>
      <c r="R39" s="581">
        <f>LF!R39+'FF'!R39+PrF!R39+FSS!R39+PřF!R39+'FI'!R39+PdF!R39+FSpS!R39+ESF!R39</f>
        <v>0</v>
      </c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425">
        <f>LF!F40+'FF'!F40+PrF!F40+FSS!F40+PřF!F40+'FI'!F40+PdF!F40+FSpS!F40+ESF!F40</f>
        <v>202567000</v>
      </c>
      <c r="G40" s="326">
        <f>LF!G40+'FF'!G40+PrF!G40+FSS!G40+PřF!G40+'FI'!G40+PdF!G40+FSpS!G40+ESF!G40</f>
        <v>0</v>
      </c>
      <c r="H40" s="326">
        <f>LF!H40+'FF'!H40+PrF!H40+FSS!H40+PřF!H40+'FI'!H40+PdF!H40+FSpS!H40+ESF!H40</f>
        <v>260472083.21</v>
      </c>
      <c r="I40" s="407">
        <f t="shared" si="0"/>
        <v>1.285856448533078</v>
      </c>
      <c r="J40" s="326">
        <f>LF!J40+'FF'!J40+PrF!J40+FSS!J40+PřF!J40+'FI'!J40+PdF!J40+FSpS!J40+ESF!J40</f>
        <v>260472083.21</v>
      </c>
      <c r="K40" s="326">
        <v>220622348.82999998</v>
      </c>
      <c r="L40" s="326">
        <v>129789239.39</v>
      </c>
      <c r="M40" s="326">
        <v>114963021.70000002</v>
      </c>
      <c r="N40" s="326">
        <v>132721145</v>
      </c>
      <c r="O40" s="326">
        <v>104633000</v>
      </c>
      <c r="P40" s="581">
        <f>LF!P40+'FF'!P40+PrF!P40+FSS!P40+PřF!P40+'FI'!P40+PdF!P40+FSpS!P40+ESF!P40</f>
        <v>0</v>
      </c>
      <c r="Q40" s="581">
        <f>LF!Q40+'FF'!Q40+PrF!Q40+FSS!Q40+PřF!Q40+'FI'!Q40+PdF!Q40+FSpS!Q40+ESF!Q40</f>
        <v>0</v>
      </c>
      <c r="R40" s="581">
        <f>LF!R40+'FF'!R40+PrF!R40+FSS!R40+PřF!R40+'FI'!R40+PdF!R40+FSpS!R40+ESF!R40</f>
        <v>0</v>
      </c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425">
        <f>LF!F41+'FF'!F41+PrF!F41+FSS!F41+PřF!F41+'FI'!F41+PdF!F41+FSpS!F41+ESF!F41</f>
        <v>18963000</v>
      </c>
      <c r="G41" s="326">
        <f>LF!G41+'FF'!G41+PrF!G41+FSS!G41+PřF!G41+'FI'!G41+PdF!G41+FSpS!G41+ESF!G41</f>
        <v>0</v>
      </c>
      <c r="H41" s="326">
        <f>LF!H41+'FF'!H41+PrF!H41+FSS!H41+PřF!H41+'FI'!H41+PdF!H41+FSpS!H41+ESF!H41</f>
        <v>11018653</v>
      </c>
      <c r="I41" s="407">
        <f t="shared" si="0"/>
        <v>0.5810606444128039</v>
      </c>
      <c r="J41" s="326">
        <f>LF!J41+'FF'!J41+PrF!J41+FSS!J41+PřF!J41+'FI'!J41+PdF!J41+FSpS!J41+ESF!J41</f>
        <v>11018653</v>
      </c>
      <c r="K41" s="326">
        <v>10559450</v>
      </c>
      <c r="L41" s="326">
        <v>2766532</v>
      </c>
      <c r="M41" s="326">
        <v>2340712</v>
      </c>
      <c r="N41" s="326">
        <v>1010000</v>
      </c>
      <c r="O41" s="326">
        <v>1225000</v>
      </c>
      <c r="P41" s="581">
        <f>LF!P41+'FF'!P41+PrF!P41+FSS!P41+PřF!P41+'FI'!P41+PdF!P41+FSpS!P41+ESF!P41</f>
        <v>0</v>
      </c>
      <c r="Q41" s="581">
        <f>LF!Q41+'FF'!Q41+PrF!Q41+FSS!Q41+PřF!Q41+'FI'!Q41+PdF!Q41+FSpS!Q41+ESF!Q41</f>
        <v>0</v>
      </c>
      <c r="R41" s="581">
        <f>LF!R41+'FF'!R41+PrF!R41+FSS!R41+PřF!R41+'FI'!R41+PdF!R41+FSpS!R41+ESF!R41</f>
        <v>0</v>
      </c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425">
        <f>LF!F42+'FF'!F42+PrF!F42+FSS!F42+PřF!F42+'FI'!F42+PdF!F42+FSpS!F42+ESF!F42</f>
        <v>31274000</v>
      </c>
      <c r="G42" s="326">
        <f>LF!G42+'FF'!G42+PrF!G42+FSS!G42+PřF!G42+'FI'!G42+PdF!G42+FSpS!G42+ESF!G42</f>
        <v>0</v>
      </c>
      <c r="H42" s="326">
        <f>LF!H42+'FF'!H42+PrF!H42+FSS!H42+PřF!H42+'FI'!H42+PdF!H42+FSpS!H42+ESF!H42</f>
        <v>30461252.480000004</v>
      </c>
      <c r="I42" s="407">
        <f t="shared" si="0"/>
        <v>0.974012038114728</v>
      </c>
      <c r="J42" s="326">
        <f>LF!J42+'FF'!J42+PrF!J42+FSS!J42+PřF!J42+'FI'!J42+PdF!J42+FSpS!J42+ESF!J42</f>
        <v>30461252.480000004</v>
      </c>
      <c r="K42" s="326">
        <v>34165479.99</v>
      </c>
      <c r="L42" s="326">
        <v>35067834.529999994</v>
      </c>
      <c r="M42" s="326">
        <v>30401033.120000005</v>
      </c>
      <c r="N42" s="326">
        <v>25681503</v>
      </c>
      <c r="O42" s="326">
        <v>30069000</v>
      </c>
      <c r="P42" s="581">
        <f>LF!P42+'FF'!P42+PrF!P42+FSS!P42+PřF!P42+'FI'!P42+PdF!P42+FSpS!P42+ESF!P42</f>
        <v>0</v>
      </c>
      <c r="Q42" s="581">
        <f>LF!Q42+'FF'!Q42+PrF!Q42+FSS!Q42+PřF!Q42+'FI'!Q42+PdF!Q42+FSpS!Q42+ESF!Q42</f>
        <v>0</v>
      </c>
      <c r="R42" s="581">
        <f>LF!R42+'FF'!R42+PrF!R42+FSS!R42+PřF!R42+'FI'!R42+PdF!R42+FSpS!R42+ESF!R42</f>
        <v>0</v>
      </c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426">
        <f>LF!F43+'FF'!F43+PrF!F43+FSS!F43+PřF!F43+'FI'!F43+PdF!F43+FSpS!F43+ESF!F43</f>
        <v>8246675</v>
      </c>
      <c r="G43" s="227">
        <f>LF!G43+'FF'!G43+PrF!G43+FSS!G43+PřF!G43+'FI'!G43+PdF!G43+FSpS!G43+ESF!G43</f>
        <v>0</v>
      </c>
      <c r="H43" s="227">
        <f>LF!H43+'FF'!H43+PrF!H43+FSS!H43+PřF!H43+'FI'!H43+PdF!H43+FSpS!H43+ESF!H43</f>
        <v>368677169.37</v>
      </c>
      <c r="I43" s="408">
        <f t="shared" si="0"/>
        <v>44.70615967890089</v>
      </c>
      <c r="J43" s="227">
        <f>LF!J43+'FF'!J43+PrF!J43+FSS!J43+PřF!J43+'FI'!J43+PdF!J43+FSpS!J43+ESF!J43</f>
        <v>34115820.02000007</v>
      </c>
      <c r="K43" s="227">
        <v>39533285.73000004</v>
      </c>
      <c r="L43" s="227"/>
      <c r="M43" s="227">
        <v>42165566.07000002</v>
      </c>
      <c r="N43" s="227">
        <v>33798488</v>
      </c>
      <c r="O43" s="227">
        <v>-889000</v>
      </c>
      <c r="P43" s="581"/>
      <c r="Q43" s="581"/>
      <c r="R43" s="582"/>
      <c r="S43" s="89"/>
    </row>
    <row r="44" spans="1:18" ht="12.75">
      <c r="A44" s="239" t="s">
        <v>165</v>
      </c>
      <c r="B44" s="171"/>
      <c r="C44" s="171"/>
      <c r="D44" s="171"/>
      <c r="E44" s="245">
        <v>40</v>
      </c>
      <c r="F44" s="423">
        <f>F27-F4</f>
        <v>8125675</v>
      </c>
      <c r="G44" s="221">
        <f>G27-G4</f>
        <v>1217388080.4099998</v>
      </c>
      <c r="H44" s="221">
        <f>H27-H4</f>
        <v>34661262.25999975</v>
      </c>
      <c r="I44" s="409">
        <f t="shared" si="0"/>
        <v>4.265647132084381</v>
      </c>
      <c r="J44" s="221">
        <f>J27-J4</f>
        <v>32240013.170000076</v>
      </c>
      <c r="K44" s="221">
        <v>39720736.81000042</v>
      </c>
      <c r="L44" s="221">
        <v>36480425.57000017</v>
      </c>
      <c r="M44" s="221">
        <v>43672577.36000013</v>
      </c>
      <c r="N44" s="221">
        <v>34899456</v>
      </c>
      <c r="O44" s="221">
        <v>12007000</v>
      </c>
      <c r="P44" s="581"/>
      <c r="Q44" s="581"/>
      <c r="R44" s="583"/>
    </row>
    <row r="45" spans="1:17" s="89" customFormat="1" ht="11.25">
      <c r="A45" s="89" t="s">
        <v>140</v>
      </c>
      <c r="B45" s="90"/>
      <c r="C45" s="90"/>
      <c r="D45" s="90"/>
      <c r="E45" s="90"/>
      <c r="F45" s="90"/>
      <c r="G45" s="90" t="s">
        <v>203</v>
      </c>
      <c r="H45" s="91">
        <f>LF!H45+'FF'!H45+PrF!H45+FSS!H45+PřF!H45+'FI'!H45+PdF!H45+FSpS!H45+ESF!H45</f>
        <v>21517830.24</v>
      </c>
      <c r="I45" s="453">
        <f>5/12</f>
        <v>0.4166666666666667</v>
      </c>
      <c r="J45" s="90"/>
      <c r="K45" s="90"/>
      <c r="L45" s="90"/>
      <c r="M45" s="90"/>
      <c r="N45" s="90"/>
      <c r="O45" s="90"/>
      <c r="P45" s="458"/>
      <c r="Q45" s="458"/>
    </row>
    <row r="46" spans="1:17" s="89" customFormat="1" ht="11.25">
      <c r="A46" s="210" t="s">
        <v>141</v>
      </c>
      <c r="B46" s="90"/>
      <c r="C46" s="90"/>
      <c r="D46" s="90"/>
      <c r="E46" s="90"/>
      <c r="F46" s="91">
        <f>SUM(F47:F48)</f>
        <v>127851000</v>
      </c>
      <c r="G46" s="91"/>
      <c r="H46" s="91"/>
      <c r="I46" s="91"/>
      <c r="J46" s="91"/>
      <c r="K46" s="91"/>
      <c r="L46" s="91"/>
      <c r="M46" s="91"/>
      <c r="N46" s="91"/>
      <c r="O46" s="91"/>
      <c r="P46" s="458"/>
      <c r="Q46" s="458"/>
    </row>
    <row r="47" spans="1:17" s="89" customFormat="1" ht="11.25">
      <c r="A47" s="142" t="s">
        <v>142</v>
      </c>
      <c r="B47" s="90"/>
      <c r="C47" s="90"/>
      <c r="D47" s="90"/>
      <c r="E47" s="90"/>
      <c r="F47" s="91">
        <f>LF!F47+'FF'!F47+PrF!F47+FSS!F47+PřF!F47+'FI'!F47+PdF!F47+FSpS!F47+ESF!F47</f>
        <v>38176000</v>
      </c>
      <c r="G47" s="91"/>
      <c r="H47" s="91"/>
      <c r="I47" s="91"/>
      <c r="J47" s="91"/>
      <c r="K47" s="91"/>
      <c r="L47" s="91"/>
      <c r="M47" s="91"/>
      <c r="N47" s="91"/>
      <c r="O47" s="91"/>
      <c r="P47" s="458"/>
      <c r="Q47" s="458"/>
    </row>
    <row r="48" spans="1:17" s="89" customFormat="1" ht="11.25">
      <c r="A48" s="142" t="s">
        <v>143</v>
      </c>
      <c r="B48" s="90"/>
      <c r="C48" s="90"/>
      <c r="D48" s="90"/>
      <c r="E48" s="90"/>
      <c r="F48" s="91">
        <f>LF!F48+'FF'!F48+PrF!F48+FSS!F48+PřF!F48+'FI'!F48+PdF!F48+FSpS!F48+ESF!F48</f>
        <v>89675000</v>
      </c>
      <c r="G48" s="91"/>
      <c r="H48" s="91"/>
      <c r="I48" s="91"/>
      <c r="J48" s="91"/>
      <c r="K48" s="91"/>
      <c r="L48" s="91"/>
      <c r="M48" s="91"/>
      <c r="N48" s="91"/>
      <c r="O48" s="91"/>
      <c r="P48" s="458"/>
      <c r="Q48" s="458"/>
    </row>
    <row r="49" spans="1:17" s="89" customFormat="1" ht="11.25">
      <c r="A49" s="142" t="s">
        <v>144</v>
      </c>
      <c r="B49" s="90"/>
      <c r="C49" s="90"/>
      <c r="D49" s="90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458"/>
      <c r="Q49" s="458"/>
    </row>
    <row r="50" spans="1:17" s="89" customFormat="1" ht="11.25">
      <c r="A50" s="90" t="s">
        <v>170</v>
      </c>
      <c r="B50" s="90"/>
      <c r="C50" s="90"/>
      <c r="D50" s="90"/>
      <c r="F50" s="91">
        <f>LF!F50+'FF'!F50+PrF!F50+FSS!F50+PřF!F50+'FI'!F50+PdF!F50+FSpS!F50+ESF!F50</f>
        <v>913712000</v>
      </c>
      <c r="G50" s="91"/>
      <c r="H50" s="91"/>
      <c r="I50" s="91"/>
      <c r="J50" s="91"/>
      <c r="K50" s="91"/>
      <c r="L50" s="91"/>
      <c r="M50" s="91"/>
      <c r="N50" s="91"/>
      <c r="O50" s="91"/>
      <c r="P50" s="458"/>
      <c r="Q50" s="458"/>
    </row>
    <row r="51" spans="1:17" s="89" customFormat="1" ht="11.25">
      <c r="A51" s="90" t="s">
        <v>146</v>
      </c>
      <c r="B51" s="90"/>
      <c r="C51" s="90"/>
      <c r="D51" s="90"/>
      <c r="F51" s="91">
        <f>LF!F51+'FF'!F51+PrF!F51+FSS!F51+PřF!F51+'FI'!F51+PdF!F51+FSpS!F51+ESF!F51</f>
        <v>24734000</v>
      </c>
      <c r="G51" s="91"/>
      <c r="H51" s="91"/>
      <c r="I51" s="91"/>
      <c r="J51" s="91"/>
      <c r="K51" s="91"/>
      <c r="L51" s="91"/>
      <c r="M51" s="91"/>
      <c r="N51" s="91"/>
      <c r="O51" s="91"/>
      <c r="P51" s="458"/>
      <c r="Q51" s="458"/>
    </row>
    <row r="52" spans="1:17" s="89" customFormat="1" ht="11.25">
      <c r="A52" s="90" t="s">
        <v>171</v>
      </c>
      <c r="B52" s="90"/>
      <c r="C52" s="90"/>
      <c r="D52" s="90"/>
      <c r="F52" s="91">
        <f>LF!F52+'FF'!F52+PrF!F52+FSS!F52+PřF!F52+'FI'!F52+PdF!F52+FSpS!F52+ESF!F52</f>
        <v>197363000</v>
      </c>
      <c r="G52" s="91"/>
      <c r="H52" s="91"/>
      <c r="I52" s="91"/>
      <c r="J52" s="91"/>
      <c r="K52" s="91"/>
      <c r="L52" s="91"/>
      <c r="M52" s="91"/>
      <c r="N52" s="91"/>
      <c r="O52" s="91"/>
      <c r="P52" s="458"/>
      <c r="Q52" s="458"/>
    </row>
    <row r="53" spans="1:17" s="89" customFormat="1" ht="11.25">
      <c r="A53" s="90" t="s">
        <v>169</v>
      </c>
      <c r="B53" s="90"/>
      <c r="C53" s="90"/>
      <c r="D53" s="90"/>
      <c r="F53" s="91">
        <f>LF!F53+'FF'!F53+PrF!F53+FSS!F53+PřF!F53+'FI'!F53+PdF!F53+FSpS!F53+ESF!F53</f>
        <v>973794000</v>
      </c>
      <c r="G53" s="91"/>
      <c r="H53" s="91"/>
      <c r="I53" s="91"/>
      <c r="J53" s="91"/>
      <c r="K53" s="91"/>
      <c r="L53" s="91"/>
      <c r="M53" s="91"/>
      <c r="N53" s="91"/>
      <c r="O53" s="91"/>
      <c r="P53" s="458"/>
      <c r="Q53" s="458"/>
    </row>
    <row r="54" spans="1:17" s="89" customFormat="1" ht="11.25">
      <c r="A54" s="90"/>
      <c r="B54" s="90"/>
      <c r="C54" s="90"/>
      <c r="D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458"/>
      <c r="Q54" s="458"/>
    </row>
  </sheetData>
  <mergeCells count="1">
    <mergeCell ref="A1:D1"/>
  </mergeCells>
  <printOptions horizontalCentered="1"/>
  <pageMargins left="0.3" right="0.16" top="0.34" bottom="0.31" header="0.1968503937007874" footer="0.19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8"/>
  <dimension ref="A1:R54"/>
  <sheetViews>
    <sheetView workbookViewId="0" topLeftCell="A1">
      <selection activeCell="A4" sqref="A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6" width="11.00390625" style="2" customWidth="1"/>
    <col min="7" max="7" width="8.75390625" style="89" bestFit="1" customWidth="1"/>
    <col min="8" max="8" width="11.00390625" style="2" customWidth="1"/>
    <col min="9" max="9" width="5.875" style="413" bestFit="1" customWidth="1"/>
    <col min="10" max="10" width="11.00390625" style="89" hidden="1" customWidth="1"/>
    <col min="11" max="15" width="9.625" style="89" bestFit="1" customWidth="1"/>
    <col min="16" max="16" width="6.625" style="0" customWidth="1"/>
    <col min="17" max="17" width="3.75390625" style="0" customWidth="1"/>
    <col min="18" max="18" width="5.75390625" style="89" customWidth="1"/>
  </cols>
  <sheetData>
    <row r="1" spans="1:16" ht="15.75">
      <c r="A1" s="613" t="s">
        <v>138</v>
      </c>
      <c r="B1" s="614"/>
      <c r="C1" s="614"/>
      <c r="D1" s="615"/>
      <c r="E1" s="242"/>
      <c r="F1" s="327" t="s">
        <v>7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</row>
    <row r="2" spans="1:18" s="7" customFormat="1" ht="12.75">
      <c r="A2" s="237" t="s">
        <v>39</v>
      </c>
      <c r="B2" s="44"/>
      <c r="C2" s="44"/>
      <c r="D2" s="45" t="s">
        <v>42</v>
      </c>
      <c r="E2" s="243" t="s">
        <v>21</v>
      </c>
      <c r="F2" s="328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  <c r="R2" s="89"/>
    </row>
    <row r="3" spans="1:18" s="7" customFormat="1" ht="12.75" hidden="1">
      <c r="A3" s="238"/>
      <c r="B3" s="137"/>
      <c r="C3" s="137"/>
      <c r="D3" s="138"/>
      <c r="E3" s="244"/>
      <c r="F3" s="329">
        <v>1</v>
      </c>
      <c r="G3" s="220"/>
      <c r="H3" s="358"/>
      <c r="I3" s="363"/>
      <c r="J3" s="321"/>
      <c r="K3" s="220">
        <v>4</v>
      </c>
      <c r="L3" s="220">
        <v>4</v>
      </c>
      <c r="M3" s="220">
        <v>5</v>
      </c>
      <c r="N3" s="220">
        <v>6</v>
      </c>
      <c r="O3" s="220">
        <v>7</v>
      </c>
      <c r="R3" s="89"/>
    </row>
    <row r="4" spans="1:15" ht="12.75">
      <c r="A4" s="239" t="s">
        <v>157</v>
      </c>
      <c r="B4" s="171"/>
      <c r="C4" s="171"/>
      <c r="D4" s="171"/>
      <c r="E4" s="245">
        <v>1</v>
      </c>
      <c r="F4" s="330">
        <f>SUM(F6:F26)</f>
        <v>153277000</v>
      </c>
      <c r="G4" s="221">
        <f>SUM(G6:G26)</f>
        <v>731000</v>
      </c>
      <c r="H4" s="221">
        <f>SUM(H6:H26)</f>
        <v>152400618.18</v>
      </c>
      <c r="I4" s="403">
        <f>H4/F4</f>
        <v>0.9942823657822113</v>
      </c>
      <c r="J4" s="221">
        <f aca="true" t="shared" si="0" ref="J4:O4">SUM(J6:J26)</f>
        <v>152400618.18</v>
      </c>
      <c r="K4" s="221">
        <f t="shared" si="0"/>
        <v>151844124.24</v>
      </c>
      <c r="L4" s="221">
        <f t="shared" si="0"/>
        <v>151875522.88</v>
      </c>
      <c r="M4" s="221">
        <f t="shared" si="0"/>
        <v>144936636.43</v>
      </c>
      <c r="N4" s="221">
        <f t="shared" si="0"/>
        <v>137547000</v>
      </c>
      <c r="O4" s="221">
        <f t="shared" si="0"/>
        <v>132456000</v>
      </c>
    </row>
    <row r="5" spans="1:18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128277000</v>
      </c>
      <c r="G5" s="192">
        <f>SUM(G6:G16)</f>
        <v>0</v>
      </c>
      <c r="H5" s="192">
        <f>SUM(H6:H16)</f>
        <v>127012064.40000002</v>
      </c>
      <c r="I5" s="431">
        <f>H5/F5</f>
        <v>0.9901390303795694</v>
      </c>
      <c r="J5" s="192">
        <f aca="true" t="shared" si="1" ref="J5:O5">SUM(J6:J16)</f>
        <v>127012064.4</v>
      </c>
      <c r="K5" s="192">
        <f t="shared" si="1"/>
        <v>128257769.94</v>
      </c>
      <c r="L5" s="192">
        <f t="shared" si="1"/>
        <v>130619358.21999998</v>
      </c>
      <c r="M5" s="192">
        <f t="shared" si="1"/>
        <v>125766281.34</v>
      </c>
      <c r="N5" s="192">
        <f t="shared" si="1"/>
        <v>120258000</v>
      </c>
      <c r="O5" s="192">
        <f t="shared" si="1"/>
        <v>114233000</v>
      </c>
      <c r="R5" s="89"/>
    </row>
    <row r="6" spans="1:18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29933000</v>
      </c>
      <c r="G6" s="174"/>
      <c r="H6" s="343">
        <v>29728750</v>
      </c>
      <c r="I6" s="432">
        <f aca="true" t="shared" si="2" ref="I6:I14">H6/F6</f>
        <v>0.9931764273544249</v>
      </c>
      <c r="J6" s="174">
        <f>H6/12*12</f>
        <v>29728750</v>
      </c>
      <c r="K6" s="174">
        <v>29406395</v>
      </c>
      <c r="L6" s="174">
        <v>27331962</v>
      </c>
      <c r="M6" s="174">
        <v>28044650</v>
      </c>
      <c r="N6" s="174">
        <v>26118000</v>
      </c>
      <c r="O6" s="174">
        <v>23478000</v>
      </c>
      <c r="R6" s="91"/>
    </row>
    <row r="7" spans="1:18" s="29" customFormat="1" ht="12">
      <c r="A7" s="241"/>
      <c r="B7" s="27"/>
      <c r="C7" s="27"/>
      <c r="D7" s="28" t="s">
        <v>18</v>
      </c>
      <c r="E7" s="246">
        <v>4</v>
      </c>
      <c r="F7" s="332"/>
      <c r="G7" s="174"/>
      <c r="H7" s="564">
        <v>485655</v>
      </c>
      <c r="I7" s="432" t="e">
        <f t="shared" si="2"/>
        <v>#DIV/0!</v>
      </c>
      <c r="J7" s="174">
        <f aca="true" t="shared" si="3" ref="J7:J15">H7/12*12</f>
        <v>485655</v>
      </c>
      <c r="K7" s="174">
        <v>105463</v>
      </c>
      <c r="L7" s="174">
        <v>32860</v>
      </c>
      <c r="M7" s="174">
        <v>16089</v>
      </c>
      <c r="N7" s="174">
        <v>22000</v>
      </c>
      <c r="O7" s="174">
        <v>57000</v>
      </c>
      <c r="R7" s="91"/>
    </row>
    <row r="8" spans="1:18" s="29" customFormat="1" ht="12">
      <c r="A8" s="241"/>
      <c r="B8" s="27"/>
      <c r="C8" s="27"/>
      <c r="D8" s="28" t="s">
        <v>19</v>
      </c>
      <c r="E8" s="246">
        <v>5</v>
      </c>
      <c r="F8" s="332">
        <v>10566000</v>
      </c>
      <c r="G8" s="174"/>
      <c r="H8" s="343">
        <v>10515164</v>
      </c>
      <c r="I8" s="432">
        <f t="shared" si="2"/>
        <v>0.9951887185311377</v>
      </c>
      <c r="J8" s="174">
        <f t="shared" si="3"/>
        <v>10515164</v>
      </c>
      <c r="K8" s="174">
        <v>10281323</v>
      </c>
      <c r="L8" s="174">
        <v>9626139</v>
      </c>
      <c r="M8" s="174">
        <v>9680192</v>
      </c>
      <c r="N8" s="174">
        <v>9041000</v>
      </c>
      <c r="O8" s="174">
        <v>8107000</v>
      </c>
      <c r="R8" s="91"/>
    </row>
    <row r="9" spans="1:18" s="29" customFormat="1" ht="12">
      <c r="A9" s="241"/>
      <c r="B9" s="27"/>
      <c r="C9" s="27"/>
      <c r="D9" s="28" t="s">
        <v>0</v>
      </c>
      <c r="E9" s="246">
        <v>6</v>
      </c>
      <c r="F9" s="332">
        <v>28000000</v>
      </c>
      <c r="G9" s="174"/>
      <c r="H9" s="343">
        <v>28670058.98</v>
      </c>
      <c r="I9" s="432">
        <f t="shared" si="2"/>
        <v>1.0239306778571429</v>
      </c>
      <c r="J9" s="174">
        <f t="shared" si="3"/>
        <v>28670058.979999997</v>
      </c>
      <c r="K9" s="174">
        <v>26919468.04</v>
      </c>
      <c r="L9" s="174">
        <v>25805337.18</v>
      </c>
      <c r="M9" s="174">
        <v>25023753.52</v>
      </c>
      <c r="N9" s="174">
        <v>24746000</v>
      </c>
      <c r="O9" s="174">
        <v>25439000</v>
      </c>
      <c r="R9" s="91"/>
    </row>
    <row r="10" spans="1:18" s="29" customFormat="1" ht="12">
      <c r="A10" s="241"/>
      <c r="B10" s="27"/>
      <c r="C10" s="27"/>
      <c r="D10" s="28" t="s">
        <v>1</v>
      </c>
      <c r="E10" s="246">
        <v>7</v>
      </c>
      <c r="F10" s="332">
        <v>12000000</v>
      </c>
      <c r="G10" s="174"/>
      <c r="H10" s="343">
        <v>13074772.73</v>
      </c>
      <c r="I10" s="432">
        <f t="shared" si="2"/>
        <v>1.0895643941666666</v>
      </c>
      <c r="J10" s="174">
        <f t="shared" si="3"/>
        <v>13074772.73</v>
      </c>
      <c r="K10" s="174">
        <v>18661009.75</v>
      </c>
      <c r="L10" s="174">
        <v>21973514.46</v>
      </c>
      <c r="M10" s="174">
        <v>25589719.38</v>
      </c>
      <c r="N10" s="174">
        <v>24374000</v>
      </c>
      <c r="O10" s="174">
        <v>23916000</v>
      </c>
      <c r="R10" s="91"/>
    </row>
    <row r="11" spans="1:18" s="29" customFormat="1" ht="12">
      <c r="A11" s="241"/>
      <c r="B11" s="27"/>
      <c r="C11" s="27"/>
      <c r="D11" s="28" t="s">
        <v>2</v>
      </c>
      <c r="E11" s="246">
        <v>8</v>
      </c>
      <c r="F11" s="332">
        <v>26000000</v>
      </c>
      <c r="G11" s="174"/>
      <c r="H11" s="343">
        <v>22085350.23</v>
      </c>
      <c r="I11" s="432">
        <f t="shared" si="2"/>
        <v>0.8494365473076924</v>
      </c>
      <c r="J11" s="174">
        <f t="shared" si="3"/>
        <v>22085350.23</v>
      </c>
      <c r="K11" s="174">
        <v>22166587.6</v>
      </c>
      <c r="L11" s="174">
        <v>24218452.5</v>
      </c>
      <c r="M11" s="174">
        <v>25425063.01</v>
      </c>
      <c r="N11" s="174">
        <v>21695000</v>
      </c>
      <c r="O11" s="174">
        <v>22241000</v>
      </c>
      <c r="R11" s="91"/>
    </row>
    <row r="12" spans="1:18" s="29" customFormat="1" ht="12">
      <c r="A12" s="241"/>
      <c r="B12" s="27"/>
      <c r="C12" s="27"/>
      <c r="D12" s="28" t="s">
        <v>3</v>
      </c>
      <c r="E12" s="246">
        <v>9</v>
      </c>
      <c r="F12" s="332">
        <v>17000000</v>
      </c>
      <c r="G12" s="174"/>
      <c r="H12" s="343">
        <v>17429515.92</v>
      </c>
      <c r="I12" s="432">
        <f t="shared" si="2"/>
        <v>1.0252656423529414</v>
      </c>
      <c r="J12" s="550">
        <f>H12/12*12</f>
        <v>17429515.92</v>
      </c>
      <c r="K12" s="174">
        <v>15939084.87</v>
      </c>
      <c r="L12" s="174">
        <v>14799340.69</v>
      </c>
      <c r="M12" s="174">
        <v>9844427.43</v>
      </c>
      <c r="N12" s="174">
        <v>8676000</v>
      </c>
      <c r="O12" s="174">
        <v>6812000</v>
      </c>
      <c r="R12" s="91"/>
    </row>
    <row r="13" spans="1:18" s="29" customFormat="1" ht="12">
      <c r="A13" s="241"/>
      <c r="B13" s="27"/>
      <c r="C13" s="27"/>
      <c r="D13" s="28" t="s">
        <v>4</v>
      </c>
      <c r="E13" s="246">
        <v>10</v>
      </c>
      <c r="F13" s="332">
        <v>102000</v>
      </c>
      <c r="G13" s="174"/>
      <c r="H13" s="343">
        <v>102643.83</v>
      </c>
      <c r="I13" s="432">
        <f t="shared" si="2"/>
        <v>1.0063120588235295</v>
      </c>
      <c r="J13" s="174">
        <f t="shared" si="3"/>
        <v>102643.83</v>
      </c>
      <c r="K13" s="174">
        <v>118125.62</v>
      </c>
      <c r="L13" s="174">
        <v>90338.52</v>
      </c>
      <c r="M13" s="174">
        <v>72644.91</v>
      </c>
      <c r="N13" s="174">
        <v>75000</v>
      </c>
      <c r="O13" s="174">
        <v>78000</v>
      </c>
      <c r="R13" s="91"/>
    </row>
    <row r="14" spans="1:18" s="29" customFormat="1" ht="13.5">
      <c r="A14" s="241"/>
      <c r="B14" s="27"/>
      <c r="C14" s="27"/>
      <c r="D14" s="28" t="s">
        <v>178</v>
      </c>
      <c r="E14" s="246">
        <v>11</v>
      </c>
      <c r="F14" s="332">
        <v>10397000</v>
      </c>
      <c r="G14" s="174"/>
      <c r="H14" s="343">
        <v>10651994.9</v>
      </c>
      <c r="I14" s="432">
        <f t="shared" si="2"/>
        <v>1.0245258151389824</v>
      </c>
      <c r="J14" s="174">
        <f>H14/12*12</f>
        <v>10651994.9</v>
      </c>
      <c r="K14" s="174">
        <v>10271491.71</v>
      </c>
      <c r="L14" s="174">
        <v>11810855.91</v>
      </c>
      <c r="M14" s="174">
        <v>5062751.68</v>
      </c>
      <c r="N14" s="174">
        <v>4436000</v>
      </c>
      <c r="O14" s="174">
        <v>3490000</v>
      </c>
      <c r="R14" s="91"/>
    </row>
    <row r="15" spans="1:18" s="29" customFormat="1" ht="12">
      <c r="A15" s="241"/>
      <c r="B15" s="27"/>
      <c r="C15" s="27"/>
      <c r="D15" s="28" t="s">
        <v>6</v>
      </c>
      <c r="E15" s="246">
        <v>12</v>
      </c>
      <c r="F15" s="332"/>
      <c r="G15" s="174"/>
      <c r="H15" s="343"/>
      <c r="I15" s="432"/>
      <c r="J15" s="174">
        <f t="shared" si="3"/>
        <v>0</v>
      </c>
      <c r="K15" s="174"/>
      <c r="L15" s="174"/>
      <c r="M15" s="174"/>
      <c r="N15" s="174"/>
      <c r="O15" s="174"/>
      <c r="R15" s="91"/>
    </row>
    <row r="16" spans="1:18" s="29" customFormat="1" ht="12">
      <c r="A16" s="241"/>
      <c r="B16" s="28"/>
      <c r="C16" s="28"/>
      <c r="D16" s="28" t="s">
        <v>9</v>
      </c>
      <c r="E16" s="246">
        <v>13</v>
      </c>
      <c r="F16" s="332">
        <f>-8550000+2000000+829000</f>
        <v>-5721000</v>
      </c>
      <c r="G16" s="174"/>
      <c r="H16" s="343">
        <v>-5731841.19</v>
      </c>
      <c r="I16" s="432">
        <f>H16/F16</f>
        <v>1.0018949816465654</v>
      </c>
      <c r="J16" s="550">
        <f>H16/12*12</f>
        <v>-5731841.19</v>
      </c>
      <c r="K16" s="174">
        <v>-5611178.65</v>
      </c>
      <c r="L16" s="174">
        <v>-5069442.04</v>
      </c>
      <c r="M16" s="174">
        <v>-2993009.59</v>
      </c>
      <c r="N16" s="174">
        <v>1075000</v>
      </c>
      <c r="O16" s="174">
        <v>615000</v>
      </c>
      <c r="R16" s="91"/>
    </row>
    <row r="17" spans="1:18" s="5" customFormat="1" ht="12">
      <c r="A17" s="240"/>
      <c r="B17" s="4" t="s">
        <v>14</v>
      </c>
      <c r="C17" s="3"/>
      <c r="D17" s="3"/>
      <c r="E17" s="246">
        <v>14</v>
      </c>
      <c r="F17" s="331"/>
      <c r="G17" s="192"/>
      <c r="H17" s="359"/>
      <c r="I17" s="432"/>
      <c r="J17" s="187"/>
      <c r="K17" s="192"/>
      <c r="L17" s="192"/>
      <c r="M17" s="192"/>
      <c r="N17" s="192"/>
      <c r="O17" s="192"/>
      <c r="R17" s="91"/>
    </row>
    <row r="18" spans="1:18" s="5" customFormat="1" ht="12">
      <c r="A18" s="240"/>
      <c r="B18" s="4" t="s">
        <v>15</v>
      </c>
      <c r="C18" s="3"/>
      <c r="D18" s="3"/>
      <c r="E18" s="246">
        <v>15</v>
      </c>
      <c r="F18" s="331"/>
      <c r="G18" s="192">
        <f>J18</f>
        <v>731000</v>
      </c>
      <c r="H18" s="274">
        <v>731000</v>
      </c>
      <c r="I18" s="432">
        <f>H18/G18</f>
        <v>1</v>
      </c>
      <c r="J18" s="187">
        <f>J30</f>
        <v>731000</v>
      </c>
      <c r="K18" s="192">
        <v>732000</v>
      </c>
      <c r="L18" s="192">
        <v>709090</v>
      </c>
      <c r="M18" s="192">
        <v>882000</v>
      </c>
      <c r="N18" s="192">
        <v>1094000</v>
      </c>
      <c r="O18" s="192">
        <v>853000</v>
      </c>
      <c r="R18" s="91"/>
    </row>
    <row r="19" spans="1:18" s="5" customFormat="1" ht="12">
      <c r="A19" s="240"/>
      <c r="B19" s="4" t="s">
        <v>20</v>
      </c>
      <c r="C19" s="3"/>
      <c r="D19" s="3"/>
      <c r="E19" s="246">
        <v>16</v>
      </c>
      <c r="F19" s="331"/>
      <c r="G19" s="192"/>
      <c r="H19" s="359"/>
      <c r="I19" s="432"/>
      <c r="J19" s="187"/>
      <c r="K19" s="192"/>
      <c r="L19" s="192"/>
      <c r="M19" s="192"/>
      <c r="N19" s="192"/>
      <c r="O19" s="192"/>
      <c r="R19" s="91"/>
    </row>
    <row r="20" spans="1:18" s="5" customFormat="1" ht="12">
      <c r="A20" s="240"/>
      <c r="B20" s="4" t="s">
        <v>16</v>
      </c>
      <c r="C20" s="3"/>
      <c r="D20" s="3"/>
      <c r="E20" s="246">
        <v>17</v>
      </c>
      <c r="F20" s="331"/>
      <c r="G20" s="192"/>
      <c r="H20" s="359"/>
      <c r="I20" s="432"/>
      <c r="J20" s="187"/>
      <c r="K20" s="192"/>
      <c r="L20" s="192"/>
      <c r="M20" s="192"/>
      <c r="N20" s="192"/>
      <c r="O20" s="192"/>
      <c r="R20" s="91"/>
    </row>
    <row r="21" spans="1:18" s="5" customFormat="1" ht="12">
      <c r="A21" s="240"/>
      <c r="B21" s="4" t="s">
        <v>24</v>
      </c>
      <c r="C21" s="4"/>
      <c r="D21" s="4"/>
      <c r="E21" s="246">
        <v>18</v>
      </c>
      <c r="F21" s="331"/>
      <c r="G21" s="192"/>
      <c r="H21" s="359"/>
      <c r="I21" s="432"/>
      <c r="J21" s="187"/>
      <c r="K21" s="192"/>
      <c r="L21" s="192"/>
      <c r="M21" s="192"/>
      <c r="N21" s="192"/>
      <c r="O21" s="192"/>
      <c r="R21" s="91"/>
    </row>
    <row r="22" spans="1:18" s="5" customFormat="1" ht="12">
      <c r="A22" s="240"/>
      <c r="B22" s="4" t="s">
        <v>31</v>
      </c>
      <c r="C22" s="4"/>
      <c r="D22" s="4"/>
      <c r="E22" s="246">
        <v>19</v>
      </c>
      <c r="F22" s="331"/>
      <c r="G22" s="192"/>
      <c r="H22" s="359"/>
      <c r="I22" s="432"/>
      <c r="J22" s="187"/>
      <c r="K22" s="192"/>
      <c r="L22" s="192"/>
      <c r="M22" s="192"/>
      <c r="N22" s="192"/>
      <c r="O22" s="192"/>
      <c r="R22" s="91"/>
    </row>
    <row r="23" spans="1:18" s="5" customFormat="1" ht="12">
      <c r="A23" s="240"/>
      <c r="B23" s="4" t="s">
        <v>25</v>
      </c>
      <c r="C23" s="4"/>
      <c r="D23" s="4"/>
      <c r="E23" s="246">
        <v>20</v>
      </c>
      <c r="F23" s="331"/>
      <c r="G23" s="192"/>
      <c r="H23" s="359"/>
      <c r="I23" s="432"/>
      <c r="J23" s="187"/>
      <c r="K23" s="192"/>
      <c r="L23" s="192"/>
      <c r="M23" s="192"/>
      <c r="N23" s="192"/>
      <c r="O23" s="192"/>
      <c r="R23" s="91"/>
    </row>
    <row r="24" spans="1:18" s="5" customFormat="1" ht="12">
      <c r="A24" s="240"/>
      <c r="B24" s="4" t="s">
        <v>26</v>
      </c>
      <c r="C24" s="4"/>
      <c r="D24" s="4"/>
      <c r="E24" s="246">
        <v>21</v>
      </c>
      <c r="F24" s="331"/>
      <c r="G24" s="192"/>
      <c r="H24" s="359"/>
      <c r="I24" s="432"/>
      <c r="J24" s="187"/>
      <c r="K24" s="192"/>
      <c r="L24" s="192"/>
      <c r="M24" s="192"/>
      <c r="N24" s="192"/>
      <c r="O24" s="192"/>
      <c r="R24" s="91"/>
    </row>
    <row r="25" spans="1:18" s="5" customFormat="1" ht="12">
      <c r="A25" s="240"/>
      <c r="B25" s="4" t="s">
        <v>27</v>
      </c>
      <c r="C25" s="4"/>
      <c r="D25" s="4"/>
      <c r="E25" s="246">
        <v>22</v>
      </c>
      <c r="F25" s="331"/>
      <c r="G25" s="192"/>
      <c r="H25" s="359"/>
      <c r="I25" s="432"/>
      <c r="J25" s="187"/>
      <c r="K25" s="192"/>
      <c r="L25" s="192"/>
      <c r="M25" s="192"/>
      <c r="N25" s="192"/>
      <c r="O25" s="192"/>
      <c r="R25" s="91"/>
    </row>
    <row r="26" spans="1:18" s="5" customFormat="1" ht="12">
      <c r="A26" s="240"/>
      <c r="B26" s="95" t="s">
        <v>30</v>
      </c>
      <c r="C26" s="95"/>
      <c r="D26" s="95"/>
      <c r="E26" s="246">
        <v>23</v>
      </c>
      <c r="F26" s="331">
        <v>25000000</v>
      </c>
      <c r="G26" s="192"/>
      <c r="H26" s="274">
        <v>24657553.78</v>
      </c>
      <c r="I26" s="433">
        <f>H26/F26</f>
        <v>0.9863021512000001</v>
      </c>
      <c r="J26" s="187">
        <f>H26/12*12</f>
        <v>24657553.78</v>
      </c>
      <c r="K26" s="192">
        <v>22854354.3</v>
      </c>
      <c r="L26" s="192">
        <v>20547074.66</v>
      </c>
      <c r="M26" s="192">
        <v>18288355.09</v>
      </c>
      <c r="N26" s="192">
        <v>16195000</v>
      </c>
      <c r="O26" s="192">
        <v>17370000</v>
      </c>
      <c r="R26" s="91"/>
    </row>
    <row r="27" spans="1:18" ht="12.75">
      <c r="A27" s="239" t="s">
        <v>158</v>
      </c>
      <c r="B27" s="171"/>
      <c r="C27" s="171"/>
      <c r="D27" s="171"/>
      <c r="E27" s="245">
        <v>24</v>
      </c>
      <c r="F27" s="330">
        <f>SUM(F28:F42)</f>
        <v>156807000</v>
      </c>
      <c r="G27" s="221">
        <f>SUM(G28:G42)</f>
        <v>17405000</v>
      </c>
      <c r="H27" s="221">
        <f>SUM(H28:H42)</f>
        <v>155220334.62</v>
      </c>
      <c r="I27" s="403">
        <f>H27/F27</f>
        <v>0.9898814123093995</v>
      </c>
      <c r="J27" s="221">
        <f aca="true" t="shared" si="4" ref="J27:O27">SUM(J28:J42)</f>
        <v>155220334.62</v>
      </c>
      <c r="K27" s="221">
        <f t="shared" si="4"/>
        <v>157192737.63</v>
      </c>
      <c r="L27" s="221">
        <f t="shared" si="4"/>
        <v>158442178.39</v>
      </c>
      <c r="M27" s="221">
        <f t="shared" si="4"/>
        <v>147505097.17999998</v>
      </c>
      <c r="N27" s="221">
        <f t="shared" si="4"/>
        <v>143385000</v>
      </c>
      <c r="O27" s="221">
        <f t="shared" si="4"/>
        <v>136577000</v>
      </c>
      <c r="R27" s="91"/>
    </row>
    <row r="28" spans="1:18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/>
      <c r="G28" s="192"/>
      <c r="H28" s="359"/>
      <c r="I28" s="431"/>
      <c r="J28" s="187"/>
      <c r="K28" s="192"/>
      <c r="L28" s="192">
        <v>7118000</v>
      </c>
      <c r="M28" s="192"/>
      <c r="N28" s="192"/>
      <c r="O28" s="192"/>
      <c r="R28" s="91"/>
    </row>
    <row r="29" spans="1:18" s="5" customFormat="1" ht="12">
      <c r="A29" s="240"/>
      <c r="B29" s="4" t="s">
        <v>14</v>
      </c>
      <c r="C29" s="4"/>
      <c r="D29" s="4"/>
      <c r="E29" s="246">
        <v>26</v>
      </c>
      <c r="F29" s="333"/>
      <c r="G29" s="326"/>
      <c r="H29" s="360"/>
      <c r="I29" s="432"/>
      <c r="J29" s="323"/>
      <c r="K29" s="326"/>
      <c r="L29" s="326"/>
      <c r="M29" s="326"/>
      <c r="N29" s="326"/>
      <c r="O29" s="326"/>
      <c r="R29" s="91"/>
    </row>
    <row r="30" spans="1:18" s="5" customFormat="1" ht="12">
      <c r="A30" s="240"/>
      <c r="B30" s="4" t="s">
        <v>15</v>
      </c>
      <c r="C30" s="4"/>
      <c r="D30" s="4"/>
      <c r="E30" s="246">
        <v>27</v>
      </c>
      <c r="F30" s="333"/>
      <c r="G30" s="326">
        <v>731000</v>
      </c>
      <c r="H30" s="364">
        <v>731000</v>
      </c>
      <c r="I30" s="432">
        <f>H30/G30</f>
        <v>1</v>
      </c>
      <c r="J30" s="323">
        <f>G30</f>
        <v>731000</v>
      </c>
      <c r="K30" s="326">
        <v>732000</v>
      </c>
      <c r="L30" s="326">
        <v>709090</v>
      </c>
      <c r="M30" s="326">
        <v>882000</v>
      </c>
      <c r="N30" s="326">
        <v>1094000</v>
      </c>
      <c r="O30" s="326">
        <v>853000</v>
      </c>
      <c r="R30" s="91"/>
    </row>
    <row r="31" spans="1:18" s="5" customFormat="1" ht="12">
      <c r="A31" s="240"/>
      <c r="B31" s="4" t="s">
        <v>20</v>
      </c>
      <c r="C31" s="3"/>
      <c r="D31" s="3"/>
      <c r="E31" s="246">
        <v>28</v>
      </c>
      <c r="F31" s="333"/>
      <c r="G31" s="326"/>
      <c r="H31" s="360"/>
      <c r="I31" s="432"/>
      <c r="J31" s="323"/>
      <c r="K31" s="326"/>
      <c r="L31" s="326"/>
      <c r="M31" s="326"/>
      <c r="N31" s="326"/>
      <c r="O31" s="326"/>
      <c r="R31" s="91"/>
    </row>
    <row r="32" spans="1:18" s="5" customFormat="1" ht="12">
      <c r="A32" s="240"/>
      <c r="B32" s="4" t="s">
        <v>16</v>
      </c>
      <c r="C32" s="4"/>
      <c r="D32" s="4"/>
      <c r="E32" s="246">
        <v>29</v>
      </c>
      <c r="F32" s="333"/>
      <c r="G32" s="326"/>
      <c r="H32" s="360"/>
      <c r="I32" s="432"/>
      <c r="J32" s="323"/>
      <c r="K32" s="326"/>
      <c r="L32" s="326"/>
      <c r="M32" s="326"/>
      <c r="N32" s="326"/>
      <c r="O32" s="326"/>
      <c r="R32" s="91"/>
    </row>
    <row r="33" spans="1:18" s="5" customFormat="1" ht="12">
      <c r="A33" s="240"/>
      <c r="B33" s="4" t="s">
        <v>173</v>
      </c>
      <c r="C33" s="4"/>
      <c r="D33" s="4"/>
      <c r="E33" s="246">
        <v>30</v>
      </c>
      <c r="F33" s="333">
        <v>16526000</v>
      </c>
      <c r="G33" s="326">
        <f>F33+148000</f>
        <v>16674000</v>
      </c>
      <c r="H33" s="364">
        <v>16674000</v>
      </c>
      <c r="I33" s="432">
        <f>H33/F33</f>
        <v>1.0089555851385694</v>
      </c>
      <c r="J33" s="323">
        <f>G33</f>
        <v>16674000</v>
      </c>
      <c r="K33" s="326">
        <v>41768000</v>
      </c>
      <c r="L33" s="326">
        <v>52352000</v>
      </c>
      <c r="M33" s="326">
        <v>54129000</v>
      </c>
      <c r="N33" s="326">
        <v>53297000</v>
      </c>
      <c r="O33" s="326">
        <v>52349000</v>
      </c>
      <c r="R33" s="91"/>
    </row>
    <row r="34" spans="1:18" s="5" customFormat="1" ht="12">
      <c r="A34" s="240"/>
      <c r="B34" s="4" t="s">
        <v>24</v>
      </c>
      <c r="C34" s="4"/>
      <c r="D34" s="4"/>
      <c r="E34" s="246">
        <v>31</v>
      </c>
      <c r="F34" s="333"/>
      <c r="G34" s="326"/>
      <c r="H34" s="364"/>
      <c r="I34" s="432"/>
      <c r="J34" s="323"/>
      <c r="K34" s="326"/>
      <c r="L34" s="326"/>
      <c r="M34" s="326"/>
      <c r="N34" s="326"/>
      <c r="O34" s="326"/>
      <c r="R34" s="91"/>
    </row>
    <row r="35" spans="1:18" s="5" customFormat="1" ht="12">
      <c r="A35" s="240"/>
      <c r="B35" s="4" t="s">
        <v>31</v>
      </c>
      <c r="C35" s="4"/>
      <c r="D35" s="4"/>
      <c r="E35" s="246">
        <v>32</v>
      </c>
      <c r="F35" s="333"/>
      <c r="G35" s="326"/>
      <c r="H35" s="364"/>
      <c r="I35" s="432"/>
      <c r="J35" s="323"/>
      <c r="K35" s="326"/>
      <c r="L35" s="326"/>
      <c r="M35" s="326"/>
      <c r="N35" s="326"/>
      <c r="O35" s="326"/>
      <c r="R35" s="91"/>
    </row>
    <row r="36" spans="1:18" s="5" customFormat="1" ht="12">
      <c r="A36" s="240"/>
      <c r="B36" s="4" t="s">
        <v>85</v>
      </c>
      <c r="C36" s="4"/>
      <c r="D36" s="4"/>
      <c r="E36" s="246">
        <v>33</v>
      </c>
      <c r="F36" s="333"/>
      <c r="G36" s="326"/>
      <c r="H36" s="364"/>
      <c r="I36" s="432"/>
      <c r="J36" s="323"/>
      <c r="K36" s="326"/>
      <c r="L36" s="326"/>
      <c r="M36" s="326"/>
      <c r="N36" s="326"/>
      <c r="O36" s="326"/>
      <c r="R36" s="91"/>
    </row>
    <row r="37" spans="1:18" s="5" customFormat="1" ht="12">
      <c r="A37" s="240"/>
      <c r="B37" s="4" t="s">
        <v>25</v>
      </c>
      <c r="C37" s="4"/>
      <c r="D37" s="4"/>
      <c r="E37" s="246">
        <v>34</v>
      </c>
      <c r="F37" s="333"/>
      <c r="G37" s="326"/>
      <c r="H37" s="364"/>
      <c r="I37" s="432"/>
      <c r="J37" s="323"/>
      <c r="K37" s="326"/>
      <c r="L37" s="326"/>
      <c r="M37" s="326"/>
      <c r="N37" s="326"/>
      <c r="O37" s="326"/>
      <c r="R37" s="91"/>
    </row>
    <row r="38" spans="1:18" s="5" customFormat="1" ht="12">
      <c r="A38" s="240"/>
      <c r="B38" s="4" t="s">
        <v>26</v>
      </c>
      <c r="C38" s="4"/>
      <c r="D38" s="4"/>
      <c r="E38" s="246">
        <v>35</v>
      </c>
      <c r="F38" s="333"/>
      <c r="G38" s="326"/>
      <c r="H38" s="364"/>
      <c r="I38" s="432"/>
      <c r="J38" s="323"/>
      <c r="K38" s="326"/>
      <c r="L38" s="326"/>
      <c r="M38" s="326"/>
      <c r="N38" s="326"/>
      <c r="O38" s="326"/>
      <c r="R38" s="91"/>
    </row>
    <row r="39" spans="1:18" s="5" customFormat="1" ht="12">
      <c r="A39" s="240"/>
      <c r="B39" s="4" t="s">
        <v>27</v>
      </c>
      <c r="C39" s="4"/>
      <c r="D39" s="4"/>
      <c r="E39" s="246">
        <v>36</v>
      </c>
      <c r="F39" s="333"/>
      <c r="G39" s="326"/>
      <c r="H39" s="364"/>
      <c r="I39" s="432"/>
      <c r="J39" s="323"/>
      <c r="K39" s="326"/>
      <c r="L39" s="326"/>
      <c r="M39" s="326"/>
      <c r="N39" s="326"/>
      <c r="O39" s="326"/>
      <c r="R39" s="91"/>
    </row>
    <row r="40" spans="1:18" s="5" customFormat="1" ht="13.5">
      <c r="A40" s="240"/>
      <c r="B40" s="4" t="s">
        <v>180</v>
      </c>
      <c r="C40" s="4"/>
      <c r="D40" s="4"/>
      <c r="E40" s="246">
        <v>37</v>
      </c>
      <c r="F40" s="333">
        <f>5457000+102274000</f>
        <v>107731000</v>
      </c>
      <c r="G40" s="326"/>
      <c r="H40" s="364">
        <v>103647864.7</v>
      </c>
      <c r="I40" s="432">
        <f>H40/F40</f>
        <v>0.9620987895777446</v>
      </c>
      <c r="J40" s="323">
        <f>(H40+0)/12*12</f>
        <v>103647864.7</v>
      </c>
      <c r="K40" s="326">
        <v>86668306.65</v>
      </c>
      <c r="L40" s="326">
        <v>67532793.58</v>
      </c>
      <c r="M40" s="326">
        <v>64721002.48</v>
      </c>
      <c r="N40" s="326">
        <v>64880000</v>
      </c>
      <c r="O40" s="326">
        <v>58045000</v>
      </c>
      <c r="R40" s="91"/>
    </row>
    <row r="41" spans="1:18" s="5" customFormat="1" ht="12">
      <c r="A41" s="240"/>
      <c r="B41" s="4" t="s">
        <v>29</v>
      </c>
      <c r="C41" s="4"/>
      <c r="D41" s="4"/>
      <c r="E41" s="246">
        <v>38</v>
      </c>
      <c r="F41" s="333"/>
      <c r="G41" s="326"/>
      <c r="H41" s="364"/>
      <c r="I41" s="432"/>
      <c r="J41" s="323"/>
      <c r="K41" s="326"/>
      <c r="L41" s="326"/>
      <c r="M41" s="326">
        <v>1127007</v>
      </c>
      <c r="N41" s="326"/>
      <c r="O41" s="326"/>
      <c r="R41" s="91"/>
    </row>
    <row r="42" spans="1:18" s="5" customFormat="1" ht="12">
      <c r="A42" s="240"/>
      <c r="B42" s="4" t="s">
        <v>30</v>
      </c>
      <c r="C42" s="4"/>
      <c r="D42" s="4"/>
      <c r="E42" s="246">
        <v>39</v>
      </c>
      <c r="F42" s="333">
        <v>32550000</v>
      </c>
      <c r="G42" s="326"/>
      <c r="H42" s="364">
        <v>34167469.92</v>
      </c>
      <c r="I42" s="433">
        <f>H42/F42</f>
        <v>1.0496918562211983</v>
      </c>
      <c r="J42" s="323">
        <f>H42/12*12</f>
        <v>34167469.92</v>
      </c>
      <c r="K42" s="326">
        <v>28024430.98</v>
      </c>
      <c r="L42" s="326">
        <v>30730294.81</v>
      </c>
      <c r="M42" s="326">
        <v>26646087.7</v>
      </c>
      <c r="N42" s="326">
        <v>24114000</v>
      </c>
      <c r="O42" s="326">
        <v>25330000</v>
      </c>
      <c r="R42" s="91"/>
    </row>
    <row r="43" spans="1:18" s="5" customFormat="1" ht="12.75" customHeight="1" hidden="1" thickBot="1">
      <c r="A43" s="241" t="s">
        <v>32</v>
      </c>
      <c r="B43" s="27"/>
      <c r="C43" s="27"/>
      <c r="D43" s="27"/>
      <c r="E43" s="247">
        <v>42</v>
      </c>
      <c r="F43" s="334"/>
      <c r="G43" s="227"/>
      <c r="H43" s="361"/>
      <c r="I43" s="403" t="e">
        <f>H43/F43</f>
        <v>#DIV/0!</v>
      </c>
      <c r="J43" s="324"/>
      <c r="K43" s="227"/>
      <c r="L43" s="227"/>
      <c r="M43" s="227">
        <v>2568460.74999997</v>
      </c>
      <c r="N43" s="227">
        <f>N28+N33+N36+N40+N41+N42-N26-N5</f>
        <v>5838000</v>
      </c>
      <c r="O43" s="227">
        <f>O28+O33+O36+O40+O41+O42-O26-O5</f>
        <v>4121000</v>
      </c>
      <c r="R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330">
        <f>F27-F4</f>
        <v>3530000</v>
      </c>
      <c r="G44" s="221">
        <f>G27-G4</f>
        <v>16674000</v>
      </c>
      <c r="H44" s="221">
        <f>H27-H4</f>
        <v>2819716.4399999976</v>
      </c>
      <c r="I44" s="403">
        <f>H44/F44</f>
        <v>0.7987865269121807</v>
      </c>
      <c r="J44" s="221">
        <f aca="true" t="shared" si="5" ref="J44:O44">J27-J4</f>
        <v>2819716.4399999976</v>
      </c>
      <c r="K44" s="221">
        <f t="shared" si="5"/>
        <v>5348613.389999986</v>
      </c>
      <c r="L44" s="221">
        <f t="shared" si="5"/>
        <v>6566655.50999999</v>
      </c>
      <c r="M44" s="221">
        <f t="shared" si="5"/>
        <v>2568460.74999997</v>
      </c>
      <c r="N44" s="221">
        <f t="shared" si="5"/>
        <v>5838000</v>
      </c>
      <c r="O44" s="221">
        <f t="shared" si="5"/>
        <v>4121000</v>
      </c>
    </row>
    <row r="45" spans="1:17" s="89" customFormat="1" ht="11.25">
      <c r="A45" s="90" t="s">
        <v>167</v>
      </c>
      <c r="F45" s="90"/>
      <c r="G45" s="90"/>
      <c r="H45" s="90"/>
      <c r="I45" s="410"/>
      <c r="J45" s="90"/>
      <c r="K45" s="90"/>
      <c r="O45" s="90"/>
      <c r="P45" s="90"/>
      <c r="Q45" s="90"/>
    </row>
    <row r="46" spans="1:14" s="90" customFormat="1" ht="11.25">
      <c r="A46" s="210" t="s">
        <v>141</v>
      </c>
      <c r="F46" s="91">
        <f>SUM(F47:F48)</f>
        <v>9300000</v>
      </c>
      <c r="G46" s="91"/>
      <c r="H46" s="91"/>
      <c r="I46" s="411"/>
      <c r="J46" s="91"/>
      <c r="K46" s="91"/>
      <c r="N46" s="210"/>
    </row>
    <row r="47" spans="1:14" s="90" customFormat="1" ht="11.25">
      <c r="A47" s="142" t="s">
        <v>142</v>
      </c>
      <c r="F47" s="91">
        <v>3843000</v>
      </c>
      <c r="G47" s="91"/>
      <c r="H47" s="91"/>
      <c r="I47" s="411"/>
      <c r="J47" s="91"/>
      <c r="K47" s="91"/>
      <c r="N47" s="142"/>
    </row>
    <row r="48" spans="1:14" s="90" customFormat="1" ht="11.25">
      <c r="A48" s="142" t="s">
        <v>143</v>
      </c>
      <c r="F48" s="91">
        <v>5457000</v>
      </c>
      <c r="G48" s="91"/>
      <c r="H48" s="91"/>
      <c r="I48" s="411"/>
      <c r="J48" s="91"/>
      <c r="K48" s="91"/>
      <c r="N48" s="142"/>
    </row>
    <row r="49" spans="1:14" s="90" customFormat="1" ht="11.25">
      <c r="A49" s="142" t="s">
        <v>145</v>
      </c>
      <c r="F49" s="91"/>
      <c r="G49" s="91"/>
      <c r="H49" s="91"/>
      <c r="I49" s="411"/>
      <c r="J49" s="91"/>
      <c r="K49" s="91"/>
      <c r="N49" s="142"/>
    </row>
    <row r="50" spans="1:11" s="90" customFormat="1" ht="11.25">
      <c r="A50" s="90" t="s">
        <v>170</v>
      </c>
      <c r="F50" s="91">
        <v>0</v>
      </c>
      <c r="G50" s="91"/>
      <c r="H50" s="91"/>
      <c r="I50" s="411"/>
      <c r="J50" s="91"/>
      <c r="K50" s="91"/>
    </row>
    <row r="51" spans="1:11" s="90" customFormat="1" ht="11.25">
      <c r="A51" s="90" t="s">
        <v>146</v>
      </c>
      <c r="F51" s="91">
        <v>0</v>
      </c>
      <c r="G51" s="91"/>
      <c r="H51" s="91"/>
      <c r="I51" s="411"/>
      <c r="J51" s="91"/>
      <c r="K51" s="91"/>
    </row>
    <row r="52" spans="1:9" s="90" customFormat="1" ht="11.25">
      <c r="A52" s="90" t="s">
        <v>171</v>
      </c>
      <c r="F52" s="90">
        <v>0</v>
      </c>
      <c r="I52" s="410"/>
    </row>
    <row r="53" spans="1:10" s="90" customFormat="1" ht="11.25">
      <c r="A53" s="90" t="s">
        <v>169</v>
      </c>
      <c r="F53" s="91">
        <f>SUM(F50:F52)</f>
        <v>0</v>
      </c>
      <c r="G53" s="91"/>
      <c r="H53" s="91"/>
      <c r="I53" s="411"/>
      <c r="J53" s="91"/>
    </row>
    <row r="54" s="90" customFormat="1" ht="11.25">
      <c r="I54" s="410"/>
    </row>
  </sheetData>
  <mergeCells count="1">
    <mergeCell ref="A1:D1"/>
  </mergeCells>
  <printOptions horizontalCentered="1"/>
  <pageMargins left="0.44" right="0.31496062992125984" top="0.33" bottom="0.35" header="0.27" footer="0.1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48"/>
  <dimension ref="A1:U54"/>
  <sheetViews>
    <sheetView workbookViewId="0" topLeftCell="A2">
      <selection activeCell="K4" sqref="K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9.25390625" style="2" bestFit="1" customWidth="1"/>
    <col min="7" max="7" width="4.875" style="89" bestFit="1" customWidth="1"/>
    <col min="8" max="8" width="10.00390625" style="89" bestFit="1" customWidth="1"/>
    <col min="9" max="9" width="5.875" style="440" bestFit="1" customWidth="1"/>
    <col min="10" max="10" width="10.00390625" style="89" hidden="1" customWidth="1"/>
    <col min="11" max="11" width="8.75390625" style="0" bestFit="1" customWidth="1"/>
    <col min="12" max="12" width="1.75390625" style="0" customWidth="1"/>
    <col min="13" max="14" width="7.25390625" style="0" hidden="1" customWidth="1"/>
    <col min="15" max="15" width="5.75390625" style="0" hidden="1" customWidth="1"/>
    <col min="16" max="17" width="7.25390625" style="0" hidden="1" customWidth="1"/>
    <col min="18" max="18" width="10.125" style="0" hidden="1" customWidth="1"/>
    <col min="19" max="19" width="2.00390625" style="0" hidden="1" customWidth="1"/>
    <col min="20" max="21" width="6.00390625" style="0" hidden="1" customWidth="1"/>
  </cols>
  <sheetData>
    <row r="1" spans="1:21" ht="15.75">
      <c r="A1" s="613" t="s">
        <v>138</v>
      </c>
      <c r="B1" s="614"/>
      <c r="C1" s="614"/>
      <c r="D1" s="615"/>
      <c r="E1" s="242"/>
      <c r="F1" s="366" t="s">
        <v>7</v>
      </c>
      <c r="G1" s="319"/>
      <c r="H1" s="434" t="s">
        <v>8</v>
      </c>
      <c r="I1" s="395" t="s">
        <v>196</v>
      </c>
      <c r="J1" s="382" t="s">
        <v>197</v>
      </c>
      <c r="K1" s="218" t="s">
        <v>8</v>
      </c>
      <c r="M1" s="218" t="s">
        <v>159</v>
      </c>
      <c r="N1" s="218" t="s">
        <v>160</v>
      </c>
      <c r="O1" s="218" t="s">
        <v>150</v>
      </c>
      <c r="P1" s="218" t="s">
        <v>161</v>
      </c>
      <c r="Q1" s="218" t="s">
        <v>151</v>
      </c>
      <c r="R1" s="218" t="s">
        <v>155</v>
      </c>
      <c r="T1" s="218" t="s">
        <v>162</v>
      </c>
      <c r="U1" s="218" t="s">
        <v>162</v>
      </c>
    </row>
    <row r="2" spans="1:21" s="7" customFormat="1" ht="12.75">
      <c r="A2" s="237" t="s">
        <v>39</v>
      </c>
      <c r="B2" s="44"/>
      <c r="C2" s="44"/>
      <c r="D2" s="45" t="s">
        <v>147</v>
      </c>
      <c r="E2" s="243" t="s">
        <v>21</v>
      </c>
      <c r="F2" s="367">
        <v>2006</v>
      </c>
      <c r="G2" s="320" t="s">
        <v>198</v>
      </c>
      <c r="H2" s="435" t="s">
        <v>223</v>
      </c>
      <c r="I2" s="396" t="s">
        <v>199</v>
      </c>
      <c r="J2" s="336">
        <v>2006</v>
      </c>
      <c r="K2" s="219">
        <v>2005</v>
      </c>
      <c r="M2" s="219" t="s">
        <v>153</v>
      </c>
      <c r="N2" s="219" t="s">
        <v>154</v>
      </c>
      <c r="O2" s="219" t="s">
        <v>149</v>
      </c>
      <c r="P2" s="219"/>
      <c r="Q2" s="219"/>
      <c r="R2" s="219" t="s">
        <v>152</v>
      </c>
      <c r="T2" s="219" t="s">
        <v>59</v>
      </c>
      <c r="U2" s="219" t="s">
        <v>63</v>
      </c>
    </row>
    <row r="3" spans="1:21" s="7" customFormat="1" ht="12.75">
      <c r="A3" s="238"/>
      <c r="B3" s="137"/>
      <c r="C3" s="137"/>
      <c r="D3" s="138"/>
      <c r="E3" s="244"/>
      <c r="F3" s="368">
        <v>1</v>
      </c>
      <c r="G3" s="321"/>
      <c r="H3" s="436"/>
      <c r="I3" s="427"/>
      <c r="J3" s="341"/>
      <c r="K3" s="220">
        <v>2</v>
      </c>
      <c r="M3" s="220">
        <v>3</v>
      </c>
      <c r="N3" s="220">
        <v>4</v>
      </c>
      <c r="O3" s="220">
        <v>5</v>
      </c>
      <c r="P3" s="220">
        <v>6</v>
      </c>
      <c r="Q3" s="220">
        <v>7</v>
      </c>
      <c r="R3" s="220">
        <v>8</v>
      </c>
      <c r="T3" s="220" t="s">
        <v>163</v>
      </c>
      <c r="U3" s="220" t="s">
        <v>164</v>
      </c>
    </row>
    <row r="4" spans="1:21" ht="12.75">
      <c r="A4" s="239" t="s">
        <v>157</v>
      </c>
      <c r="B4" s="171"/>
      <c r="C4" s="171"/>
      <c r="D4" s="171"/>
      <c r="E4" s="245">
        <v>1</v>
      </c>
      <c r="F4" s="365">
        <f>SUM(F6:F26)</f>
        <v>14174000</v>
      </c>
      <c r="G4" s="391">
        <f>SUM(G6:G26)</f>
        <v>0</v>
      </c>
      <c r="H4" s="391">
        <f>SUM(H6:H26)</f>
        <v>14601233.16</v>
      </c>
      <c r="I4" s="398">
        <f>H4/F4</f>
        <v>1.030142031889375</v>
      </c>
      <c r="J4" s="391">
        <f>SUM(J6:J26)</f>
        <v>14601233.16</v>
      </c>
      <c r="K4" s="221">
        <f>SUM(K6:K26)</f>
        <v>0</v>
      </c>
      <c r="M4" s="221">
        <f aca="true" t="shared" si="0" ref="M4:R4">SUM(M6:M26)</f>
        <v>14682</v>
      </c>
      <c r="N4" s="221">
        <f t="shared" si="0"/>
        <v>-14682</v>
      </c>
      <c r="O4" s="221">
        <f t="shared" si="0"/>
        <v>0</v>
      </c>
      <c r="P4" s="221">
        <f t="shared" si="0"/>
        <v>14174</v>
      </c>
      <c r="Q4" s="221">
        <f t="shared" si="0"/>
        <v>0</v>
      </c>
      <c r="R4" s="221">
        <f t="shared" si="0"/>
        <v>14174</v>
      </c>
      <c r="T4" s="221">
        <f>SUM(T6:T26)</f>
        <v>4838</v>
      </c>
      <c r="U4" s="221">
        <f>SUM(U6:U26)</f>
        <v>9844</v>
      </c>
    </row>
    <row r="5" spans="1:21" s="5" customFormat="1" ht="12">
      <c r="A5" s="240" t="s">
        <v>10</v>
      </c>
      <c r="B5" s="3" t="s">
        <v>91</v>
      </c>
      <c r="C5" s="3"/>
      <c r="D5" s="3"/>
      <c r="E5" s="246">
        <v>2</v>
      </c>
      <c r="F5" s="55">
        <f>SUM(F6:F16)</f>
        <v>14174000</v>
      </c>
      <c r="G5" s="192">
        <f>SUM(G6:G16)</f>
        <v>0</v>
      </c>
      <c r="H5" s="192">
        <f>SUM(H6:H16)</f>
        <v>14601233.16</v>
      </c>
      <c r="I5" s="428">
        <f>H5/F5</f>
        <v>1.030142031889375</v>
      </c>
      <c r="J5" s="192">
        <f>SUM(J6:J16)</f>
        <v>14601233.16</v>
      </c>
      <c r="K5" s="192">
        <f>SUM(K6:K16)</f>
        <v>0</v>
      </c>
      <c r="M5" s="192">
        <f aca="true" t="shared" si="1" ref="M5:R5">SUM(M6:M16)</f>
        <v>14682</v>
      </c>
      <c r="N5" s="192">
        <f t="shared" si="1"/>
        <v>-14682</v>
      </c>
      <c r="O5" s="192">
        <f t="shared" si="1"/>
        <v>0</v>
      </c>
      <c r="P5" s="192">
        <f t="shared" si="1"/>
        <v>14174</v>
      </c>
      <c r="Q5" s="192">
        <f t="shared" si="1"/>
        <v>0</v>
      </c>
      <c r="R5" s="192">
        <f t="shared" si="1"/>
        <v>14174</v>
      </c>
      <c r="T5" s="192">
        <f>SUM(T6:T16)</f>
        <v>4838</v>
      </c>
      <c r="U5" s="192">
        <f>SUM(U6:U16)</f>
        <v>9844</v>
      </c>
    </row>
    <row r="6" spans="1:21" s="29" customFormat="1" ht="12">
      <c r="A6" s="241"/>
      <c r="B6" s="27"/>
      <c r="C6" s="27" t="s">
        <v>13</v>
      </c>
      <c r="D6" s="28" t="s">
        <v>17</v>
      </c>
      <c r="E6" s="246">
        <v>3</v>
      </c>
      <c r="F6" s="54">
        <v>0</v>
      </c>
      <c r="G6" s="190"/>
      <c r="H6" s="173"/>
      <c r="I6" s="429"/>
      <c r="J6" s="222">
        <f>H6/12*12</f>
        <v>0</v>
      </c>
      <c r="K6" s="222"/>
      <c r="L6" s="39"/>
      <c r="M6" s="228">
        <v>1037</v>
      </c>
      <c r="N6" s="228">
        <v>-1037</v>
      </c>
      <c r="O6" s="222">
        <f>M6+N6</f>
        <v>0</v>
      </c>
      <c r="P6" s="230"/>
      <c r="Q6" s="230"/>
      <c r="R6" s="222">
        <f aca="true" t="shared" si="2" ref="R6:R26">SUM(O6:Q6)</f>
        <v>0</v>
      </c>
      <c r="T6" s="228">
        <v>434</v>
      </c>
      <c r="U6" s="228">
        <v>603</v>
      </c>
    </row>
    <row r="7" spans="1:21" s="29" customFormat="1" ht="12">
      <c r="A7" s="241"/>
      <c r="B7" s="27"/>
      <c r="C7" s="27"/>
      <c r="D7" s="28" t="s">
        <v>18</v>
      </c>
      <c r="E7" s="246">
        <v>4</v>
      </c>
      <c r="F7" s="54">
        <v>0</v>
      </c>
      <c r="G7" s="190"/>
      <c r="H7" s="565"/>
      <c r="I7" s="429"/>
      <c r="J7" s="222">
        <f aca="true" t="shared" si="3" ref="J7:J15">H7/12*12</f>
        <v>0</v>
      </c>
      <c r="K7" s="222"/>
      <c r="M7" s="228">
        <v>0</v>
      </c>
      <c r="N7" s="228">
        <v>0</v>
      </c>
      <c r="O7" s="222">
        <f aca="true" t="shared" si="4" ref="O7:O26">M7+N7</f>
        <v>0</v>
      </c>
      <c r="P7" s="230"/>
      <c r="Q7" s="230"/>
      <c r="R7" s="222">
        <f t="shared" si="2"/>
        <v>0</v>
      </c>
      <c r="T7" s="228">
        <v>0</v>
      </c>
      <c r="U7" s="228">
        <v>0</v>
      </c>
    </row>
    <row r="8" spans="1:21" s="29" customFormat="1" ht="12">
      <c r="A8" s="241"/>
      <c r="B8" s="27"/>
      <c r="C8" s="27"/>
      <c r="D8" s="28" t="s">
        <v>19</v>
      </c>
      <c r="E8" s="246">
        <v>5</v>
      </c>
      <c r="F8" s="54">
        <v>0</v>
      </c>
      <c r="G8" s="190"/>
      <c r="H8" s="173"/>
      <c r="I8" s="429"/>
      <c r="J8" s="222">
        <f t="shared" si="3"/>
        <v>0</v>
      </c>
      <c r="K8" s="222"/>
      <c r="M8" s="228">
        <v>363</v>
      </c>
      <c r="N8" s="228">
        <v>-363</v>
      </c>
      <c r="O8" s="222">
        <f t="shared" si="4"/>
        <v>0</v>
      </c>
      <c r="P8" s="230"/>
      <c r="Q8" s="230"/>
      <c r="R8" s="222">
        <f t="shared" si="2"/>
        <v>0</v>
      </c>
      <c r="T8" s="228">
        <v>152</v>
      </c>
      <c r="U8" s="228">
        <v>211</v>
      </c>
    </row>
    <row r="9" spans="1:21" s="29" customFormat="1" ht="12">
      <c r="A9" s="241"/>
      <c r="B9" s="27"/>
      <c r="C9" s="27"/>
      <c r="D9" s="28" t="s">
        <v>0</v>
      </c>
      <c r="E9" s="246">
        <v>6</v>
      </c>
      <c r="F9" s="54">
        <v>0</v>
      </c>
      <c r="G9" s="190"/>
      <c r="H9" s="173">
        <v>459.82</v>
      </c>
      <c r="I9" s="429"/>
      <c r="J9" s="222">
        <f t="shared" si="3"/>
        <v>459.82000000000005</v>
      </c>
      <c r="K9" s="222"/>
      <c r="M9" s="228">
        <v>8006</v>
      </c>
      <c r="N9" s="228">
        <v>-8006</v>
      </c>
      <c r="O9" s="222">
        <f t="shared" si="4"/>
        <v>0</v>
      </c>
      <c r="P9" s="230"/>
      <c r="Q9" s="230"/>
      <c r="R9" s="222">
        <f t="shared" si="2"/>
        <v>0</v>
      </c>
      <c r="T9" s="228">
        <v>2186</v>
      </c>
      <c r="U9" s="228">
        <v>5820</v>
      </c>
    </row>
    <row r="10" spans="1:21" s="29" customFormat="1" ht="12">
      <c r="A10" s="241"/>
      <c r="B10" s="27"/>
      <c r="C10" s="27"/>
      <c r="D10" s="28" t="s">
        <v>1</v>
      </c>
      <c r="E10" s="246">
        <v>7</v>
      </c>
      <c r="F10" s="54">
        <v>0</v>
      </c>
      <c r="G10" s="190"/>
      <c r="H10" s="173">
        <v>37630</v>
      </c>
      <c r="I10" s="429"/>
      <c r="J10" s="222">
        <f t="shared" si="3"/>
        <v>37630</v>
      </c>
      <c r="K10" s="222"/>
      <c r="M10" s="228">
        <v>511</v>
      </c>
      <c r="N10" s="228">
        <v>-511</v>
      </c>
      <c r="O10" s="222">
        <f t="shared" si="4"/>
        <v>0</v>
      </c>
      <c r="P10" s="230"/>
      <c r="Q10" s="230"/>
      <c r="R10" s="222">
        <f t="shared" si="2"/>
        <v>0</v>
      </c>
      <c r="T10" s="228">
        <v>214</v>
      </c>
      <c r="U10" s="228">
        <v>297</v>
      </c>
    </row>
    <row r="11" spans="1:21" s="29" customFormat="1" ht="12">
      <c r="A11" s="241"/>
      <c r="B11" s="27"/>
      <c r="C11" s="27"/>
      <c r="D11" s="28" t="s">
        <v>2</v>
      </c>
      <c r="E11" s="246">
        <v>8</v>
      </c>
      <c r="F11" s="54">
        <v>0</v>
      </c>
      <c r="G11" s="190"/>
      <c r="H11" s="173">
        <v>8265.5</v>
      </c>
      <c r="I11" s="429"/>
      <c r="J11" s="222">
        <f t="shared" si="3"/>
        <v>8265.5</v>
      </c>
      <c r="K11" s="222"/>
      <c r="M11" s="228">
        <v>120</v>
      </c>
      <c r="N11" s="228">
        <v>-120</v>
      </c>
      <c r="O11" s="222">
        <f t="shared" si="4"/>
        <v>0</v>
      </c>
      <c r="P11" s="230"/>
      <c r="Q11" s="230"/>
      <c r="R11" s="222">
        <f t="shared" si="2"/>
        <v>0</v>
      </c>
      <c r="T11" s="228">
        <v>50</v>
      </c>
      <c r="U11" s="228">
        <v>70</v>
      </c>
    </row>
    <row r="12" spans="1:21" s="29" customFormat="1" ht="12">
      <c r="A12" s="241"/>
      <c r="B12" s="27"/>
      <c r="C12" s="27"/>
      <c r="D12" s="28" t="s">
        <v>3</v>
      </c>
      <c r="E12" s="246">
        <v>9</v>
      </c>
      <c r="F12" s="54">
        <v>0</v>
      </c>
      <c r="G12" s="190"/>
      <c r="H12" s="173"/>
      <c r="I12" s="429"/>
      <c r="J12" s="567">
        <f>H12/12*12</f>
        <v>0</v>
      </c>
      <c r="K12" s="223"/>
      <c r="M12" s="228">
        <v>2119</v>
      </c>
      <c r="N12" s="228">
        <v>-2119</v>
      </c>
      <c r="O12" s="223">
        <f t="shared" si="4"/>
        <v>0</v>
      </c>
      <c r="P12" s="230"/>
      <c r="Q12" s="230"/>
      <c r="R12" s="222">
        <f t="shared" si="2"/>
        <v>0</v>
      </c>
      <c r="T12" s="228">
        <v>859</v>
      </c>
      <c r="U12" s="228">
        <v>1260</v>
      </c>
    </row>
    <row r="13" spans="1:21" s="29" customFormat="1" ht="12">
      <c r="A13" s="241"/>
      <c r="B13" s="27"/>
      <c r="C13" s="27"/>
      <c r="D13" s="28" t="s">
        <v>4</v>
      </c>
      <c r="E13" s="246">
        <v>10</v>
      </c>
      <c r="F13" s="54">
        <v>0</v>
      </c>
      <c r="G13" s="190"/>
      <c r="H13" s="173"/>
      <c r="I13" s="429"/>
      <c r="J13" s="222">
        <f t="shared" si="3"/>
        <v>0</v>
      </c>
      <c r="K13" s="222"/>
      <c r="M13" s="228">
        <v>0</v>
      </c>
      <c r="N13" s="228">
        <v>0</v>
      </c>
      <c r="O13" s="222">
        <f t="shared" si="4"/>
        <v>0</v>
      </c>
      <c r="P13" s="230"/>
      <c r="Q13" s="230"/>
      <c r="R13" s="222">
        <f t="shared" si="2"/>
        <v>0</v>
      </c>
      <c r="T13" s="228">
        <v>0</v>
      </c>
      <c r="U13" s="228">
        <v>0</v>
      </c>
    </row>
    <row r="14" spans="1:21" s="29" customFormat="1" ht="13.5">
      <c r="A14" s="241"/>
      <c r="B14" s="27"/>
      <c r="C14" s="27"/>
      <c r="D14" s="28" t="s">
        <v>178</v>
      </c>
      <c r="E14" s="246">
        <v>11</v>
      </c>
      <c r="F14" s="54">
        <v>14174000</v>
      </c>
      <c r="G14" s="190"/>
      <c r="H14" s="173">
        <v>14554771</v>
      </c>
      <c r="I14" s="429">
        <f>H14/F14</f>
        <v>1.0268640468463384</v>
      </c>
      <c r="J14" s="222">
        <f>H14/12*12</f>
        <v>14554771</v>
      </c>
      <c r="K14" s="222"/>
      <c r="M14" s="228">
        <v>2406</v>
      </c>
      <c r="N14" s="228">
        <v>-2406</v>
      </c>
      <c r="O14" s="222">
        <f t="shared" si="4"/>
        <v>0</v>
      </c>
      <c r="P14" s="230">
        <v>14174</v>
      </c>
      <c r="Q14" s="230"/>
      <c r="R14" s="222">
        <f t="shared" si="2"/>
        <v>14174</v>
      </c>
      <c r="T14" s="228">
        <v>893</v>
      </c>
      <c r="U14" s="228">
        <v>1513</v>
      </c>
    </row>
    <row r="15" spans="1:21" s="29" customFormat="1" ht="12">
      <c r="A15" s="241"/>
      <c r="B15" s="27"/>
      <c r="C15" s="27"/>
      <c r="D15" s="28" t="s">
        <v>6</v>
      </c>
      <c r="E15" s="246">
        <v>12</v>
      </c>
      <c r="F15" s="54">
        <v>0</v>
      </c>
      <c r="G15" s="190"/>
      <c r="H15" s="173"/>
      <c r="I15" s="429"/>
      <c r="J15" s="222">
        <f t="shared" si="3"/>
        <v>0</v>
      </c>
      <c r="K15" s="222"/>
      <c r="M15" s="228">
        <v>0</v>
      </c>
      <c r="N15" s="228">
        <v>0</v>
      </c>
      <c r="O15" s="222">
        <f t="shared" si="4"/>
        <v>0</v>
      </c>
      <c r="P15" s="230"/>
      <c r="Q15" s="230"/>
      <c r="R15" s="222">
        <f t="shared" si="2"/>
        <v>0</v>
      </c>
      <c r="T15" s="228">
        <v>0</v>
      </c>
      <c r="U15" s="228">
        <v>0</v>
      </c>
    </row>
    <row r="16" spans="1:21" s="29" customFormat="1" ht="12">
      <c r="A16" s="241"/>
      <c r="B16" s="28"/>
      <c r="C16" s="28"/>
      <c r="D16" s="28" t="s">
        <v>9</v>
      </c>
      <c r="E16" s="246">
        <v>13</v>
      </c>
      <c r="F16" s="54">
        <v>0</v>
      </c>
      <c r="G16" s="190"/>
      <c r="H16" s="173">
        <v>106.84</v>
      </c>
      <c r="I16" s="429"/>
      <c r="J16" s="567">
        <f>H16/12*12</f>
        <v>106.84</v>
      </c>
      <c r="K16" s="222"/>
      <c r="M16" s="228">
        <v>120</v>
      </c>
      <c r="N16" s="228">
        <v>-120</v>
      </c>
      <c r="O16" s="222">
        <f t="shared" si="4"/>
        <v>0</v>
      </c>
      <c r="P16" s="230"/>
      <c r="Q16" s="230"/>
      <c r="R16" s="222">
        <f t="shared" si="2"/>
        <v>0</v>
      </c>
      <c r="T16" s="228">
        <v>50</v>
      </c>
      <c r="U16" s="228">
        <v>70</v>
      </c>
    </row>
    <row r="17" spans="1:21" s="5" customFormat="1" ht="12">
      <c r="A17" s="240"/>
      <c r="B17" s="4" t="s">
        <v>14</v>
      </c>
      <c r="C17" s="3"/>
      <c r="D17" s="3"/>
      <c r="E17" s="246">
        <v>14</v>
      </c>
      <c r="F17" s="55"/>
      <c r="G17" s="187"/>
      <c r="H17" s="437"/>
      <c r="I17" s="429"/>
      <c r="J17" s="214"/>
      <c r="K17" s="224"/>
      <c r="M17" s="224"/>
      <c r="N17" s="224"/>
      <c r="O17" s="224">
        <f t="shared" si="4"/>
        <v>0</v>
      </c>
      <c r="P17" s="224"/>
      <c r="Q17" s="224"/>
      <c r="R17" s="222">
        <f t="shared" si="2"/>
        <v>0</v>
      </c>
      <c r="T17" s="224"/>
      <c r="U17" s="224"/>
    </row>
    <row r="18" spans="1:21" s="5" customFormat="1" ht="12">
      <c r="A18" s="240"/>
      <c r="B18" s="4" t="s">
        <v>15</v>
      </c>
      <c r="C18" s="3"/>
      <c r="D18" s="3"/>
      <c r="E18" s="246">
        <v>15</v>
      </c>
      <c r="F18" s="55"/>
      <c r="G18" s="187"/>
      <c r="H18" s="437"/>
      <c r="I18" s="429"/>
      <c r="J18" s="214"/>
      <c r="K18" s="224"/>
      <c r="M18" s="224"/>
      <c r="N18" s="224"/>
      <c r="O18" s="224">
        <f t="shared" si="4"/>
        <v>0</v>
      </c>
      <c r="P18" s="224"/>
      <c r="Q18" s="224"/>
      <c r="R18" s="222">
        <f t="shared" si="2"/>
        <v>0</v>
      </c>
      <c r="T18" s="224"/>
      <c r="U18" s="224"/>
    </row>
    <row r="19" spans="1:21" s="5" customFormat="1" ht="12">
      <c r="A19" s="240"/>
      <c r="B19" s="4" t="s">
        <v>20</v>
      </c>
      <c r="C19" s="3"/>
      <c r="D19" s="3"/>
      <c r="E19" s="246">
        <v>16</v>
      </c>
      <c r="F19" s="55"/>
      <c r="G19" s="187"/>
      <c r="H19" s="437"/>
      <c r="I19" s="429"/>
      <c r="J19" s="214"/>
      <c r="K19" s="224"/>
      <c r="M19" s="224"/>
      <c r="N19" s="224"/>
      <c r="O19" s="224">
        <f t="shared" si="4"/>
        <v>0</v>
      </c>
      <c r="P19" s="224"/>
      <c r="Q19" s="224"/>
      <c r="R19" s="222">
        <f t="shared" si="2"/>
        <v>0</v>
      </c>
      <c r="T19" s="224"/>
      <c r="U19" s="224"/>
    </row>
    <row r="20" spans="1:21" s="5" customFormat="1" ht="12">
      <c r="A20" s="240"/>
      <c r="B20" s="4" t="s">
        <v>16</v>
      </c>
      <c r="C20" s="3"/>
      <c r="D20" s="3"/>
      <c r="E20" s="246">
        <v>17</v>
      </c>
      <c r="F20" s="55"/>
      <c r="G20" s="187"/>
      <c r="H20" s="437"/>
      <c r="I20" s="429"/>
      <c r="J20" s="214"/>
      <c r="K20" s="224"/>
      <c r="M20" s="224"/>
      <c r="N20" s="224"/>
      <c r="O20" s="224">
        <f t="shared" si="4"/>
        <v>0</v>
      </c>
      <c r="P20" s="224"/>
      <c r="Q20" s="224"/>
      <c r="R20" s="222">
        <f t="shared" si="2"/>
        <v>0</v>
      </c>
      <c r="T20" s="224"/>
      <c r="U20" s="224"/>
    </row>
    <row r="21" spans="1:21" s="5" customFormat="1" ht="12">
      <c r="A21" s="240"/>
      <c r="B21" s="4" t="s">
        <v>24</v>
      </c>
      <c r="C21" s="4"/>
      <c r="D21" s="4"/>
      <c r="E21" s="246">
        <v>18</v>
      </c>
      <c r="F21" s="55"/>
      <c r="G21" s="187"/>
      <c r="H21" s="437"/>
      <c r="I21" s="429"/>
      <c r="J21" s="214"/>
      <c r="K21" s="224"/>
      <c r="M21" s="224"/>
      <c r="N21" s="224"/>
      <c r="O21" s="224">
        <f t="shared" si="4"/>
        <v>0</v>
      </c>
      <c r="P21" s="224"/>
      <c r="Q21" s="224"/>
      <c r="R21" s="222">
        <f t="shared" si="2"/>
        <v>0</v>
      </c>
      <c r="T21" s="224"/>
      <c r="U21" s="224"/>
    </row>
    <row r="22" spans="1:21" s="5" customFormat="1" ht="12">
      <c r="A22" s="240"/>
      <c r="B22" s="4" t="s">
        <v>31</v>
      </c>
      <c r="C22" s="4"/>
      <c r="D22" s="4"/>
      <c r="E22" s="246">
        <v>19</v>
      </c>
      <c r="F22" s="55"/>
      <c r="G22" s="187"/>
      <c r="H22" s="437"/>
      <c r="I22" s="429"/>
      <c r="J22" s="214"/>
      <c r="K22" s="224"/>
      <c r="M22" s="224"/>
      <c r="N22" s="224"/>
      <c r="O22" s="224">
        <f t="shared" si="4"/>
        <v>0</v>
      </c>
      <c r="P22" s="224"/>
      <c r="Q22" s="224"/>
      <c r="R22" s="222">
        <f t="shared" si="2"/>
        <v>0</v>
      </c>
      <c r="T22" s="224"/>
      <c r="U22" s="224"/>
    </row>
    <row r="23" spans="1:21" s="5" customFormat="1" ht="12">
      <c r="A23" s="240"/>
      <c r="B23" s="4" t="s">
        <v>25</v>
      </c>
      <c r="C23" s="4"/>
      <c r="D23" s="4"/>
      <c r="E23" s="246">
        <v>20</v>
      </c>
      <c r="F23" s="55"/>
      <c r="G23" s="187"/>
      <c r="H23" s="437"/>
      <c r="I23" s="429"/>
      <c r="J23" s="214"/>
      <c r="K23" s="224"/>
      <c r="M23" s="224"/>
      <c r="N23" s="224"/>
      <c r="O23" s="224">
        <f t="shared" si="4"/>
        <v>0</v>
      </c>
      <c r="P23" s="224"/>
      <c r="Q23" s="224"/>
      <c r="R23" s="222">
        <f t="shared" si="2"/>
        <v>0</v>
      </c>
      <c r="T23" s="224"/>
      <c r="U23" s="224"/>
    </row>
    <row r="24" spans="1:21" s="5" customFormat="1" ht="12">
      <c r="A24" s="240"/>
      <c r="B24" s="4" t="s">
        <v>26</v>
      </c>
      <c r="C24" s="4"/>
      <c r="D24" s="4"/>
      <c r="E24" s="246">
        <v>21</v>
      </c>
      <c r="F24" s="55"/>
      <c r="G24" s="187"/>
      <c r="H24" s="437"/>
      <c r="I24" s="429"/>
      <c r="J24" s="214"/>
      <c r="K24" s="224"/>
      <c r="M24" s="224"/>
      <c r="N24" s="224"/>
      <c r="O24" s="224">
        <f t="shared" si="4"/>
        <v>0</v>
      </c>
      <c r="P24" s="224"/>
      <c r="Q24" s="224"/>
      <c r="R24" s="222">
        <f t="shared" si="2"/>
        <v>0</v>
      </c>
      <c r="T24" s="224"/>
      <c r="U24" s="224"/>
    </row>
    <row r="25" spans="1:21" s="5" customFormat="1" ht="12">
      <c r="A25" s="240"/>
      <c r="B25" s="4" t="s">
        <v>27</v>
      </c>
      <c r="C25" s="4"/>
      <c r="D25" s="4"/>
      <c r="E25" s="246">
        <v>22</v>
      </c>
      <c r="F25" s="55"/>
      <c r="G25" s="187"/>
      <c r="H25" s="437"/>
      <c r="I25" s="429"/>
      <c r="J25" s="214"/>
      <c r="K25" s="224"/>
      <c r="M25" s="224"/>
      <c r="N25" s="224"/>
      <c r="O25" s="224">
        <f t="shared" si="4"/>
        <v>0</v>
      </c>
      <c r="P25" s="224"/>
      <c r="Q25" s="224"/>
      <c r="R25" s="222">
        <f t="shared" si="2"/>
        <v>0</v>
      </c>
      <c r="T25" s="224"/>
      <c r="U25" s="224"/>
    </row>
    <row r="26" spans="1:21" s="5" customFormat="1" ht="12">
      <c r="A26" s="240"/>
      <c r="B26" s="95" t="s">
        <v>30</v>
      </c>
      <c r="C26" s="95"/>
      <c r="D26" s="95"/>
      <c r="E26" s="246">
        <v>23</v>
      </c>
      <c r="F26" s="55"/>
      <c r="G26" s="187"/>
      <c r="H26" s="437"/>
      <c r="I26" s="430"/>
      <c r="J26" s="214">
        <f>H26/12*12</f>
        <v>0</v>
      </c>
      <c r="K26" s="224"/>
      <c r="M26" s="224"/>
      <c r="N26" s="224"/>
      <c r="O26" s="224">
        <f t="shared" si="4"/>
        <v>0</v>
      </c>
      <c r="P26" s="224"/>
      <c r="Q26" s="224"/>
      <c r="R26" s="222">
        <f t="shared" si="2"/>
        <v>0</v>
      </c>
      <c r="T26" s="224"/>
      <c r="U26" s="224"/>
    </row>
    <row r="27" spans="1:21" ht="12.75">
      <c r="A27" s="239" t="s">
        <v>158</v>
      </c>
      <c r="B27" s="171"/>
      <c r="C27" s="171"/>
      <c r="D27" s="171"/>
      <c r="E27" s="245">
        <v>24</v>
      </c>
      <c r="F27" s="365">
        <f>SUM(F28:F42)</f>
        <v>14174000</v>
      </c>
      <c r="G27" s="391">
        <f>SUM(G28:G42)</f>
        <v>0</v>
      </c>
      <c r="H27" s="391">
        <f>SUM(H28:H42)</f>
        <v>14605455.5</v>
      </c>
      <c r="I27" s="398">
        <f>H27/F27</f>
        <v>1.0304399252151828</v>
      </c>
      <c r="J27" s="391">
        <f>SUM(J28:J42)</f>
        <v>14605455.5</v>
      </c>
      <c r="K27" s="365">
        <f>SUM(K28:K42)</f>
        <v>0</v>
      </c>
      <c r="M27" s="221">
        <f aca="true" t="shared" si="5" ref="M27:R27">SUM(M28:M42)</f>
        <v>0</v>
      </c>
      <c r="N27" s="221">
        <f t="shared" si="5"/>
        <v>0</v>
      </c>
      <c r="O27" s="221">
        <f t="shared" si="5"/>
        <v>0</v>
      </c>
      <c r="P27" s="221">
        <f t="shared" si="5"/>
        <v>14174</v>
      </c>
      <c r="Q27" s="221">
        <f t="shared" si="5"/>
        <v>0</v>
      </c>
      <c r="R27" s="221">
        <f t="shared" si="5"/>
        <v>14174</v>
      </c>
      <c r="T27" s="221">
        <f>SUM(T28:T42)</f>
        <v>0</v>
      </c>
      <c r="U27" s="221">
        <f>SUM(U28:U42)</f>
        <v>0</v>
      </c>
    </row>
    <row r="28" spans="1:21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55"/>
      <c r="G28" s="187"/>
      <c r="H28" s="437"/>
      <c r="I28" s="428"/>
      <c r="J28" s="214"/>
      <c r="K28" s="192">
        <f>SUM(K29:K39)</f>
        <v>0</v>
      </c>
      <c r="M28" s="225"/>
      <c r="N28" s="225"/>
      <c r="O28" s="225">
        <f aca="true" t="shared" si="6" ref="O28:O42">M28+N28</f>
        <v>0</v>
      </c>
      <c r="P28" s="225"/>
      <c r="Q28" s="225"/>
      <c r="R28" s="222">
        <f aca="true" t="shared" si="7" ref="R28:R42">SUM(O28:Q28)</f>
        <v>0</v>
      </c>
      <c r="T28" s="225"/>
      <c r="U28" s="225"/>
    </row>
    <row r="29" spans="1:21" s="5" customFormat="1" ht="12">
      <c r="A29" s="240"/>
      <c r="B29" s="4" t="s">
        <v>14</v>
      </c>
      <c r="C29" s="4"/>
      <c r="D29" s="4"/>
      <c r="E29" s="246">
        <v>26</v>
      </c>
      <c r="F29" s="369"/>
      <c r="G29" s="323"/>
      <c r="H29" s="438"/>
      <c r="I29" s="429"/>
      <c r="J29" s="353"/>
      <c r="K29" s="226"/>
      <c r="M29" s="226"/>
      <c r="N29" s="226"/>
      <c r="O29" s="226">
        <f t="shared" si="6"/>
        <v>0</v>
      </c>
      <c r="P29" s="226"/>
      <c r="Q29" s="226"/>
      <c r="R29" s="222">
        <f t="shared" si="7"/>
        <v>0</v>
      </c>
      <c r="T29" s="226"/>
      <c r="U29" s="226"/>
    </row>
    <row r="30" spans="1:21" s="5" customFormat="1" ht="12">
      <c r="A30" s="240"/>
      <c r="B30" s="4" t="s">
        <v>15</v>
      </c>
      <c r="C30" s="4"/>
      <c r="D30" s="4"/>
      <c r="E30" s="246">
        <v>27</v>
      </c>
      <c r="F30" s="369"/>
      <c r="G30" s="323"/>
      <c r="H30" s="438"/>
      <c r="I30" s="429"/>
      <c r="J30" s="353"/>
      <c r="K30" s="226"/>
      <c r="M30" s="226"/>
      <c r="N30" s="226"/>
      <c r="O30" s="226">
        <f t="shared" si="6"/>
        <v>0</v>
      </c>
      <c r="P30" s="226"/>
      <c r="Q30" s="226"/>
      <c r="R30" s="222">
        <f t="shared" si="7"/>
        <v>0</v>
      </c>
      <c r="T30" s="226"/>
      <c r="U30" s="226"/>
    </row>
    <row r="31" spans="1:21" s="5" customFormat="1" ht="12">
      <c r="A31" s="240"/>
      <c r="B31" s="4" t="s">
        <v>20</v>
      </c>
      <c r="C31" s="3"/>
      <c r="D31" s="3"/>
      <c r="E31" s="246">
        <v>28</v>
      </c>
      <c r="F31" s="369"/>
      <c r="G31" s="323"/>
      <c r="H31" s="438"/>
      <c r="I31" s="429"/>
      <c r="J31" s="353"/>
      <c r="K31" s="226"/>
      <c r="M31" s="226"/>
      <c r="N31" s="226"/>
      <c r="O31" s="226">
        <f t="shared" si="6"/>
        <v>0</v>
      </c>
      <c r="P31" s="226"/>
      <c r="Q31" s="226"/>
      <c r="R31" s="222">
        <f t="shared" si="7"/>
        <v>0</v>
      </c>
      <c r="T31" s="226"/>
      <c r="U31" s="226"/>
    </row>
    <row r="32" spans="1:21" s="5" customFormat="1" ht="12">
      <c r="A32" s="240"/>
      <c r="B32" s="4" t="s">
        <v>16</v>
      </c>
      <c r="C32" s="4"/>
      <c r="D32" s="4"/>
      <c r="E32" s="246">
        <v>29</v>
      </c>
      <c r="F32" s="369"/>
      <c r="G32" s="323"/>
      <c r="H32" s="438"/>
      <c r="I32" s="429"/>
      <c r="J32" s="353"/>
      <c r="K32" s="226"/>
      <c r="M32" s="226"/>
      <c r="N32" s="226"/>
      <c r="O32" s="226">
        <f t="shared" si="6"/>
        <v>0</v>
      </c>
      <c r="P32" s="226"/>
      <c r="Q32" s="226"/>
      <c r="R32" s="222">
        <f t="shared" si="7"/>
        <v>0</v>
      </c>
      <c r="T32" s="226"/>
      <c r="U32" s="226"/>
    </row>
    <row r="33" spans="1:21" s="5" customFormat="1" ht="12">
      <c r="A33" s="240"/>
      <c r="B33" s="4" t="s">
        <v>173</v>
      </c>
      <c r="C33" s="4"/>
      <c r="D33" s="4"/>
      <c r="E33" s="246">
        <v>30</v>
      </c>
      <c r="F33" s="369"/>
      <c r="G33" s="323"/>
      <c r="H33" s="438"/>
      <c r="I33" s="429"/>
      <c r="J33" s="353"/>
      <c r="K33" s="226"/>
      <c r="M33" s="226"/>
      <c r="N33" s="226"/>
      <c r="O33" s="226">
        <f t="shared" si="6"/>
        <v>0</v>
      </c>
      <c r="P33" s="226"/>
      <c r="Q33" s="226"/>
      <c r="R33" s="222">
        <f t="shared" si="7"/>
        <v>0</v>
      </c>
      <c r="T33" s="226"/>
      <c r="U33" s="226"/>
    </row>
    <row r="34" spans="1:21" s="5" customFormat="1" ht="12">
      <c r="A34" s="240"/>
      <c r="B34" s="4" t="s">
        <v>24</v>
      </c>
      <c r="C34" s="4"/>
      <c r="D34" s="4"/>
      <c r="E34" s="246">
        <v>31</v>
      </c>
      <c r="F34" s="369"/>
      <c r="G34" s="323"/>
      <c r="H34" s="438"/>
      <c r="I34" s="429"/>
      <c r="J34" s="353"/>
      <c r="K34" s="226"/>
      <c r="M34" s="226"/>
      <c r="N34" s="226"/>
      <c r="O34" s="226">
        <f t="shared" si="6"/>
        <v>0</v>
      </c>
      <c r="P34" s="226"/>
      <c r="Q34" s="226"/>
      <c r="R34" s="222">
        <f t="shared" si="7"/>
        <v>0</v>
      </c>
      <c r="T34" s="226"/>
      <c r="U34" s="226"/>
    </row>
    <row r="35" spans="1:21" s="5" customFormat="1" ht="12">
      <c r="A35" s="240"/>
      <c r="B35" s="4" t="s">
        <v>31</v>
      </c>
      <c r="C35" s="4"/>
      <c r="D35" s="4"/>
      <c r="E35" s="246">
        <v>32</v>
      </c>
      <c r="F35" s="369"/>
      <c r="G35" s="323"/>
      <c r="H35" s="438"/>
      <c r="I35" s="429"/>
      <c r="J35" s="353"/>
      <c r="K35" s="226"/>
      <c r="M35" s="226"/>
      <c r="N35" s="226"/>
      <c r="O35" s="226">
        <f t="shared" si="6"/>
        <v>0</v>
      </c>
      <c r="P35" s="226"/>
      <c r="Q35" s="226"/>
      <c r="R35" s="222">
        <f t="shared" si="7"/>
        <v>0</v>
      </c>
      <c r="T35" s="226"/>
      <c r="U35" s="226"/>
    </row>
    <row r="36" spans="1:21" s="5" customFormat="1" ht="12">
      <c r="A36" s="240"/>
      <c r="B36" s="4" t="s">
        <v>85</v>
      </c>
      <c r="C36" s="4"/>
      <c r="D36" s="4"/>
      <c r="E36" s="246">
        <v>33</v>
      </c>
      <c r="F36" s="369"/>
      <c r="G36" s="323"/>
      <c r="H36" s="438"/>
      <c r="I36" s="429"/>
      <c r="J36" s="353"/>
      <c r="K36" s="226"/>
      <c r="M36" s="226"/>
      <c r="N36" s="226"/>
      <c r="O36" s="226">
        <f t="shared" si="6"/>
        <v>0</v>
      </c>
      <c r="P36" s="226"/>
      <c r="Q36" s="226"/>
      <c r="R36" s="222">
        <f t="shared" si="7"/>
        <v>0</v>
      </c>
      <c r="T36" s="226"/>
      <c r="U36" s="226"/>
    </row>
    <row r="37" spans="1:21" s="5" customFormat="1" ht="12">
      <c r="A37" s="240"/>
      <c r="B37" s="4" t="s">
        <v>25</v>
      </c>
      <c r="C37" s="4"/>
      <c r="D37" s="4"/>
      <c r="E37" s="246">
        <v>34</v>
      </c>
      <c r="F37" s="369"/>
      <c r="G37" s="323"/>
      <c r="H37" s="438"/>
      <c r="I37" s="429"/>
      <c r="J37" s="353"/>
      <c r="K37" s="226"/>
      <c r="M37" s="226"/>
      <c r="N37" s="226"/>
      <c r="O37" s="226">
        <f t="shared" si="6"/>
        <v>0</v>
      </c>
      <c r="P37" s="226"/>
      <c r="Q37" s="226"/>
      <c r="R37" s="222">
        <f t="shared" si="7"/>
        <v>0</v>
      </c>
      <c r="T37" s="226"/>
      <c r="U37" s="226"/>
    </row>
    <row r="38" spans="1:21" s="5" customFormat="1" ht="12">
      <c r="A38" s="240"/>
      <c r="B38" s="4" t="s">
        <v>26</v>
      </c>
      <c r="C38" s="4"/>
      <c r="D38" s="4"/>
      <c r="E38" s="246">
        <v>35</v>
      </c>
      <c r="F38" s="369"/>
      <c r="G38" s="323"/>
      <c r="H38" s="438"/>
      <c r="I38" s="429"/>
      <c r="J38" s="353"/>
      <c r="K38" s="226"/>
      <c r="M38" s="226"/>
      <c r="N38" s="226"/>
      <c r="O38" s="226">
        <f t="shared" si="6"/>
        <v>0</v>
      </c>
      <c r="P38" s="226"/>
      <c r="Q38" s="226"/>
      <c r="R38" s="222">
        <f t="shared" si="7"/>
        <v>0</v>
      </c>
      <c r="T38" s="226"/>
      <c r="U38" s="226"/>
    </row>
    <row r="39" spans="1:21" s="5" customFormat="1" ht="12">
      <c r="A39" s="240"/>
      <c r="B39" s="4" t="s">
        <v>27</v>
      </c>
      <c r="C39" s="4"/>
      <c r="D39" s="4"/>
      <c r="E39" s="246">
        <v>36</v>
      </c>
      <c r="F39" s="369"/>
      <c r="G39" s="323"/>
      <c r="H39" s="438"/>
      <c r="I39" s="429"/>
      <c r="J39" s="353"/>
      <c r="K39" s="226"/>
      <c r="M39" s="226"/>
      <c r="N39" s="226"/>
      <c r="O39" s="226">
        <f t="shared" si="6"/>
        <v>0</v>
      </c>
      <c r="P39" s="226"/>
      <c r="Q39" s="226"/>
      <c r="R39" s="222">
        <f t="shared" si="7"/>
        <v>0</v>
      </c>
      <c r="T39" s="226"/>
      <c r="U39" s="226"/>
    </row>
    <row r="40" spans="1:21" s="5" customFormat="1" ht="13.5">
      <c r="A40" s="240"/>
      <c r="B40" s="441" t="s">
        <v>204</v>
      </c>
      <c r="C40" s="441"/>
      <c r="D40" s="441"/>
      <c r="E40" s="246">
        <v>37</v>
      </c>
      <c r="F40" s="369">
        <v>14174000</v>
      </c>
      <c r="G40" s="323"/>
      <c r="H40" s="439">
        <v>14605455.5</v>
      </c>
      <c r="I40" s="429">
        <f>H40/F40</f>
        <v>1.0304399252151828</v>
      </c>
      <c r="J40" s="353">
        <f>(H40+0)/12*12</f>
        <v>14605455.5</v>
      </c>
      <c r="K40" s="226"/>
      <c r="M40" s="226"/>
      <c r="N40" s="226"/>
      <c r="O40" s="226">
        <f t="shared" si="6"/>
        <v>0</v>
      </c>
      <c r="P40" s="229">
        <v>14174</v>
      </c>
      <c r="Q40" s="226"/>
      <c r="R40" s="222">
        <f t="shared" si="7"/>
        <v>14174</v>
      </c>
      <c r="T40" s="226"/>
      <c r="U40" s="226"/>
    </row>
    <row r="41" spans="1:21" s="5" customFormat="1" ht="12">
      <c r="A41" s="240"/>
      <c r="B41" s="4" t="s">
        <v>29</v>
      </c>
      <c r="C41" s="4"/>
      <c r="D41" s="4"/>
      <c r="E41" s="246">
        <v>38</v>
      </c>
      <c r="F41" s="369"/>
      <c r="G41" s="323"/>
      <c r="H41" s="438"/>
      <c r="I41" s="429"/>
      <c r="J41" s="353"/>
      <c r="K41" s="226"/>
      <c r="M41" s="226"/>
      <c r="N41" s="226"/>
      <c r="O41" s="226">
        <f t="shared" si="6"/>
        <v>0</v>
      </c>
      <c r="P41" s="226"/>
      <c r="Q41" s="226"/>
      <c r="R41" s="222">
        <f t="shared" si="7"/>
        <v>0</v>
      </c>
      <c r="T41" s="226"/>
      <c r="U41" s="226"/>
    </row>
    <row r="42" spans="1:21" s="5" customFormat="1" ht="12">
      <c r="A42" s="240"/>
      <c r="B42" s="4" t="s">
        <v>30</v>
      </c>
      <c r="C42" s="4"/>
      <c r="D42" s="4"/>
      <c r="E42" s="246">
        <v>39</v>
      </c>
      <c r="F42" s="369"/>
      <c r="G42" s="323"/>
      <c r="H42" s="438"/>
      <c r="I42" s="430"/>
      <c r="J42" s="353">
        <f>H42/12*12</f>
        <v>0</v>
      </c>
      <c r="K42" s="226"/>
      <c r="M42" s="226"/>
      <c r="N42" s="226"/>
      <c r="O42" s="226">
        <f t="shared" si="6"/>
        <v>0</v>
      </c>
      <c r="P42" s="226"/>
      <c r="Q42" s="229"/>
      <c r="R42" s="222">
        <f t="shared" si="7"/>
        <v>0</v>
      </c>
      <c r="T42" s="226"/>
      <c r="U42" s="226"/>
    </row>
    <row r="43" spans="1:21" s="5" customFormat="1" ht="12" hidden="1">
      <c r="A43" s="241" t="s">
        <v>32</v>
      </c>
      <c r="B43" s="27"/>
      <c r="C43" s="27"/>
      <c r="D43" s="27"/>
      <c r="E43" s="247">
        <v>42</v>
      </c>
      <c r="F43" s="370"/>
      <c r="G43" s="324"/>
      <c r="H43" s="304"/>
      <c r="I43" s="398" t="e">
        <f>H43/F43</f>
        <v>#DIV/0!</v>
      </c>
      <c r="J43" s="211"/>
      <c r="K43" s="227"/>
      <c r="M43" s="227"/>
      <c r="N43" s="227"/>
      <c r="O43" s="227"/>
      <c r="P43" s="227"/>
      <c r="Q43" s="227"/>
      <c r="R43" s="227"/>
      <c r="T43" s="227"/>
      <c r="U43" s="227"/>
    </row>
    <row r="44" spans="1:21" ht="12.75">
      <c r="A44" s="239" t="s">
        <v>165</v>
      </c>
      <c r="B44" s="171"/>
      <c r="C44" s="171"/>
      <c r="D44" s="171"/>
      <c r="E44" s="245">
        <v>40</v>
      </c>
      <c r="F44" s="365">
        <f>F27-F4</f>
        <v>0</v>
      </c>
      <c r="G44" s="391">
        <f>G27-G4</f>
        <v>0</v>
      </c>
      <c r="H44" s="391">
        <f>H27-H4</f>
        <v>4222.339999999851</v>
      </c>
      <c r="I44" s="398" t="e">
        <f>H44/F44</f>
        <v>#DIV/0!</v>
      </c>
      <c r="J44" s="391">
        <f>J27-J4</f>
        <v>4222.339999999851</v>
      </c>
      <c r="K44" s="221">
        <f>K27-K4</f>
        <v>0</v>
      </c>
      <c r="M44" s="221">
        <f aca="true" t="shared" si="8" ref="M44:R44">M27-M4</f>
        <v>-14682</v>
      </c>
      <c r="N44" s="221">
        <f t="shared" si="8"/>
        <v>14682</v>
      </c>
      <c r="O44" s="221">
        <f t="shared" si="8"/>
        <v>0</v>
      </c>
      <c r="P44" s="221">
        <f t="shared" si="8"/>
        <v>0</v>
      </c>
      <c r="Q44" s="221">
        <f t="shared" si="8"/>
        <v>0</v>
      </c>
      <c r="R44" s="221">
        <f t="shared" si="8"/>
        <v>0</v>
      </c>
      <c r="T44" s="221">
        <f>T27-T4</f>
        <v>-4838</v>
      </c>
      <c r="U44" s="221">
        <f>U27-U4</f>
        <v>-9844</v>
      </c>
    </row>
    <row r="45" spans="1:10" s="89" customFormat="1" ht="11.25">
      <c r="A45" s="90" t="s">
        <v>167</v>
      </c>
      <c r="F45" s="90"/>
      <c r="G45" s="90"/>
      <c r="H45" s="90"/>
      <c r="I45" s="399"/>
      <c r="J45" s="90"/>
    </row>
    <row r="46" spans="1:13" s="89" customFormat="1" ht="11.25">
      <c r="A46" s="210" t="s">
        <v>141</v>
      </c>
      <c r="B46" s="90"/>
      <c r="C46" s="90"/>
      <c r="D46" s="90"/>
      <c r="E46" s="90"/>
      <c r="I46" s="402"/>
      <c r="M46" s="231" t="s">
        <v>156</v>
      </c>
    </row>
    <row r="47" spans="1:10" s="89" customFormat="1" ht="11.25">
      <c r="A47" s="142" t="s">
        <v>142</v>
      </c>
      <c r="B47" s="90"/>
      <c r="C47" s="90"/>
      <c r="D47" s="90"/>
      <c r="E47" s="90"/>
      <c r="F47" s="91"/>
      <c r="G47" s="91"/>
      <c r="H47" s="91"/>
      <c r="I47" s="400"/>
      <c r="J47" s="91"/>
    </row>
    <row r="48" spans="1:10" s="89" customFormat="1" ht="11.25">
      <c r="A48" s="142" t="s">
        <v>143</v>
      </c>
      <c r="B48" s="90"/>
      <c r="C48" s="90"/>
      <c r="D48" s="90"/>
      <c r="E48" s="90"/>
      <c r="F48" s="91"/>
      <c r="G48" s="91"/>
      <c r="H48" s="91"/>
      <c r="I48" s="400"/>
      <c r="J48" s="91"/>
    </row>
    <row r="49" spans="1:10" s="89" customFormat="1" ht="11.25">
      <c r="A49" s="142" t="s">
        <v>145</v>
      </c>
      <c r="B49" s="90"/>
      <c r="C49" s="90"/>
      <c r="D49" s="90"/>
      <c r="E49" s="90"/>
      <c r="F49" s="91"/>
      <c r="G49" s="91"/>
      <c r="H49" s="91"/>
      <c r="I49" s="400"/>
      <c r="J49" s="91"/>
    </row>
    <row r="50" spans="1:10" s="89" customFormat="1" ht="11.25">
      <c r="A50" s="90" t="s">
        <v>170</v>
      </c>
      <c r="B50" s="90"/>
      <c r="C50" s="90"/>
      <c r="D50" s="90"/>
      <c r="E50" s="90"/>
      <c r="F50" s="91"/>
      <c r="G50" s="91"/>
      <c r="H50" s="91"/>
      <c r="I50" s="400"/>
      <c r="J50" s="91"/>
    </row>
    <row r="51" spans="1:9" s="89" customFormat="1" ht="11.25">
      <c r="A51" s="90" t="s">
        <v>146</v>
      </c>
      <c r="B51" s="90"/>
      <c r="C51" s="90"/>
      <c r="D51" s="90"/>
      <c r="I51" s="402"/>
    </row>
    <row r="52" spans="1:9" s="89" customFormat="1" ht="11.25">
      <c r="A52" s="90" t="s">
        <v>171</v>
      </c>
      <c r="B52" s="90"/>
      <c r="C52" s="90"/>
      <c r="D52" s="90"/>
      <c r="I52" s="402"/>
    </row>
    <row r="53" spans="1:9" s="89" customFormat="1" ht="11.25">
      <c r="A53" s="90" t="s">
        <v>169</v>
      </c>
      <c r="B53" s="90"/>
      <c r="C53" s="90"/>
      <c r="D53" s="90"/>
      <c r="I53" s="402"/>
    </row>
    <row r="54" spans="1:9" s="89" customFormat="1" ht="11.25">
      <c r="A54" s="90"/>
      <c r="B54" s="90"/>
      <c r="C54" s="90"/>
      <c r="D54" s="90"/>
      <c r="I54" s="402"/>
    </row>
  </sheetData>
  <mergeCells count="1">
    <mergeCell ref="A1:D1"/>
  </mergeCells>
  <printOptions horizontalCentered="1"/>
  <pageMargins left="0.44" right="0.31496062992125984" top="0.44" bottom="0.35" header="0.27" footer="0.1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6"/>
  <dimension ref="A1:M54"/>
  <sheetViews>
    <sheetView workbookViewId="0" topLeftCell="A1">
      <selection activeCell="K5" sqref="K5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7.875" style="2" bestFit="1" customWidth="1"/>
    <col min="8" max="8" width="10.75390625" style="2" customWidth="1"/>
    <col min="9" max="9" width="5.875" style="89" bestFit="1" customWidth="1"/>
    <col min="10" max="10" width="10.75390625" style="89" hidden="1" customWidth="1"/>
    <col min="11" max="11" width="10.75390625" style="89" customWidth="1"/>
    <col min="12" max="12" width="5.625" style="0" customWidth="1"/>
  </cols>
  <sheetData>
    <row r="1" spans="1:12" ht="15.75">
      <c r="A1" s="613" t="s">
        <v>138</v>
      </c>
      <c r="B1" s="614"/>
      <c r="C1" s="614"/>
      <c r="D1" s="615"/>
      <c r="E1" s="242"/>
      <c r="F1" s="327" t="s">
        <v>7</v>
      </c>
      <c r="G1" s="356"/>
      <c r="H1" s="371" t="s">
        <v>8</v>
      </c>
      <c r="I1" s="356" t="s">
        <v>196</v>
      </c>
      <c r="J1" s="319" t="s">
        <v>197</v>
      </c>
      <c r="K1" s="218" t="s">
        <v>8</v>
      </c>
      <c r="L1" s="468" t="s">
        <v>212</v>
      </c>
    </row>
    <row r="2" spans="1:12" s="7" customFormat="1" ht="12.75">
      <c r="A2" s="237" t="s">
        <v>39</v>
      </c>
      <c r="B2" s="44"/>
      <c r="C2" s="44"/>
      <c r="D2" s="45" t="s">
        <v>132</v>
      </c>
      <c r="E2" s="243" t="s">
        <v>21</v>
      </c>
      <c r="F2" s="328">
        <v>2006</v>
      </c>
      <c r="G2" s="357" t="s">
        <v>198</v>
      </c>
      <c r="H2" s="340" t="s">
        <v>223</v>
      </c>
      <c r="I2" s="357" t="s">
        <v>199</v>
      </c>
      <c r="J2" s="320">
        <v>2006</v>
      </c>
      <c r="K2" s="219">
        <v>2005</v>
      </c>
      <c r="L2" s="468">
        <v>2005</v>
      </c>
    </row>
    <row r="3" spans="1:13" s="7" customFormat="1" ht="12.75" customHeight="1" hidden="1">
      <c r="A3" s="238"/>
      <c r="B3" s="137"/>
      <c r="C3" s="137"/>
      <c r="D3" s="138"/>
      <c r="E3" s="244"/>
      <c r="F3" s="329">
        <v>1</v>
      </c>
      <c r="G3" s="372" t="s">
        <v>200</v>
      </c>
      <c r="H3" s="341">
        <v>2</v>
      </c>
      <c r="I3" s="220" t="s">
        <v>201</v>
      </c>
      <c r="J3" s="321">
        <v>3</v>
      </c>
      <c r="K3" s="220">
        <v>4</v>
      </c>
      <c r="M3" s="205"/>
    </row>
    <row r="4" spans="1:13" ht="12.75">
      <c r="A4" s="239" t="s">
        <v>157</v>
      </c>
      <c r="B4" s="171"/>
      <c r="C4" s="171"/>
      <c r="D4" s="171"/>
      <c r="E4" s="245">
        <v>1</v>
      </c>
      <c r="F4" s="330">
        <f>SUM(F6:F26)</f>
        <v>4757000</v>
      </c>
      <c r="G4" s="373">
        <f>SUM(G6:G26)</f>
        <v>0</v>
      </c>
      <c r="H4" s="342">
        <f>SUM(H6:H26)</f>
        <v>4656371.77</v>
      </c>
      <c r="I4" s="362">
        <f aca="true" t="shared" si="0" ref="I4:I16">H4/F4</f>
        <v>0.978846283371873</v>
      </c>
      <c r="J4" s="322">
        <f>SUM(J6:J26)</f>
        <v>4656371.77</v>
      </c>
      <c r="K4" s="221">
        <f>SUM(K6:K26)</f>
        <v>3028888.62</v>
      </c>
      <c r="M4" s="205"/>
    </row>
    <row r="5" spans="1:13" s="5" customFormat="1" ht="12">
      <c r="A5" s="240" t="s">
        <v>10</v>
      </c>
      <c r="B5" s="3" t="s">
        <v>91</v>
      </c>
      <c r="C5" s="3"/>
      <c r="D5" s="3"/>
      <c r="E5" s="246">
        <v>2</v>
      </c>
      <c r="F5" s="331">
        <f>SUM(F6:F16)</f>
        <v>4757000</v>
      </c>
      <c r="G5" s="224">
        <f>SUM(G6:G16)</f>
        <v>0</v>
      </c>
      <c r="H5" s="266">
        <f>SUM(H6:H16)</f>
        <v>4656371.77</v>
      </c>
      <c r="I5" s="376">
        <f t="shared" si="0"/>
        <v>0.978846283371873</v>
      </c>
      <c r="J5" s="187">
        <f>SUM(J6:J16)</f>
        <v>4656371.77</v>
      </c>
      <c r="K5" s="192">
        <f>SUM(K6:K16)</f>
        <v>3028888.62</v>
      </c>
      <c r="M5" s="205"/>
    </row>
    <row r="6" spans="1:13" s="29" customFormat="1" ht="12">
      <c r="A6" s="241"/>
      <c r="B6" s="27"/>
      <c r="C6" s="27" t="s">
        <v>13</v>
      </c>
      <c r="D6" s="28" t="s">
        <v>17</v>
      </c>
      <c r="E6" s="246">
        <v>3</v>
      </c>
      <c r="F6" s="332">
        <v>1065000</v>
      </c>
      <c r="G6" s="222"/>
      <c r="H6" s="343">
        <v>1052747</v>
      </c>
      <c r="I6" s="376">
        <f t="shared" si="0"/>
        <v>0.9884948356807511</v>
      </c>
      <c r="J6" s="174">
        <f>H6/12*12</f>
        <v>1052747</v>
      </c>
      <c r="K6" s="174">
        <v>1002950</v>
      </c>
      <c r="L6" s="39"/>
      <c r="M6" s="206"/>
    </row>
    <row r="7" spans="1:13" s="29" customFormat="1" ht="12">
      <c r="A7" s="241"/>
      <c r="B7" s="27"/>
      <c r="C7" s="27"/>
      <c r="D7" s="28" t="s">
        <v>18</v>
      </c>
      <c r="E7" s="246">
        <v>4</v>
      </c>
      <c r="F7" s="332">
        <v>140000</v>
      </c>
      <c r="G7" s="222"/>
      <c r="H7" s="564">
        <v>139912</v>
      </c>
      <c r="I7" s="376">
        <f t="shared" si="0"/>
        <v>0.9993714285714286</v>
      </c>
      <c r="J7" s="174">
        <f aca="true" t="shared" si="1" ref="J7:J15">H7/12*12</f>
        <v>139912</v>
      </c>
      <c r="K7" s="174">
        <v>6860</v>
      </c>
      <c r="M7" s="206"/>
    </row>
    <row r="8" spans="1:13" s="29" customFormat="1" ht="12">
      <c r="A8" s="241"/>
      <c r="B8" s="27"/>
      <c r="C8" s="27"/>
      <c r="D8" s="28" t="s">
        <v>19</v>
      </c>
      <c r="E8" s="246">
        <v>5</v>
      </c>
      <c r="F8" s="332">
        <v>422000</v>
      </c>
      <c r="G8" s="222"/>
      <c r="H8" s="343">
        <v>417429</v>
      </c>
      <c r="I8" s="376">
        <f t="shared" si="0"/>
        <v>0.9891682464454976</v>
      </c>
      <c r="J8" s="174">
        <f t="shared" si="1"/>
        <v>417429</v>
      </c>
      <c r="K8" s="174">
        <v>351025</v>
      </c>
      <c r="M8" s="206"/>
    </row>
    <row r="9" spans="1:13" s="29" customFormat="1" ht="12">
      <c r="A9" s="241"/>
      <c r="B9" s="27"/>
      <c r="C9" s="27"/>
      <c r="D9" s="28" t="s">
        <v>0</v>
      </c>
      <c r="E9" s="246">
        <v>6</v>
      </c>
      <c r="F9" s="332">
        <v>900000</v>
      </c>
      <c r="G9" s="222"/>
      <c r="H9" s="343">
        <v>971228.34</v>
      </c>
      <c r="I9" s="376">
        <f t="shared" si="0"/>
        <v>1.0791426</v>
      </c>
      <c r="J9" s="174">
        <f t="shared" si="1"/>
        <v>971228.3399999999</v>
      </c>
      <c r="K9" s="174">
        <v>885322.86</v>
      </c>
      <c r="M9" s="206"/>
    </row>
    <row r="10" spans="1:13" s="29" customFormat="1" ht="12">
      <c r="A10" s="241"/>
      <c r="B10" s="27"/>
      <c r="C10" s="27"/>
      <c r="D10" s="28" t="s">
        <v>1</v>
      </c>
      <c r="E10" s="246">
        <v>7</v>
      </c>
      <c r="F10" s="332">
        <v>300000</v>
      </c>
      <c r="G10" s="222"/>
      <c r="H10" s="343">
        <v>260305.1</v>
      </c>
      <c r="I10" s="376">
        <f t="shared" si="0"/>
        <v>0.8676836666666666</v>
      </c>
      <c r="J10" s="174">
        <f t="shared" si="1"/>
        <v>260305.1</v>
      </c>
      <c r="K10" s="174">
        <v>20983.2</v>
      </c>
      <c r="M10" s="206"/>
    </row>
    <row r="11" spans="1:13" s="29" customFormat="1" ht="12">
      <c r="A11" s="241"/>
      <c r="B11" s="27"/>
      <c r="C11" s="27"/>
      <c r="D11" s="28" t="s">
        <v>2</v>
      </c>
      <c r="E11" s="246">
        <v>8</v>
      </c>
      <c r="F11" s="332">
        <v>1128000</v>
      </c>
      <c r="G11" s="222"/>
      <c r="H11" s="343">
        <v>1073250.87</v>
      </c>
      <c r="I11" s="376">
        <f t="shared" si="0"/>
        <v>0.9514635372340426</v>
      </c>
      <c r="J11" s="174">
        <f t="shared" si="1"/>
        <v>1073250.87</v>
      </c>
      <c r="K11" s="174">
        <v>318557.59</v>
      </c>
      <c r="M11" s="206"/>
    </row>
    <row r="12" spans="1:13" s="29" customFormat="1" ht="12">
      <c r="A12" s="241"/>
      <c r="B12" s="27"/>
      <c r="C12" s="27"/>
      <c r="D12" s="28" t="s">
        <v>3</v>
      </c>
      <c r="E12" s="246">
        <v>9</v>
      </c>
      <c r="F12" s="332">
        <v>100000</v>
      </c>
      <c r="G12" s="223"/>
      <c r="H12" s="374">
        <v>109666.3</v>
      </c>
      <c r="I12" s="376">
        <f t="shared" si="0"/>
        <v>1.096663</v>
      </c>
      <c r="J12" s="550">
        <f>H12/12*12</f>
        <v>109666.3</v>
      </c>
      <c r="K12" s="379">
        <v>97366.73</v>
      </c>
      <c r="M12" s="206"/>
    </row>
    <row r="13" spans="1:13" s="29" customFormat="1" ht="12">
      <c r="A13" s="241"/>
      <c r="B13" s="27"/>
      <c r="C13" s="27"/>
      <c r="D13" s="28" t="s">
        <v>4</v>
      </c>
      <c r="E13" s="246">
        <v>10</v>
      </c>
      <c r="F13" s="332">
        <v>25000</v>
      </c>
      <c r="G13" s="222"/>
      <c r="H13" s="343">
        <v>17126.9</v>
      </c>
      <c r="I13" s="376">
        <f t="shared" si="0"/>
        <v>0.685076</v>
      </c>
      <c r="J13" s="174">
        <f t="shared" si="1"/>
        <v>17126.9</v>
      </c>
      <c r="K13" s="174">
        <v>16167.54</v>
      </c>
      <c r="M13" s="206"/>
    </row>
    <row r="14" spans="1:13" s="29" customFormat="1" ht="13.5">
      <c r="A14" s="241"/>
      <c r="B14" s="27"/>
      <c r="C14" s="27"/>
      <c r="D14" s="28" t="s">
        <v>178</v>
      </c>
      <c r="E14" s="246">
        <v>11</v>
      </c>
      <c r="F14" s="332">
        <v>627000</v>
      </c>
      <c r="G14" s="222"/>
      <c r="H14" s="343">
        <v>398676</v>
      </c>
      <c r="I14" s="376">
        <f t="shared" si="0"/>
        <v>0.6358468899521531</v>
      </c>
      <c r="J14" s="174">
        <f>H14/12*12</f>
        <v>398676</v>
      </c>
      <c r="K14" s="174">
        <v>310748</v>
      </c>
      <c r="M14" s="206"/>
    </row>
    <row r="15" spans="1:13" s="29" customFormat="1" ht="12">
      <c r="A15" s="241"/>
      <c r="B15" s="27"/>
      <c r="C15" s="27"/>
      <c r="D15" s="28" t="s">
        <v>6</v>
      </c>
      <c r="E15" s="246">
        <v>12</v>
      </c>
      <c r="F15" s="332"/>
      <c r="G15" s="222"/>
      <c r="H15" s="343"/>
      <c r="I15" s="376"/>
      <c r="J15" s="174">
        <f t="shared" si="1"/>
        <v>0</v>
      </c>
      <c r="K15" s="174"/>
      <c r="M15" s="206"/>
    </row>
    <row r="16" spans="1:13" s="29" customFormat="1" ht="12">
      <c r="A16" s="241"/>
      <c r="B16" s="28"/>
      <c r="C16" s="28"/>
      <c r="D16" s="28" t="s">
        <v>9</v>
      </c>
      <c r="E16" s="246">
        <v>13</v>
      </c>
      <c r="F16" s="332">
        <v>50000</v>
      </c>
      <c r="G16" s="222"/>
      <c r="H16" s="343">
        <v>216030.26</v>
      </c>
      <c r="I16" s="376">
        <f t="shared" si="0"/>
        <v>4.3206052</v>
      </c>
      <c r="J16" s="550">
        <f>H16/12*12</f>
        <v>216030.26</v>
      </c>
      <c r="K16" s="174">
        <v>18907.7</v>
      </c>
      <c r="M16" s="206"/>
    </row>
    <row r="17" spans="1:13" s="5" customFormat="1" ht="12">
      <c r="A17" s="240"/>
      <c r="B17" s="4" t="s">
        <v>14</v>
      </c>
      <c r="C17" s="3"/>
      <c r="D17" s="3"/>
      <c r="E17" s="246">
        <v>14</v>
      </c>
      <c r="F17" s="331"/>
      <c r="G17" s="224"/>
      <c r="H17" s="274"/>
      <c r="I17" s="377"/>
      <c r="J17" s="187">
        <f aca="true" t="shared" si="2" ref="J17:J41">H17</f>
        <v>0</v>
      </c>
      <c r="K17" s="192"/>
      <c r="M17" s="205"/>
    </row>
    <row r="18" spans="1:13" s="5" customFormat="1" ht="12">
      <c r="A18" s="240"/>
      <c r="B18" s="4" t="s">
        <v>15</v>
      </c>
      <c r="C18" s="3"/>
      <c r="D18" s="3"/>
      <c r="E18" s="246">
        <v>15</v>
      </c>
      <c r="F18" s="331"/>
      <c r="G18" s="224"/>
      <c r="H18" s="274"/>
      <c r="I18" s="377"/>
      <c r="J18" s="187">
        <f t="shared" si="2"/>
        <v>0</v>
      </c>
      <c r="K18" s="192"/>
      <c r="M18" s="205"/>
    </row>
    <row r="19" spans="1:13" s="5" customFormat="1" ht="12">
      <c r="A19" s="240"/>
      <c r="B19" s="4" t="s">
        <v>20</v>
      </c>
      <c r="C19" s="3"/>
      <c r="D19" s="3"/>
      <c r="E19" s="246">
        <v>16</v>
      </c>
      <c r="F19" s="331"/>
      <c r="G19" s="224"/>
      <c r="H19" s="274"/>
      <c r="I19" s="377"/>
      <c r="J19" s="187">
        <f t="shared" si="2"/>
        <v>0</v>
      </c>
      <c r="K19" s="192"/>
      <c r="M19" s="205"/>
    </row>
    <row r="20" spans="1:13" s="5" customFormat="1" ht="12">
      <c r="A20" s="240"/>
      <c r="B20" s="4" t="s">
        <v>16</v>
      </c>
      <c r="C20" s="3"/>
      <c r="D20" s="3"/>
      <c r="E20" s="246">
        <v>17</v>
      </c>
      <c r="F20" s="331"/>
      <c r="G20" s="224"/>
      <c r="H20" s="274"/>
      <c r="I20" s="377"/>
      <c r="J20" s="187">
        <f t="shared" si="2"/>
        <v>0</v>
      </c>
      <c r="K20" s="192"/>
      <c r="M20" s="205"/>
    </row>
    <row r="21" spans="1:13" s="5" customFormat="1" ht="12">
      <c r="A21" s="240"/>
      <c r="B21" s="4" t="s">
        <v>24</v>
      </c>
      <c r="C21" s="4"/>
      <c r="D21" s="4"/>
      <c r="E21" s="246">
        <v>18</v>
      </c>
      <c r="F21" s="331"/>
      <c r="G21" s="224"/>
      <c r="H21" s="274"/>
      <c r="I21" s="377"/>
      <c r="J21" s="187">
        <f t="shared" si="2"/>
        <v>0</v>
      </c>
      <c r="K21" s="192"/>
      <c r="M21" s="205"/>
    </row>
    <row r="22" spans="1:13" s="5" customFormat="1" ht="12">
      <c r="A22" s="240"/>
      <c r="B22" s="4" t="s">
        <v>31</v>
      </c>
      <c r="C22" s="4"/>
      <c r="D22" s="4"/>
      <c r="E22" s="246">
        <v>19</v>
      </c>
      <c r="F22" s="331"/>
      <c r="G22" s="224"/>
      <c r="H22" s="274"/>
      <c r="I22" s="377"/>
      <c r="J22" s="187">
        <f t="shared" si="2"/>
        <v>0</v>
      </c>
      <c r="K22" s="192"/>
      <c r="M22" s="205"/>
    </row>
    <row r="23" spans="1:13" s="5" customFormat="1" ht="12">
      <c r="A23" s="240"/>
      <c r="B23" s="4" t="s">
        <v>25</v>
      </c>
      <c r="C23" s="4"/>
      <c r="D23" s="4"/>
      <c r="E23" s="246">
        <v>20</v>
      </c>
      <c r="F23" s="331"/>
      <c r="G23" s="224"/>
      <c r="H23" s="274"/>
      <c r="I23" s="377"/>
      <c r="J23" s="187">
        <f t="shared" si="2"/>
        <v>0</v>
      </c>
      <c r="K23" s="192"/>
      <c r="M23" s="205"/>
    </row>
    <row r="24" spans="1:13" s="5" customFormat="1" ht="12">
      <c r="A24" s="240"/>
      <c r="B24" s="4" t="s">
        <v>26</v>
      </c>
      <c r="C24" s="4"/>
      <c r="D24" s="4"/>
      <c r="E24" s="246">
        <v>21</v>
      </c>
      <c r="F24" s="331"/>
      <c r="G24" s="224"/>
      <c r="H24" s="274"/>
      <c r="I24" s="377"/>
      <c r="J24" s="187">
        <f t="shared" si="2"/>
        <v>0</v>
      </c>
      <c r="K24" s="192"/>
      <c r="M24" s="205"/>
    </row>
    <row r="25" spans="1:13" s="5" customFormat="1" ht="12">
      <c r="A25" s="240"/>
      <c r="B25" s="4" t="s">
        <v>27</v>
      </c>
      <c r="C25" s="4"/>
      <c r="D25" s="4"/>
      <c r="E25" s="246">
        <v>22</v>
      </c>
      <c r="F25" s="331"/>
      <c r="G25" s="224"/>
      <c r="H25" s="274"/>
      <c r="I25" s="377"/>
      <c r="J25" s="187">
        <f t="shared" si="2"/>
        <v>0</v>
      </c>
      <c r="K25" s="192"/>
      <c r="M25" s="205"/>
    </row>
    <row r="26" spans="1:13" s="5" customFormat="1" ht="12">
      <c r="A26" s="240"/>
      <c r="B26" s="95" t="s">
        <v>30</v>
      </c>
      <c r="C26" s="95"/>
      <c r="D26" s="95"/>
      <c r="E26" s="246">
        <v>23</v>
      </c>
      <c r="F26" s="331"/>
      <c r="G26" s="224"/>
      <c r="H26" s="274"/>
      <c r="I26" s="377"/>
      <c r="J26" s="187">
        <f>H26/12*12</f>
        <v>0</v>
      </c>
      <c r="K26" s="192"/>
      <c r="M26" s="205"/>
    </row>
    <row r="27" spans="1:13" ht="12.75">
      <c r="A27" s="239" t="s">
        <v>158</v>
      </c>
      <c r="B27" s="171"/>
      <c r="C27" s="171"/>
      <c r="D27" s="171"/>
      <c r="E27" s="245">
        <v>24</v>
      </c>
      <c r="F27" s="330">
        <f>SUM(F28:F42)</f>
        <v>4907000</v>
      </c>
      <c r="G27" s="221">
        <f>SUM(G28:G42)</f>
        <v>3895000</v>
      </c>
      <c r="H27" s="342">
        <f>SUM(H28:H42)</f>
        <v>4959567.99</v>
      </c>
      <c r="I27" s="362">
        <f>H27/F27</f>
        <v>1.0107128571428572</v>
      </c>
      <c r="J27" s="322">
        <f>SUM(J28:J42)</f>
        <v>4959567.99</v>
      </c>
      <c r="K27" s="221">
        <f>SUM(K28:K42)</f>
        <v>3229538.75</v>
      </c>
      <c r="M27" s="205"/>
    </row>
    <row r="28" spans="1:13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331">
        <v>3895000</v>
      </c>
      <c r="G28" s="337">
        <f>3500000+395000</f>
        <v>3895000</v>
      </c>
      <c r="H28" s="375">
        <v>3895000</v>
      </c>
      <c r="I28" s="377">
        <f>H28/G28</f>
        <v>1</v>
      </c>
      <c r="J28" s="354">
        <f>G28</f>
        <v>3895000</v>
      </c>
      <c r="K28" s="337">
        <v>2345000</v>
      </c>
      <c r="M28" s="205"/>
    </row>
    <row r="29" spans="1:13" s="5" customFormat="1" ht="12">
      <c r="A29" s="240"/>
      <c r="B29" s="4" t="s">
        <v>14</v>
      </c>
      <c r="C29" s="4"/>
      <c r="D29" s="4"/>
      <c r="E29" s="246">
        <v>26</v>
      </c>
      <c r="F29" s="333"/>
      <c r="G29" s="326"/>
      <c r="H29" s="364"/>
      <c r="I29" s="377"/>
      <c r="J29" s="323">
        <f t="shared" si="2"/>
        <v>0</v>
      </c>
      <c r="K29" s="326"/>
      <c r="M29" s="205"/>
    </row>
    <row r="30" spans="1:13" s="5" customFormat="1" ht="12">
      <c r="A30" s="240"/>
      <c r="B30" s="4" t="s">
        <v>15</v>
      </c>
      <c r="C30" s="4"/>
      <c r="D30" s="4"/>
      <c r="E30" s="246">
        <v>27</v>
      </c>
      <c r="F30" s="333"/>
      <c r="G30" s="326"/>
      <c r="H30" s="364"/>
      <c r="I30" s="377"/>
      <c r="J30" s="323">
        <f t="shared" si="2"/>
        <v>0</v>
      </c>
      <c r="K30" s="326"/>
      <c r="M30" s="205"/>
    </row>
    <row r="31" spans="1:13" s="5" customFormat="1" ht="12">
      <c r="A31" s="240"/>
      <c r="B31" s="4" t="s">
        <v>20</v>
      </c>
      <c r="C31" s="3"/>
      <c r="D31" s="3"/>
      <c r="E31" s="246">
        <v>28</v>
      </c>
      <c r="F31" s="333"/>
      <c r="G31" s="326"/>
      <c r="H31" s="364"/>
      <c r="I31" s="377"/>
      <c r="J31" s="323">
        <f t="shared" si="2"/>
        <v>0</v>
      </c>
      <c r="K31" s="326"/>
      <c r="M31" s="205"/>
    </row>
    <row r="32" spans="1:13" s="5" customFormat="1" ht="12">
      <c r="A32" s="240"/>
      <c r="B32" s="4" t="s">
        <v>16</v>
      </c>
      <c r="C32" s="4"/>
      <c r="D32" s="4"/>
      <c r="E32" s="246">
        <v>29</v>
      </c>
      <c r="F32" s="333"/>
      <c r="G32" s="326"/>
      <c r="H32" s="364"/>
      <c r="I32" s="377"/>
      <c r="J32" s="323">
        <f t="shared" si="2"/>
        <v>0</v>
      </c>
      <c r="K32" s="326"/>
      <c r="M32" s="205"/>
    </row>
    <row r="33" spans="1:13" s="5" customFormat="1" ht="12">
      <c r="A33" s="240"/>
      <c r="B33" s="4" t="s">
        <v>173</v>
      </c>
      <c r="C33" s="4"/>
      <c r="D33" s="4"/>
      <c r="E33" s="246">
        <v>30</v>
      </c>
      <c r="F33" s="333"/>
      <c r="G33" s="326"/>
      <c r="H33" s="364"/>
      <c r="I33" s="377"/>
      <c r="J33" s="323">
        <f t="shared" si="2"/>
        <v>0</v>
      </c>
      <c r="K33" s="326"/>
      <c r="M33" s="205"/>
    </row>
    <row r="34" spans="1:13" s="5" customFormat="1" ht="12">
      <c r="A34" s="240"/>
      <c r="B34" s="4" t="s">
        <v>24</v>
      </c>
      <c r="C34" s="4"/>
      <c r="D34" s="4"/>
      <c r="E34" s="246">
        <v>31</v>
      </c>
      <c r="F34" s="333"/>
      <c r="G34" s="326"/>
      <c r="H34" s="364"/>
      <c r="I34" s="377"/>
      <c r="J34" s="323">
        <f t="shared" si="2"/>
        <v>0</v>
      </c>
      <c r="K34" s="326"/>
      <c r="M34" s="205"/>
    </row>
    <row r="35" spans="1:13" s="5" customFormat="1" ht="12">
      <c r="A35" s="240"/>
      <c r="B35" s="4" t="s">
        <v>31</v>
      </c>
      <c r="C35" s="4"/>
      <c r="D35" s="4"/>
      <c r="E35" s="246">
        <v>32</v>
      </c>
      <c r="F35" s="333"/>
      <c r="G35" s="326"/>
      <c r="H35" s="364"/>
      <c r="I35" s="377"/>
      <c r="J35" s="323">
        <f t="shared" si="2"/>
        <v>0</v>
      </c>
      <c r="K35" s="326"/>
      <c r="M35" s="205"/>
    </row>
    <row r="36" spans="1:13" s="5" customFormat="1" ht="12">
      <c r="A36" s="240"/>
      <c r="B36" s="4" t="s">
        <v>85</v>
      </c>
      <c r="C36" s="4"/>
      <c r="D36" s="4"/>
      <c r="E36" s="246">
        <v>33</v>
      </c>
      <c r="F36" s="333"/>
      <c r="G36" s="326"/>
      <c r="H36" s="364"/>
      <c r="I36" s="377"/>
      <c r="J36" s="323">
        <f t="shared" si="2"/>
        <v>0</v>
      </c>
      <c r="K36" s="326"/>
      <c r="M36" s="205"/>
    </row>
    <row r="37" spans="1:13" s="5" customFormat="1" ht="12">
      <c r="A37" s="240"/>
      <c r="B37" s="4" t="s">
        <v>25</v>
      </c>
      <c r="C37" s="4"/>
      <c r="D37" s="4"/>
      <c r="E37" s="246">
        <v>34</v>
      </c>
      <c r="F37" s="333"/>
      <c r="G37" s="326"/>
      <c r="H37" s="364"/>
      <c r="I37" s="377"/>
      <c r="J37" s="323">
        <f t="shared" si="2"/>
        <v>0</v>
      </c>
      <c r="K37" s="326"/>
      <c r="M37" s="205"/>
    </row>
    <row r="38" spans="1:13" s="5" customFormat="1" ht="12">
      <c r="A38" s="240"/>
      <c r="B38" s="4" t="s">
        <v>26</v>
      </c>
      <c r="C38" s="4"/>
      <c r="D38" s="4"/>
      <c r="E38" s="246">
        <v>35</v>
      </c>
      <c r="F38" s="333"/>
      <c r="G38" s="326"/>
      <c r="H38" s="364"/>
      <c r="I38" s="377"/>
      <c r="J38" s="323">
        <f t="shared" si="2"/>
        <v>0</v>
      </c>
      <c r="K38" s="326"/>
      <c r="M38" s="205"/>
    </row>
    <row r="39" spans="1:13" s="5" customFormat="1" ht="12">
      <c r="A39" s="240"/>
      <c r="B39" s="4" t="s">
        <v>27</v>
      </c>
      <c r="C39" s="4"/>
      <c r="D39" s="4"/>
      <c r="E39" s="246">
        <v>36</v>
      </c>
      <c r="F39" s="333"/>
      <c r="G39" s="326"/>
      <c r="H39" s="364"/>
      <c r="I39" s="377"/>
      <c r="J39" s="323">
        <f t="shared" si="2"/>
        <v>0</v>
      </c>
      <c r="K39" s="326"/>
      <c r="M39" s="205"/>
    </row>
    <row r="40" spans="1:13" s="5" customFormat="1" ht="13.5">
      <c r="A40" s="240"/>
      <c r="B40" s="4" t="s">
        <v>180</v>
      </c>
      <c r="C40" s="4"/>
      <c r="D40" s="4"/>
      <c r="E40" s="246">
        <v>37</v>
      </c>
      <c r="F40" s="333">
        <v>1012000</v>
      </c>
      <c r="G40" s="326"/>
      <c r="H40" s="364">
        <v>1064567.99</v>
      </c>
      <c r="I40" s="377">
        <f>H40/F40</f>
        <v>1.0519446541501976</v>
      </c>
      <c r="J40" s="323">
        <f>(H40+0)/12*12</f>
        <v>1064567.99</v>
      </c>
      <c r="K40" s="326">
        <v>884538.75</v>
      </c>
      <c r="M40" s="205"/>
    </row>
    <row r="41" spans="1:13" s="5" customFormat="1" ht="12">
      <c r="A41" s="240"/>
      <c r="B41" s="4" t="s">
        <v>29</v>
      </c>
      <c r="C41" s="4"/>
      <c r="D41" s="4"/>
      <c r="E41" s="246">
        <v>38</v>
      </c>
      <c r="F41" s="333"/>
      <c r="G41" s="326"/>
      <c r="H41" s="364"/>
      <c r="I41" s="377"/>
      <c r="J41" s="323">
        <f t="shared" si="2"/>
        <v>0</v>
      </c>
      <c r="K41" s="326"/>
      <c r="M41" s="205"/>
    </row>
    <row r="42" spans="1:13" s="5" customFormat="1" ht="12">
      <c r="A42" s="240"/>
      <c r="B42" s="4" t="s">
        <v>30</v>
      </c>
      <c r="C42" s="4"/>
      <c r="D42" s="4"/>
      <c r="E42" s="246">
        <v>39</v>
      </c>
      <c r="F42" s="333"/>
      <c r="G42" s="326"/>
      <c r="H42" s="364"/>
      <c r="I42" s="377"/>
      <c r="J42" s="323">
        <f>H42/12*12</f>
        <v>0</v>
      </c>
      <c r="K42" s="326"/>
      <c r="M42" s="205"/>
    </row>
    <row r="43" spans="1:13" s="5" customFormat="1" ht="12" customHeight="1" hidden="1">
      <c r="A43" s="241" t="s">
        <v>32</v>
      </c>
      <c r="B43" s="27"/>
      <c r="C43" s="27"/>
      <c r="D43" s="27"/>
      <c r="E43" s="247">
        <v>42</v>
      </c>
      <c r="F43" s="334"/>
      <c r="G43" s="325"/>
      <c r="H43" s="347">
        <v>-85781.32</v>
      </c>
      <c r="I43" s="378"/>
      <c r="J43" s="324">
        <f>J28+J33+J36+J40+J41+J42-J5-J26</f>
        <v>303196.22000000067</v>
      </c>
      <c r="K43" s="227"/>
      <c r="M43" s="205"/>
    </row>
    <row r="44" spans="1:13" ht="12.75">
      <c r="A44" s="239" t="s">
        <v>165</v>
      </c>
      <c r="B44" s="171"/>
      <c r="C44" s="171"/>
      <c r="D44" s="171"/>
      <c r="E44" s="245">
        <v>40</v>
      </c>
      <c r="F44" s="330">
        <f>F27-F4</f>
        <v>150000</v>
      </c>
      <c r="G44" s="373"/>
      <c r="H44" s="342">
        <f>H27-H4</f>
        <v>303196.22000000067</v>
      </c>
      <c r="I44" s="362">
        <f>H44/F44</f>
        <v>2.0213081333333376</v>
      </c>
      <c r="J44" s="322">
        <f>J27-J4</f>
        <v>303196.22000000067</v>
      </c>
      <c r="K44" s="221">
        <f>K27-K4</f>
        <v>200650.1299999999</v>
      </c>
      <c r="M44" s="205"/>
    </row>
    <row r="45" spans="1:10" s="89" customFormat="1" ht="11.25">
      <c r="A45" s="90" t="s">
        <v>167</v>
      </c>
      <c r="F45" s="90"/>
      <c r="G45" s="90"/>
      <c r="H45" s="90"/>
      <c r="I45" s="90"/>
      <c r="J45" s="90"/>
    </row>
    <row r="46" spans="1:10" s="89" customFormat="1" ht="11.25">
      <c r="A46" s="210" t="s">
        <v>141</v>
      </c>
      <c r="B46" s="90"/>
      <c r="C46" s="90"/>
      <c r="D46" s="90"/>
      <c r="E46" s="90"/>
      <c r="F46" s="91">
        <f>SUM(F47:F48)</f>
        <v>627000</v>
      </c>
      <c r="G46" s="91"/>
      <c r="H46" s="91"/>
      <c r="I46" s="91"/>
      <c r="J46" s="91"/>
    </row>
    <row r="47" spans="1:10" s="89" customFormat="1" ht="11.25">
      <c r="A47" s="142" t="s">
        <v>142</v>
      </c>
      <c r="B47" s="90"/>
      <c r="C47" s="90"/>
      <c r="D47" s="90"/>
      <c r="E47" s="90"/>
      <c r="F47" s="91">
        <v>395000</v>
      </c>
      <c r="G47" s="91"/>
      <c r="H47" s="91"/>
      <c r="I47" s="91"/>
      <c r="J47" s="91"/>
    </row>
    <row r="48" spans="1:10" s="89" customFormat="1" ht="11.25">
      <c r="A48" s="142" t="s">
        <v>143</v>
      </c>
      <c r="B48" s="90"/>
      <c r="C48" s="90"/>
      <c r="D48" s="90"/>
      <c r="E48" s="90"/>
      <c r="F48" s="91">
        <v>232000</v>
      </c>
      <c r="G48" s="91"/>
      <c r="H48" s="91"/>
      <c r="I48" s="91"/>
      <c r="J48" s="91"/>
    </row>
    <row r="49" spans="1:10" ht="12.75">
      <c r="A49" s="142" t="s">
        <v>145</v>
      </c>
      <c r="B49" s="90"/>
      <c r="C49" s="90"/>
      <c r="D49" s="90"/>
      <c r="E49" s="90"/>
      <c r="F49" s="91"/>
      <c r="G49" s="91"/>
      <c r="H49" s="91"/>
      <c r="I49" s="91"/>
      <c r="J49" s="91"/>
    </row>
    <row r="50" spans="1:10" ht="12.75">
      <c r="A50" s="90" t="s">
        <v>170</v>
      </c>
      <c r="B50" s="90"/>
      <c r="C50" s="90"/>
      <c r="D50" s="90"/>
      <c r="E50" s="90"/>
      <c r="F50" s="91">
        <v>3500000</v>
      </c>
      <c r="G50" s="91"/>
      <c r="H50" s="91"/>
      <c r="I50" s="91"/>
      <c r="J50" s="91"/>
    </row>
    <row r="51" spans="1:10" ht="12.75">
      <c r="A51" s="90" t="s">
        <v>146</v>
      </c>
      <c r="B51" s="90"/>
      <c r="C51" s="90"/>
      <c r="D51" s="90"/>
      <c r="E51" s="89"/>
      <c r="F51" s="91"/>
      <c r="G51" s="91"/>
      <c r="H51" s="91"/>
      <c r="I51" s="91"/>
      <c r="J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395000</v>
      </c>
      <c r="G52" s="211"/>
      <c r="H52" s="211"/>
      <c r="I52" s="211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3895000</v>
      </c>
      <c r="G53" s="91"/>
      <c r="H53" s="91"/>
      <c r="I53" s="91"/>
      <c r="J53" s="91"/>
    </row>
    <row r="54" spans="1:10" ht="12.75">
      <c r="A54" s="90"/>
      <c r="B54" s="90"/>
      <c r="C54" s="90"/>
      <c r="D54" s="90"/>
      <c r="E54" s="89"/>
      <c r="F54" s="91"/>
      <c r="G54" s="91"/>
      <c r="H54" s="91"/>
      <c r="I54" s="91"/>
      <c r="J54" s="91"/>
    </row>
  </sheetData>
  <mergeCells count="1">
    <mergeCell ref="A1:D1"/>
  </mergeCells>
  <printOptions horizontalCentered="1"/>
  <pageMargins left="0.44" right="0.31496062992125984" top="0.29" bottom="0.35" header="0.19" footer="0.16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7"/>
  <dimension ref="A1:L54"/>
  <sheetViews>
    <sheetView workbookViewId="0" topLeftCell="A1">
      <selection activeCell="A4" sqref="A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9.875" style="89" bestFit="1" customWidth="1"/>
    <col min="8" max="8" width="10.75390625" style="2" customWidth="1"/>
    <col min="9" max="9" width="6.75390625" style="446" customWidth="1"/>
    <col min="10" max="10" width="10.75390625" style="2" hidden="1" customWidth="1"/>
    <col min="11" max="11" width="10.75390625" style="2" customWidth="1"/>
    <col min="12" max="12" width="7.375" style="0" customWidth="1"/>
  </cols>
  <sheetData>
    <row r="1" spans="1:12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371" t="s">
        <v>8</v>
      </c>
      <c r="I1" s="356" t="s">
        <v>196</v>
      </c>
      <c r="J1" s="218" t="s">
        <v>197</v>
      </c>
      <c r="K1" s="301" t="s">
        <v>8</v>
      </c>
      <c r="L1" s="468" t="s">
        <v>212</v>
      </c>
    </row>
    <row r="2" spans="1:12" s="7" customFormat="1" ht="12.75">
      <c r="A2" s="237" t="s">
        <v>39</v>
      </c>
      <c r="B2" s="44"/>
      <c r="C2" s="44"/>
      <c r="D2" s="45" t="s">
        <v>133</v>
      </c>
      <c r="E2" s="243" t="s">
        <v>21</v>
      </c>
      <c r="F2" s="254">
        <v>2006</v>
      </c>
      <c r="G2" s="219" t="s">
        <v>198</v>
      </c>
      <c r="H2" s="340" t="s">
        <v>223</v>
      </c>
      <c r="I2" s="357" t="s">
        <v>199</v>
      </c>
      <c r="J2" s="219">
        <v>2006</v>
      </c>
      <c r="K2" s="302">
        <v>2005</v>
      </c>
      <c r="L2" s="468">
        <v>2005</v>
      </c>
    </row>
    <row r="3" spans="1:11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341">
        <v>2</v>
      </c>
      <c r="I3" s="220" t="s">
        <v>201</v>
      </c>
      <c r="J3" s="220">
        <v>3</v>
      </c>
      <c r="K3" s="248">
        <v>4</v>
      </c>
    </row>
    <row r="4" spans="1:11" ht="12.75">
      <c r="A4" s="239" t="s">
        <v>157</v>
      </c>
      <c r="B4" s="171"/>
      <c r="C4" s="171"/>
      <c r="D4" s="171"/>
      <c r="E4" s="245">
        <v>1</v>
      </c>
      <c r="F4" s="255">
        <f>SUM(F6:F26)</f>
        <v>15380000</v>
      </c>
      <c r="G4" s="221">
        <f>SUM(G6:G26)</f>
        <v>8120000</v>
      </c>
      <c r="H4" s="342">
        <f>SUM(H6:H26)</f>
        <v>15608595.45</v>
      </c>
      <c r="I4" s="442">
        <f aca="true" t="shared" si="0" ref="I4:I16">H4/F4</f>
        <v>1.0148631631989598</v>
      </c>
      <c r="J4" s="221">
        <f>SUM(J6:J26)</f>
        <v>15608595.45</v>
      </c>
      <c r="K4" s="303">
        <f>SUM(K6:K26)</f>
        <v>10760541.420000002</v>
      </c>
    </row>
    <row r="5" spans="1:11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1860000</v>
      </c>
      <c r="G5" s="192">
        <f>SUM(G6:G16)</f>
        <v>0</v>
      </c>
      <c r="H5" s="266">
        <f>SUM(H6:H16)</f>
        <v>3036579.92</v>
      </c>
      <c r="I5" s="443">
        <f t="shared" si="0"/>
        <v>1.6325698494623655</v>
      </c>
      <c r="J5" s="192">
        <f>SUM(J6:J16)</f>
        <v>3036579.92</v>
      </c>
      <c r="K5" s="249">
        <f>SUM(K6:K16)</f>
        <v>3231688.4400000004</v>
      </c>
    </row>
    <row r="6" spans="1:11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320000</v>
      </c>
      <c r="G6" s="174"/>
      <c r="H6" s="343">
        <v>1163536</v>
      </c>
      <c r="I6" s="443">
        <f t="shared" si="0"/>
        <v>3.63605</v>
      </c>
      <c r="J6" s="250">
        <f>H6/12*12</f>
        <v>1163536</v>
      </c>
      <c r="K6" s="250">
        <v>1252543</v>
      </c>
    </row>
    <row r="7" spans="1:11" s="29" customFormat="1" ht="12">
      <c r="A7" s="241"/>
      <c r="B7" s="27"/>
      <c r="C7" s="27"/>
      <c r="D7" s="28" t="s">
        <v>18</v>
      </c>
      <c r="E7" s="246">
        <v>4</v>
      </c>
      <c r="F7" s="222">
        <v>100000</v>
      </c>
      <c r="G7" s="174"/>
      <c r="H7" s="564">
        <v>46670</v>
      </c>
      <c r="I7" s="443">
        <f t="shared" si="0"/>
        <v>0.4667</v>
      </c>
      <c r="J7" s="250">
        <f aca="true" t="shared" si="1" ref="J7:J15">H7/12*12</f>
        <v>46670</v>
      </c>
      <c r="K7" s="250">
        <v>89420.62</v>
      </c>
    </row>
    <row r="8" spans="1:11" s="29" customFormat="1" ht="12">
      <c r="A8" s="241"/>
      <c r="B8" s="27"/>
      <c r="C8" s="27"/>
      <c r="D8" s="28" t="s">
        <v>19</v>
      </c>
      <c r="E8" s="246">
        <v>5</v>
      </c>
      <c r="F8" s="222">
        <v>140000</v>
      </c>
      <c r="G8" s="174"/>
      <c r="H8" s="343">
        <v>409215</v>
      </c>
      <c r="I8" s="443">
        <f t="shared" si="0"/>
        <v>2.922964285714286</v>
      </c>
      <c r="J8" s="250">
        <f t="shared" si="1"/>
        <v>409215</v>
      </c>
      <c r="K8" s="250">
        <v>449315</v>
      </c>
    </row>
    <row r="9" spans="1:11" s="29" customFormat="1" ht="12">
      <c r="A9" s="241"/>
      <c r="B9" s="27"/>
      <c r="C9" s="27"/>
      <c r="D9" s="28" t="s">
        <v>0</v>
      </c>
      <c r="E9" s="246">
        <v>6</v>
      </c>
      <c r="F9" s="222">
        <v>90000</v>
      </c>
      <c r="G9" s="174"/>
      <c r="H9" s="343">
        <v>10624.4</v>
      </c>
      <c r="I9" s="443">
        <f t="shared" si="0"/>
        <v>0.11804888888888888</v>
      </c>
      <c r="J9" s="250">
        <f t="shared" si="1"/>
        <v>10624.4</v>
      </c>
      <c r="K9" s="250">
        <v>70606</v>
      </c>
    </row>
    <row r="10" spans="1:11" s="29" customFormat="1" ht="12">
      <c r="A10" s="241"/>
      <c r="B10" s="27"/>
      <c r="C10" s="27"/>
      <c r="D10" s="28" t="s">
        <v>1</v>
      </c>
      <c r="E10" s="246">
        <v>7</v>
      </c>
      <c r="F10" s="222">
        <v>50000</v>
      </c>
      <c r="G10" s="174"/>
      <c r="H10" s="343">
        <v>1190</v>
      </c>
      <c r="I10" s="443">
        <f t="shared" si="0"/>
        <v>0.0238</v>
      </c>
      <c r="J10" s="250">
        <f t="shared" si="1"/>
        <v>1190</v>
      </c>
      <c r="K10" s="250"/>
    </row>
    <row r="11" spans="1:11" s="29" customFormat="1" ht="12">
      <c r="A11" s="241"/>
      <c r="B11" s="27"/>
      <c r="C11" s="27"/>
      <c r="D11" s="28" t="s">
        <v>2</v>
      </c>
      <c r="E11" s="246">
        <v>8</v>
      </c>
      <c r="F11" s="222">
        <v>100000</v>
      </c>
      <c r="G11" s="174"/>
      <c r="H11" s="343">
        <v>603191.39</v>
      </c>
      <c r="I11" s="443">
        <f t="shared" si="0"/>
        <v>6.0319139</v>
      </c>
      <c r="J11" s="250">
        <f t="shared" si="1"/>
        <v>603191.39</v>
      </c>
      <c r="K11" s="250">
        <v>64670.81</v>
      </c>
    </row>
    <row r="12" spans="1:11" s="29" customFormat="1" ht="12">
      <c r="A12" s="241"/>
      <c r="B12" s="27"/>
      <c r="C12" s="27"/>
      <c r="D12" s="28" t="s">
        <v>3</v>
      </c>
      <c r="E12" s="246">
        <v>9</v>
      </c>
      <c r="F12" s="222">
        <v>500000</v>
      </c>
      <c r="G12" s="379"/>
      <c r="H12" s="374">
        <v>177007.73</v>
      </c>
      <c r="I12" s="443">
        <f t="shared" si="0"/>
        <v>0.35401546</v>
      </c>
      <c r="J12" s="566">
        <f>H12/12*12</f>
        <v>177007.73</v>
      </c>
      <c r="K12" s="250">
        <v>468931.45</v>
      </c>
    </row>
    <row r="13" spans="1:11" s="29" customFormat="1" ht="12">
      <c r="A13" s="241"/>
      <c r="B13" s="27"/>
      <c r="C13" s="27"/>
      <c r="D13" s="28" t="s">
        <v>4</v>
      </c>
      <c r="E13" s="246">
        <v>10</v>
      </c>
      <c r="F13" s="222">
        <v>10000</v>
      </c>
      <c r="G13" s="174"/>
      <c r="H13" s="343">
        <v>20727.44</v>
      </c>
      <c r="I13" s="443">
        <f t="shared" si="0"/>
        <v>2.0727439999999997</v>
      </c>
      <c r="J13" s="250">
        <f t="shared" si="1"/>
        <v>20727.44</v>
      </c>
      <c r="K13" s="250">
        <v>341.6</v>
      </c>
    </row>
    <row r="14" spans="1:11" s="29" customFormat="1" ht="13.5">
      <c r="A14" s="241"/>
      <c r="B14" s="27"/>
      <c r="C14" s="27"/>
      <c r="D14" s="28" t="s">
        <v>178</v>
      </c>
      <c r="E14" s="246">
        <v>11</v>
      </c>
      <c r="F14" s="222">
        <v>30000</v>
      </c>
      <c r="G14" s="174"/>
      <c r="H14" s="343">
        <v>379074</v>
      </c>
      <c r="I14" s="443">
        <f t="shared" si="0"/>
        <v>12.6358</v>
      </c>
      <c r="J14" s="250">
        <f>H14/12*12</f>
        <v>379074</v>
      </c>
      <c r="K14" s="250">
        <v>168664</v>
      </c>
    </row>
    <row r="15" spans="1:11" s="29" customFormat="1" ht="12">
      <c r="A15" s="241"/>
      <c r="B15" s="27"/>
      <c r="C15" s="27"/>
      <c r="D15" s="28" t="s">
        <v>6</v>
      </c>
      <c r="E15" s="246">
        <v>12</v>
      </c>
      <c r="F15" s="222"/>
      <c r="G15" s="174"/>
      <c r="H15" s="343"/>
      <c r="I15" s="443"/>
      <c r="J15" s="250">
        <f t="shared" si="1"/>
        <v>0</v>
      </c>
      <c r="K15" s="250"/>
    </row>
    <row r="16" spans="1:11" s="29" customFormat="1" ht="12">
      <c r="A16" s="241"/>
      <c r="B16" s="28"/>
      <c r="C16" s="28"/>
      <c r="D16" s="28" t="s">
        <v>9</v>
      </c>
      <c r="E16" s="246">
        <v>13</v>
      </c>
      <c r="F16" s="222">
        <v>520000</v>
      </c>
      <c r="G16" s="174"/>
      <c r="H16" s="343">
        <v>225343.96</v>
      </c>
      <c r="I16" s="443">
        <f t="shared" si="0"/>
        <v>0.43335376923076924</v>
      </c>
      <c r="J16" s="566">
        <f>H16/12*12</f>
        <v>225343.96000000002</v>
      </c>
      <c r="K16" s="250">
        <v>667195.96</v>
      </c>
    </row>
    <row r="17" spans="1:11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274"/>
      <c r="I17" s="444"/>
      <c r="J17" s="192">
        <f aca="true" t="shared" si="2" ref="J17:J41">H17</f>
        <v>0</v>
      </c>
      <c r="K17" s="249"/>
    </row>
    <row r="18" spans="1:11" s="5" customFormat="1" ht="12">
      <c r="A18" s="240"/>
      <c r="B18" s="4" t="s">
        <v>15</v>
      </c>
      <c r="C18" s="3"/>
      <c r="D18" s="3"/>
      <c r="E18" s="246">
        <v>15</v>
      </c>
      <c r="F18" s="289"/>
      <c r="G18" s="192"/>
      <c r="H18" s="274"/>
      <c r="I18" s="444"/>
      <c r="J18" s="192">
        <f t="shared" si="2"/>
        <v>0</v>
      </c>
      <c r="K18" s="249"/>
    </row>
    <row r="19" spans="1:11" s="5" customFormat="1" ht="12">
      <c r="A19" s="240"/>
      <c r="B19" s="4" t="s">
        <v>20</v>
      </c>
      <c r="C19" s="3"/>
      <c r="D19" s="3"/>
      <c r="E19" s="246">
        <v>16</v>
      </c>
      <c r="F19" s="289">
        <v>13520000</v>
      </c>
      <c r="G19" s="192">
        <f>J19</f>
        <v>8120000</v>
      </c>
      <c r="H19" s="274">
        <v>8120000</v>
      </c>
      <c r="I19" s="444">
        <f>H19/G19</f>
        <v>1</v>
      </c>
      <c r="J19" s="192">
        <f>J31</f>
        <v>8120000</v>
      </c>
      <c r="K19" s="249">
        <v>6519138.98</v>
      </c>
    </row>
    <row r="20" spans="1:11" s="5" customFormat="1" ht="12">
      <c r="A20" s="240"/>
      <c r="B20" s="4" t="s">
        <v>16</v>
      </c>
      <c r="C20" s="3"/>
      <c r="D20" s="3"/>
      <c r="E20" s="246">
        <v>17</v>
      </c>
      <c r="F20" s="289"/>
      <c r="G20" s="192"/>
      <c r="H20" s="274"/>
      <c r="I20" s="444"/>
      <c r="J20" s="192">
        <f t="shared" si="2"/>
        <v>0</v>
      </c>
      <c r="K20" s="249">
        <v>248000</v>
      </c>
    </row>
    <row r="21" spans="1:11" s="5" customFormat="1" ht="12">
      <c r="A21" s="240"/>
      <c r="B21" s="4" t="s">
        <v>24</v>
      </c>
      <c r="C21" s="4"/>
      <c r="D21" s="4"/>
      <c r="E21" s="246">
        <v>18</v>
      </c>
      <c r="F21" s="289"/>
      <c r="G21" s="192"/>
      <c r="H21" s="274"/>
      <c r="I21" s="444"/>
      <c r="J21" s="192">
        <f t="shared" si="2"/>
        <v>0</v>
      </c>
      <c r="K21" s="249">
        <v>150000</v>
      </c>
    </row>
    <row r="22" spans="1:11" s="5" customFormat="1" ht="12">
      <c r="A22" s="240"/>
      <c r="B22" s="4" t="s">
        <v>31</v>
      </c>
      <c r="C22" s="4"/>
      <c r="D22" s="4"/>
      <c r="E22" s="246">
        <v>19</v>
      </c>
      <c r="F22" s="289"/>
      <c r="G22" s="192"/>
      <c r="H22" s="274">
        <v>4452015.53</v>
      </c>
      <c r="I22" s="444"/>
      <c r="J22" s="487">
        <f t="shared" si="2"/>
        <v>4452015.53</v>
      </c>
      <c r="K22" s="249">
        <v>178440</v>
      </c>
    </row>
    <row r="23" spans="1:11" s="5" customFormat="1" ht="12">
      <c r="A23" s="240"/>
      <c r="B23" s="4" t="s">
        <v>25</v>
      </c>
      <c r="C23" s="4"/>
      <c r="D23" s="4"/>
      <c r="E23" s="246">
        <v>20</v>
      </c>
      <c r="F23" s="289"/>
      <c r="G23" s="192"/>
      <c r="H23" s="274"/>
      <c r="I23" s="444"/>
      <c r="J23" s="192">
        <f t="shared" si="2"/>
        <v>0</v>
      </c>
      <c r="K23" s="249"/>
    </row>
    <row r="24" spans="1:11" s="5" customFormat="1" ht="12">
      <c r="A24" s="240"/>
      <c r="B24" s="4" t="s">
        <v>26</v>
      </c>
      <c r="C24" s="4"/>
      <c r="D24" s="4"/>
      <c r="E24" s="246">
        <v>21</v>
      </c>
      <c r="F24" s="289"/>
      <c r="G24" s="192"/>
      <c r="H24" s="274"/>
      <c r="I24" s="444"/>
      <c r="J24" s="192">
        <f t="shared" si="2"/>
        <v>0</v>
      </c>
      <c r="K24" s="249"/>
    </row>
    <row r="25" spans="1:11" s="5" customFormat="1" ht="12">
      <c r="A25" s="240"/>
      <c r="B25" s="4" t="s">
        <v>27</v>
      </c>
      <c r="C25" s="4"/>
      <c r="D25" s="4"/>
      <c r="E25" s="246">
        <v>22</v>
      </c>
      <c r="F25" s="289"/>
      <c r="G25" s="192"/>
      <c r="H25" s="274"/>
      <c r="I25" s="444"/>
      <c r="J25" s="192">
        <f t="shared" si="2"/>
        <v>0</v>
      </c>
      <c r="K25" s="249">
        <v>433274</v>
      </c>
    </row>
    <row r="26" spans="1:11" s="5" customFormat="1" ht="12">
      <c r="A26" s="240"/>
      <c r="B26" s="95" t="s">
        <v>30</v>
      </c>
      <c r="C26" s="95"/>
      <c r="D26" s="95"/>
      <c r="E26" s="246">
        <v>23</v>
      </c>
      <c r="F26" s="289"/>
      <c r="G26" s="192"/>
      <c r="H26" s="274"/>
      <c r="I26" s="444"/>
      <c r="J26" s="192">
        <f>H26/12*12</f>
        <v>0</v>
      </c>
      <c r="K26" s="249"/>
    </row>
    <row r="27" spans="1:11" ht="12.75">
      <c r="A27" s="239" t="s">
        <v>158</v>
      </c>
      <c r="B27" s="171"/>
      <c r="C27" s="171"/>
      <c r="D27" s="171"/>
      <c r="E27" s="245">
        <v>24</v>
      </c>
      <c r="F27" s="255">
        <f>SUM(F28:F42)</f>
        <v>15400000</v>
      </c>
      <c r="G27" s="221">
        <f>SUM(G28:G42)</f>
        <v>10160000</v>
      </c>
      <c r="H27" s="342">
        <f>SUM(H28:H42)</f>
        <v>15715754.73</v>
      </c>
      <c r="I27" s="442">
        <f>H27/F27</f>
        <v>1.020503553896104</v>
      </c>
      <c r="J27" s="221">
        <f>SUM(J28:J42)</f>
        <v>15715754.73</v>
      </c>
      <c r="K27" s="303">
        <f>SUM(K28:K42)</f>
        <v>10760541.93</v>
      </c>
    </row>
    <row r="28" spans="1:11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v>1740000</v>
      </c>
      <c r="G28" s="337">
        <f>1710000+330000</f>
        <v>2040000</v>
      </c>
      <c r="H28" s="375">
        <v>2040000</v>
      </c>
      <c r="I28" s="444">
        <f>H28/G28</f>
        <v>1</v>
      </c>
      <c r="J28" s="337">
        <f>G28</f>
        <v>2040000</v>
      </c>
      <c r="K28" s="249">
        <v>1909359</v>
      </c>
    </row>
    <row r="29" spans="1:11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444"/>
      <c r="J29" s="326">
        <f t="shared" si="2"/>
        <v>0</v>
      </c>
      <c r="K29" s="251"/>
    </row>
    <row r="30" spans="1:11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364"/>
      <c r="I30" s="444"/>
      <c r="J30" s="326">
        <f t="shared" si="2"/>
        <v>0</v>
      </c>
      <c r="K30" s="251"/>
    </row>
    <row r="31" spans="1:11" s="5" customFormat="1" ht="12">
      <c r="A31" s="240"/>
      <c r="B31" s="4" t="s">
        <v>20</v>
      </c>
      <c r="C31" s="3"/>
      <c r="D31" s="3"/>
      <c r="E31" s="246">
        <v>28</v>
      </c>
      <c r="F31" s="292">
        <v>13520000</v>
      </c>
      <c r="G31" s="326">
        <v>8120000</v>
      </c>
      <c r="H31" s="364">
        <v>8120000</v>
      </c>
      <c r="I31" s="444">
        <f>H31/G31</f>
        <v>1</v>
      </c>
      <c r="J31" s="326">
        <f>G31</f>
        <v>8120000</v>
      </c>
      <c r="K31" s="251">
        <v>6519138.98</v>
      </c>
    </row>
    <row r="32" spans="1:11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444"/>
      <c r="J32" s="326">
        <f t="shared" si="2"/>
        <v>0</v>
      </c>
      <c r="K32" s="251">
        <v>248000</v>
      </c>
    </row>
    <row r="33" spans="1:11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364"/>
      <c r="I33" s="444"/>
      <c r="J33" s="326">
        <f t="shared" si="2"/>
        <v>0</v>
      </c>
      <c r="K33" s="251"/>
    </row>
    <row r="34" spans="1:11" s="5" customFormat="1" ht="12">
      <c r="A34" s="240"/>
      <c r="B34" s="4" t="s">
        <v>24</v>
      </c>
      <c r="C34" s="4"/>
      <c r="D34" s="4"/>
      <c r="E34" s="246">
        <v>31</v>
      </c>
      <c r="F34" s="292"/>
      <c r="G34" s="326"/>
      <c r="H34" s="364"/>
      <c r="I34" s="444"/>
      <c r="J34" s="326">
        <f t="shared" si="2"/>
        <v>0</v>
      </c>
      <c r="K34" s="251">
        <v>150000</v>
      </c>
    </row>
    <row r="35" spans="1:11" s="5" customFormat="1" ht="12">
      <c r="A35" s="240"/>
      <c r="B35" s="4" t="s">
        <v>31</v>
      </c>
      <c r="C35" s="4"/>
      <c r="D35" s="4"/>
      <c r="E35" s="246">
        <v>32</v>
      </c>
      <c r="F35" s="292"/>
      <c r="G35" s="326"/>
      <c r="H35" s="364">
        <v>4452015.53</v>
      </c>
      <c r="I35" s="444"/>
      <c r="J35" s="486">
        <f>J22</f>
        <v>4452015.53</v>
      </c>
      <c r="K35" s="251">
        <v>178440</v>
      </c>
    </row>
    <row r="36" spans="1:11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444"/>
      <c r="J36" s="326">
        <f t="shared" si="2"/>
        <v>0</v>
      </c>
      <c r="K36" s="251"/>
    </row>
    <row r="37" spans="1:11" s="5" customFormat="1" ht="12">
      <c r="A37" s="240"/>
      <c r="B37" s="4" t="s">
        <v>25</v>
      </c>
      <c r="C37" s="4"/>
      <c r="D37" s="4"/>
      <c r="E37" s="246">
        <v>34</v>
      </c>
      <c r="F37" s="292"/>
      <c r="G37" s="326"/>
      <c r="H37" s="364"/>
      <c r="I37" s="444"/>
      <c r="J37" s="326">
        <f t="shared" si="2"/>
        <v>0</v>
      </c>
      <c r="K37" s="251"/>
    </row>
    <row r="38" spans="1:11" s="5" customFormat="1" ht="12">
      <c r="A38" s="240"/>
      <c r="B38" s="4" t="s">
        <v>26</v>
      </c>
      <c r="C38" s="4"/>
      <c r="D38" s="4"/>
      <c r="E38" s="246">
        <v>35</v>
      </c>
      <c r="F38" s="292"/>
      <c r="G38" s="326"/>
      <c r="H38" s="364"/>
      <c r="I38" s="444"/>
      <c r="J38" s="326">
        <f t="shared" si="2"/>
        <v>0</v>
      </c>
      <c r="K38" s="251"/>
    </row>
    <row r="39" spans="1:11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364"/>
      <c r="I39" s="444"/>
      <c r="J39" s="326">
        <f t="shared" si="2"/>
        <v>0</v>
      </c>
      <c r="K39" s="251">
        <v>433274</v>
      </c>
    </row>
    <row r="40" spans="1:11" s="5" customFormat="1" ht="13.5">
      <c r="A40" s="240"/>
      <c r="B40" s="4" t="s">
        <v>180</v>
      </c>
      <c r="C40" s="4"/>
      <c r="D40" s="4"/>
      <c r="E40" s="246">
        <v>37</v>
      </c>
      <c r="F40" s="292">
        <f>170000-30000</f>
        <v>140000</v>
      </c>
      <c r="G40" s="326"/>
      <c r="H40" s="364">
        <v>1103739.2</v>
      </c>
      <c r="I40" s="444">
        <f>H40/F40</f>
        <v>7.883851428571428</v>
      </c>
      <c r="J40" s="326">
        <f>(H40+0)/12*12</f>
        <v>1103739.2</v>
      </c>
      <c r="K40" s="251">
        <v>1322329.95</v>
      </c>
    </row>
    <row r="41" spans="1:11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364"/>
      <c r="I41" s="444"/>
      <c r="J41" s="326">
        <f t="shared" si="2"/>
        <v>0</v>
      </c>
      <c r="K41" s="251"/>
    </row>
    <row r="42" spans="1:11" s="5" customFormat="1" ht="12">
      <c r="A42" s="240"/>
      <c r="B42" s="4" t="s">
        <v>30</v>
      </c>
      <c r="C42" s="4"/>
      <c r="D42" s="4"/>
      <c r="E42" s="246">
        <v>39</v>
      </c>
      <c r="F42" s="292"/>
      <c r="G42" s="326"/>
      <c r="H42" s="364"/>
      <c r="I42" s="444"/>
      <c r="J42" s="326">
        <f>H42/12*12</f>
        <v>0</v>
      </c>
      <c r="K42" s="251"/>
    </row>
    <row r="43" spans="1:11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/>
      <c r="G43" s="227"/>
      <c r="H43" s="347">
        <v>-85781.32</v>
      </c>
      <c r="I43" s="445"/>
      <c r="J43" s="227">
        <f>J28+J33+J36+J40+J41+J42-J5-J26</f>
        <v>107159.28000000026</v>
      </c>
      <c r="K43" s="252"/>
    </row>
    <row r="44" spans="1:11" ht="12.75">
      <c r="A44" s="239" t="s">
        <v>165</v>
      </c>
      <c r="B44" s="171"/>
      <c r="C44" s="171"/>
      <c r="D44" s="171"/>
      <c r="E44" s="245">
        <v>40</v>
      </c>
      <c r="F44" s="255">
        <f>F27-F4</f>
        <v>20000</v>
      </c>
      <c r="G44" s="221"/>
      <c r="H44" s="342">
        <f>H27-H4</f>
        <v>107159.28000000119</v>
      </c>
      <c r="I44" s="442">
        <f>H44/F44</f>
        <v>5.3579640000000595</v>
      </c>
      <c r="J44" s="221">
        <f>J27-J4</f>
        <v>107159.28000000119</v>
      </c>
      <c r="K44" s="303">
        <f>K27-K4</f>
        <v>0.5099999979138374</v>
      </c>
    </row>
    <row r="45" spans="1:11" s="89" customFormat="1" ht="11.25">
      <c r="A45" s="90" t="s">
        <v>167</v>
      </c>
      <c r="F45" s="90"/>
      <c r="G45" s="90"/>
      <c r="H45" s="90"/>
      <c r="I45" s="410"/>
      <c r="J45" s="90"/>
      <c r="K45" s="90"/>
    </row>
    <row r="46" spans="1:11" s="89" customFormat="1" ht="11.25">
      <c r="A46" s="210" t="s">
        <v>141</v>
      </c>
      <c r="B46" s="90"/>
      <c r="C46" s="90"/>
      <c r="D46" s="90"/>
      <c r="E46" s="90"/>
      <c r="F46" s="91">
        <f>SUM(F47:F48)</f>
        <v>30000</v>
      </c>
      <c r="G46" s="91"/>
      <c r="H46" s="91"/>
      <c r="I46" s="411"/>
      <c r="J46" s="91"/>
      <c r="K46" s="90"/>
    </row>
    <row r="47" spans="1:11" s="89" customFormat="1" ht="11.25">
      <c r="A47" s="142" t="s">
        <v>142</v>
      </c>
      <c r="B47" s="90"/>
      <c r="C47" s="90"/>
      <c r="D47" s="90"/>
      <c r="E47" s="90"/>
      <c r="F47" s="91">
        <v>30000</v>
      </c>
      <c r="G47" s="91"/>
      <c r="H47" s="91"/>
      <c r="I47" s="411"/>
      <c r="J47" s="91"/>
      <c r="K47" s="91"/>
    </row>
    <row r="48" spans="1:11" s="89" customFormat="1" ht="11.25">
      <c r="A48" s="142" t="s">
        <v>143</v>
      </c>
      <c r="B48" s="90"/>
      <c r="C48" s="90"/>
      <c r="D48" s="90"/>
      <c r="E48" s="90"/>
      <c r="F48" s="91">
        <v>0</v>
      </c>
      <c r="G48" s="91"/>
      <c r="H48" s="91"/>
      <c r="I48" s="411"/>
      <c r="J48" s="91"/>
      <c r="K48" s="91"/>
    </row>
    <row r="49" spans="1:11" s="89" customFormat="1" ht="11.25">
      <c r="A49" s="142" t="s">
        <v>145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1" s="89" customFormat="1" ht="11.25">
      <c r="A50" s="90" t="s">
        <v>170</v>
      </c>
      <c r="B50" s="90"/>
      <c r="C50" s="90"/>
      <c r="D50" s="90"/>
      <c r="E50" s="90"/>
      <c r="F50" s="91">
        <v>1710000</v>
      </c>
      <c r="G50" s="91"/>
      <c r="H50" s="91"/>
      <c r="I50" s="411"/>
      <c r="J50" s="91"/>
      <c r="K50" s="91"/>
    </row>
    <row r="51" spans="1:10" s="89" customFormat="1" ht="11.25">
      <c r="A51" s="90" t="s">
        <v>146</v>
      </c>
      <c r="B51" s="90"/>
      <c r="C51" s="90"/>
      <c r="D51" s="90"/>
      <c r="F51" s="91"/>
      <c r="G51" s="91"/>
      <c r="H51" s="91"/>
      <c r="I51" s="411"/>
      <c r="J51" s="91"/>
    </row>
    <row r="52" spans="1:10" s="89" customFormat="1" ht="11.25">
      <c r="A52" s="90" t="s">
        <v>171</v>
      </c>
      <c r="B52" s="90"/>
      <c r="C52" s="90"/>
      <c r="D52" s="90"/>
      <c r="F52" s="233">
        <f>F47</f>
        <v>30000</v>
      </c>
      <c r="G52" s="211"/>
      <c r="H52" s="211"/>
      <c r="I52" s="412"/>
      <c r="J52" s="211"/>
    </row>
    <row r="53" spans="1:10" s="89" customFormat="1" ht="11.25">
      <c r="A53" s="90" t="s">
        <v>169</v>
      </c>
      <c r="B53" s="90"/>
      <c r="C53" s="90"/>
      <c r="D53" s="90"/>
      <c r="F53" s="91">
        <f>SUM(F50:F52)</f>
        <v>1740000</v>
      </c>
      <c r="G53" s="91"/>
      <c r="H53" s="91"/>
      <c r="I53" s="411"/>
      <c r="J53" s="91"/>
    </row>
    <row r="54" spans="1:10" s="89" customFormat="1" ht="11.25">
      <c r="A54" s="90"/>
      <c r="B54" s="90"/>
      <c r="C54" s="90"/>
      <c r="D54" s="90"/>
      <c r="F54" s="91"/>
      <c r="G54" s="91"/>
      <c r="H54" s="91"/>
      <c r="I54" s="411"/>
      <c r="J54" s="91"/>
    </row>
  </sheetData>
  <mergeCells count="1">
    <mergeCell ref="A1:D1"/>
  </mergeCells>
  <printOptions horizontalCentered="1"/>
  <pageMargins left="0.44" right="0.31496062992125984" top="0.38" bottom="0.35" header="0.27" footer="0.16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1:Q58"/>
  <sheetViews>
    <sheetView workbookViewId="0" topLeftCell="A1">
      <selection activeCell="F8" sqref="F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8.25390625" style="2" customWidth="1"/>
    <col min="7" max="7" width="8.375" style="89" customWidth="1"/>
    <col min="8" max="8" width="11.125" style="2" customWidth="1"/>
    <col min="9" max="9" width="5.875" style="89" bestFit="1" customWidth="1"/>
    <col min="10" max="10" width="9.875" style="2" hidden="1" customWidth="1"/>
    <col min="11" max="12" width="8.75390625" style="89" bestFit="1" customWidth="1"/>
    <col min="13" max="13" width="8.75390625" style="217" bestFit="1" customWidth="1"/>
    <col min="14" max="15" width="8.75390625" style="89" bestFit="1" customWidth="1"/>
    <col min="16" max="16" width="7.125" style="0" customWidth="1"/>
    <col min="17" max="17" width="9.875" style="0" bestFit="1" customWidth="1"/>
  </cols>
  <sheetData>
    <row r="1" spans="1:16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</row>
    <row r="2" spans="1:16" s="7" customFormat="1" ht="12.75">
      <c r="A2" s="237" t="s">
        <v>39</v>
      </c>
      <c r="B2" s="44"/>
      <c r="C2" s="44"/>
      <c r="D2" s="45" t="s">
        <v>220</v>
      </c>
      <c r="E2" s="243" t="s">
        <v>21</v>
      </c>
      <c r="F2" s="254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</row>
    <row r="3" spans="1:15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/>
      <c r="M3" s="220"/>
      <c r="N3" s="220"/>
      <c r="O3" s="220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0</v>
      </c>
      <c r="G4" s="221">
        <f>SUM(G6:G26)</f>
        <v>0</v>
      </c>
      <c r="H4" s="342">
        <f>SUM(H6:H26)</f>
        <v>34997574.44</v>
      </c>
      <c r="I4" s="348"/>
      <c r="J4" s="322">
        <f>SUM(J6:J26)</f>
        <v>34997574.44</v>
      </c>
      <c r="K4" s="221">
        <f>SUM(K6:K26)</f>
        <v>0</v>
      </c>
      <c r="L4" s="221">
        <f>SUM(L6:L26)</f>
        <v>0</v>
      </c>
      <c r="M4" s="221">
        <f>SUM(M6:M26)</f>
        <v>0</v>
      </c>
      <c r="N4" s="221">
        <f>SUM(N6:N26)</f>
        <v>0</v>
      </c>
      <c r="O4" s="221">
        <f>O5+SUM(O17:O26)</f>
        <v>0</v>
      </c>
    </row>
    <row r="5" spans="1:15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0</v>
      </c>
      <c r="G5" s="192">
        <f>SUM(G6:G16)</f>
        <v>0</v>
      </c>
      <c r="H5" s="266">
        <f>SUM(H6:H16)</f>
        <v>29627721.25</v>
      </c>
      <c r="I5" s="349"/>
      <c r="J5" s="187">
        <f aca="true" t="shared" si="0" ref="J5:O5">SUM(J6:J16)</f>
        <v>29627721.25</v>
      </c>
      <c r="K5" s="192">
        <f t="shared" si="0"/>
        <v>0</v>
      </c>
      <c r="L5" s="192">
        <f t="shared" si="0"/>
        <v>0</v>
      </c>
      <c r="M5" s="192">
        <f t="shared" si="0"/>
        <v>0</v>
      </c>
      <c r="N5" s="192">
        <f t="shared" si="0"/>
        <v>0</v>
      </c>
      <c r="O5" s="192">
        <f t="shared" si="0"/>
        <v>0</v>
      </c>
    </row>
    <row r="6" spans="1:15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/>
      <c r="G6" s="174"/>
      <c r="H6" s="174">
        <v>3455928</v>
      </c>
      <c r="I6" s="349"/>
      <c r="J6" s="174">
        <f>H6/12*12</f>
        <v>3455928</v>
      </c>
      <c r="K6" s="174"/>
      <c r="L6" s="174"/>
      <c r="M6" s="174"/>
      <c r="N6" s="174"/>
      <c r="O6" s="174"/>
    </row>
    <row r="7" spans="1:15" s="29" customFormat="1" ht="12">
      <c r="A7" s="241"/>
      <c r="B7" s="27"/>
      <c r="C7" s="27"/>
      <c r="D7" s="28" t="s">
        <v>18</v>
      </c>
      <c r="E7" s="246">
        <v>4</v>
      </c>
      <c r="F7" s="222"/>
      <c r="G7" s="174"/>
      <c r="H7" s="174">
        <v>4125246</v>
      </c>
      <c r="I7" s="349"/>
      <c r="J7" s="174">
        <v>4125246</v>
      </c>
      <c r="K7" s="174"/>
      <c r="L7" s="174"/>
      <c r="M7" s="174"/>
      <c r="N7" s="174"/>
      <c r="O7" s="174"/>
    </row>
    <row r="8" spans="1:15" s="29" customFormat="1" ht="12">
      <c r="A8" s="241"/>
      <c r="B8" s="27"/>
      <c r="C8" s="27"/>
      <c r="D8" s="28" t="s">
        <v>19</v>
      </c>
      <c r="E8" s="246">
        <v>5</v>
      </c>
      <c r="F8" s="222"/>
      <c r="G8" s="174"/>
      <c r="H8" s="174">
        <v>1209934</v>
      </c>
      <c r="I8" s="349"/>
      <c r="J8" s="174">
        <f>H8/12*12</f>
        <v>1209934</v>
      </c>
      <c r="K8" s="174"/>
      <c r="L8" s="174"/>
      <c r="M8" s="174"/>
      <c r="N8" s="174"/>
      <c r="O8" s="174"/>
    </row>
    <row r="9" spans="1:15" s="29" customFormat="1" ht="12">
      <c r="A9" s="241"/>
      <c r="B9" s="27"/>
      <c r="C9" s="27"/>
      <c r="D9" s="28" t="s">
        <v>0</v>
      </c>
      <c r="E9" s="246">
        <v>6</v>
      </c>
      <c r="F9" s="222"/>
      <c r="G9" s="174"/>
      <c r="H9" s="174">
        <v>32995.43</v>
      </c>
      <c r="I9" s="349"/>
      <c r="J9" s="174">
        <v>32995.43</v>
      </c>
      <c r="K9" s="174"/>
      <c r="L9" s="174"/>
      <c r="M9" s="174"/>
      <c r="N9" s="174"/>
      <c r="O9" s="174"/>
    </row>
    <row r="10" spans="1:15" s="29" customFormat="1" ht="12">
      <c r="A10" s="241"/>
      <c r="B10" s="27"/>
      <c r="C10" s="27"/>
      <c r="D10" s="28" t="s">
        <v>1</v>
      </c>
      <c r="E10" s="246">
        <v>7</v>
      </c>
      <c r="F10" s="222"/>
      <c r="G10" s="174"/>
      <c r="H10" s="174"/>
      <c r="I10" s="349"/>
      <c r="J10" s="174">
        <f>H10/12*12</f>
        <v>0</v>
      </c>
      <c r="K10" s="174"/>
      <c r="L10" s="174"/>
      <c r="M10" s="174"/>
      <c r="N10" s="174"/>
      <c r="O10" s="174"/>
    </row>
    <row r="11" spans="1:15" s="29" customFormat="1" ht="12">
      <c r="A11" s="241"/>
      <c r="B11" s="27"/>
      <c r="C11" s="27"/>
      <c r="D11" s="28" t="s">
        <v>2</v>
      </c>
      <c r="E11" s="246">
        <v>8</v>
      </c>
      <c r="F11" s="222"/>
      <c r="G11" s="174"/>
      <c r="H11" s="174">
        <v>46489.94</v>
      </c>
      <c r="I11" s="349"/>
      <c r="J11" s="174">
        <v>46489.94</v>
      </c>
      <c r="K11" s="174"/>
      <c r="L11" s="174"/>
      <c r="M11" s="174"/>
      <c r="N11" s="174"/>
      <c r="O11" s="174"/>
    </row>
    <row r="12" spans="1:15" s="29" customFormat="1" ht="12">
      <c r="A12" s="241"/>
      <c r="B12" s="27"/>
      <c r="C12" s="27"/>
      <c r="D12" s="28" t="s">
        <v>3</v>
      </c>
      <c r="E12" s="246">
        <v>9</v>
      </c>
      <c r="F12" s="222"/>
      <c r="G12" s="379"/>
      <c r="H12" s="558">
        <v>1015987.65</v>
      </c>
      <c r="I12" s="349"/>
      <c r="J12" s="558">
        <v>1015987.65</v>
      </c>
      <c r="K12" s="174"/>
      <c r="L12" s="174"/>
      <c r="M12" s="174"/>
      <c r="N12" s="174"/>
      <c r="O12" s="174"/>
    </row>
    <row r="13" spans="1:15" s="29" customFormat="1" ht="12">
      <c r="A13" s="241"/>
      <c r="B13" s="27"/>
      <c r="C13" s="27"/>
      <c r="D13" s="28" t="s">
        <v>4</v>
      </c>
      <c r="E13" s="246">
        <v>10</v>
      </c>
      <c r="F13" s="222"/>
      <c r="G13" s="174"/>
      <c r="H13" s="174">
        <v>397852.54</v>
      </c>
      <c r="I13" s="349"/>
      <c r="J13" s="174">
        <f>H13/12*12</f>
        <v>397852.54000000004</v>
      </c>
      <c r="K13" s="174"/>
      <c r="L13" s="174"/>
      <c r="M13" s="174"/>
      <c r="N13" s="174"/>
      <c r="O13" s="174"/>
    </row>
    <row r="14" spans="1:15" s="29" customFormat="1" ht="13.5">
      <c r="A14" s="241"/>
      <c r="B14" s="27"/>
      <c r="C14" s="27"/>
      <c r="D14" s="28" t="s">
        <v>178</v>
      </c>
      <c r="E14" s="246">
        <v>11</v>
      </c>
      <c r="F14" s="222"/>
      <c r="G14" s="174"/>
      <c r="H14" s="174">
        <v>190235</v>
      </c>
      <c r="I14" s="349"/>
      <c r="J14" s="174">
        <f>H14/12*12</f>
        <v>190235</v>
      </c>
      <c r="K14" s="174"/>
      <c r="L14" s="174"/>
      <c r="M14" s="174"/>
      <c r="N14" s="174"/>
      <c r="O14" s="174"/>
    </row>
    <row r="15" spans="1:15" s="29" customFormat="1" ht="12">
      <c r="A15" s="241"/>
      <c r="B15" s="27"/>
      <c r="C15" s="27"/>
      <c r="D15" s="28" t="s">
        <v>6</v>
      </c>
      <c r="E15" s="246">
        <v>12</v>
      </c>
      <c r="F15" s="222"/>
      <c r="G15" s="174"/>
      <c r="H15" s="174"/>
      <c r="I15" s="349"/>
      <c r="J15" s="174">
        <f>H15/12*12</f>
        <v>0</v>
      </c>
      <c r="K15" s="174"/>
      <c r="L15" s="174"/>
      <c r="M15" s="174"/>
      <c r="N15" s="174"/>
      <c r="O15" s="174"/>
    </row>
    <row r="16" spans="1:15" s="29" customFormat="1" ht="12">
      <c r="A16" s="241"/>
      <c r="B16" s="28"/>
      <c r="C16" s="28"/>
      <c r="D16" s="28" t="s">
        <v>9</v>
      </c>
      <c r="E16" s="246">
        <v>13</v>
      </c>
      <c r="F16" s="222"/>
      <c r="G16" s="174"/>
      <c r="H16" s="558">
        <v>19153052.69</v>
      </c>
      <c r="I16" s="349"/>
      <c r="J16" s="558">
        <f>H16/12*12</f>
        <v>19153052.69</v>
      </c>
      <c r="K16" s="174"/>
      <c r="L16" s="174"/>
      <c r="M16" s="174"/>
      <c r="N16" s="174"/>
      <c r="O16" s="174"/>
    </row>
    <row r="17" spans="1:15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274"/>
      <c r="I17" s="350"/>
      <c r="J17" s="187">
        <f>H17</f>
        <v>0</v>
      </c>
      <c r="K17" s="192"/>
      <c r="L17" s="192"/>
      <c r="M17" s="192"/>
      <c r="N17" s="192"/>
      <c r="O17" s="192"/>
    </row>
    <row r="18" spans="1:15" s="5" customFormat="1" ht="12">
      <c r="A18" s="240"/>
      <c r="B18" s="4" t="s">
        <v>15</v>
      </c>
      <c r="C18" s="3"/>
      <c r="D18" s="3"/>
      <c r="E18" s="246">
        <v>15</v>
      </c>
      <c r="F18" s="289"/>
      <c r="G18" s="192"/>
      <c r="H18" s="375"/>
      <c r="I18" s="350"/>
      <c r="J18" s="187">
        <f>H18</f>
        <v>0</v>
      </c>
      <c r="K18" s="192"/>
      <c r="L18" s="192"/>
      <c r="M18" s="192"/>
      <c r="N18" s="192"/>
      <c r="O18" s="192"/>
    </row>
    <row r="19" spans="1:15" s="5" customFormat="1" ht="12">
      <c r="A19" s="240"/>
      <c r="B19" s="4" t="s">
        <v>20</v>
      </c>
      <c r="C19" s="3"/>
      <c r="D19" s="3"/>
      <c r="E19" s="246">
        <v>16</v>
      </c>
      <c r="F19" s="289"/>
      <c r="G19" s="192"/>
      <c r="H19" s="274"/>
      <c r="I19" s="350"/>
      <c r="J19" s="187">
        <f>J31</f>
        <v>0</v>
      </c>
      <c r="K19" s="192"/>
      <c r="L19" s="192"/>
      <c r="M19" s="192"/>
      <c r="N19" s="192"/>
      <c r="O19" s="192"/>
    </row>
    <row r="20" spans="1:15" s="5" customFormat="1" ht="12">
      <c r="A20" s="240"/>
      <c r="B20" s="4" t="s">
        <v>16</v>
      </c>
      <c r="C20" s="3"/>
      <c r="D20" s="3"/>
      <c r="E20" s="246">
        <v>17</v>
      </c>
      <c r="F20" s="289"/>
      <c r="G20" s="192"/>
      <c r="H20" s="274"/>
      <c r="I20" s="350"/>
      <c r="J20" s="187">
        <f>H20</f>
        <v>0</v>
      </c>
      <c r="K20" s="192"/>
      <c r="L20" s="192"/>
      <c r="M20" s="192"/>
      <c r="N20" s="192"/>
      <c r="O20" s="192"/>
    </row>
    <row r="21" spans="1:15" s="5" customFormat="1" ht="12">
      <c r="A21" s="240"/>
      <c r="B21" s="4" t="s">
        <v>24</v>
      </c>
      <c r="C21" s="4"/>
      <c r="D21" s="4"/>
      <c r="E21" s="246">
        <v>18</v>
      </c>
      <c r="F21" s="289"/>
      <c r="G21" s="192"/>
      <c r="H21" s="274"/>
      <c r="I21" s="350"/>
      <c r="J21" s="187">
        <f>H21</f>
        <v>0</v>
      </c>
      <c r="K21" s="192"/>
      <c r="L21" s="192"/>
      <c r="M21" s="192"/>
      <c r="N21" s="192"/>
      <c r="O21" s="192"/>
    </row>
    <row r="22" spans="1:15" s="5" customFormat="1" ht="12">
      <c r="A22" s="240"/>
      <c r="B22" s="4" t="s">
        <v>31</v>
      </c>
      <c r="C22" s="4"/>
      <c r="D22" s="4"/>
      <c r="E22" s="246">
        <v>19</v>
      </c>
      <c r="F22" s="289"/>
      <c r="G22" s="192"/>
      <c r="H22" s="274"/>
      <c r="I22" s="350"/>
      <c r="J22" s="187">
        <f>H22</f>
        <v>0</v>
      </c>
      <c r="K22" s="192"/>
      <c r="L22" s="192"/>
      <c r="M22" s="192"/>
      <c r="N22" s="192"/>
      <c r="O22" s="192"/>
    </row>
    <row r="23" spans="1:15" s="5" customFormat="1" ht="12">
      <c r="A23" s="240"/>
      <c r="B23" s="4" t="s">
        <v>25</v>
      </c>
      <c r="C23" s="4"/>
      <c r="D23" s="4"/>
      <c r="E23" s="246">
        <v>20</v>
      </c>
      <c r="F23" s="311"/>
      <c r="G23" s="192"/>
      <c r="H23" s="274"/>
      <c r="I23" s="350"/>
      <c r="J23" s="187">
        <f>G23</f>
        <v>0</v>
      </c>
      <c r="K23" s="192"/>
      <c r="L23" s="192"/>
      <c r="M23" s="192"/>
      <c r="N23" s="192"/>
      <c r="O23" s="192"/>
    </row>
    <row r="24" spans="1:15" s="5" customFormat="1" ht="12">
      <c r="A24" s="240"/>
      <c r="B24" s="4" t="s">
        <v>26</v>
      </c>
      <c r="C24" s="4"/>
      <c r="D24" s="4"/>
      <c r="E24" s="246">
        <v>21</v>
      </c>
      <c r="F24" s="289"/>
      <c r="G24" s="192"/>
      <c r="H24" s="274"/>
      <c r="I24" s="350"/>
      <c r="J24" s="187">
        <f>J38</f>
        <v>0</v>
      </c>
      <c r="K24" s="192"/>
      <c r="L24" s="192"/>
      <c r="M24" s="192"/>
      <c r="N24" s="192"/>
      <c r="O24" s="192"/>
    </row>
    <row r="25" spans="1:15" s="5" customFormat="1" ht="12">
      <c r="A25" s="240"/>
      <c r="B25" s="4" t="s">
        <v>27</v>
      </c>
      <c r="C25" s="4"/>
      <c r="D25" s="4"/>
      <c r="E25" s="246">
        <v>22</v>
      </c>
      <c r="F25" s="289"/>
      <c r="G25" s="192"/>
      <c r="H25" s="274"/>
      <c r="I25" s="350"/>
      <c r="J25" s="187">
        <f>H25</f>
        <v>0</v>
      </c>
      <c r="K25" s="192"/>
      <c r="L25" s="192"/>
      <c r="M25" s="192"/>
      <c r="N25" s="192"/>
      <c r="O25" s="192"/>
    </row>
    <row r="26" spans="1:15" s="5" customFormat="1" ht="12">
      <c r="A26" s="240"/>
      <c r="B26" s="95" t="s">
        <v>30</v>
      </c>
      <c r="C26" s="95"/>
      <c r="D26" s="95"/>
      <c r="E26" s="246">
        <v>23</v>
      </c>
      <c r="F26" s="289"/>
      <c r="G26" s="192"/>
      <c r="H26" s="571">
        <v>5369853.19</v>
      </c>
      <c r="I26" s="350"/>
      <c r="J26" s="573">
        <f>H26/12*12</f>
        <v>5369853.19</v>
      </c>
      <c r="K26" s="192"/>
      <c r="L26" s="192"/>
      <c r="M26" s="192"/>
      <c r="N26" s="192"/>
      <c r="O26" s="192"/>
    </row>
    <row r="27" spans="1:15" ht="12.75">
      <c r="A27" s="239" t="s">
        <v>158</v>
      </c>
      <c r="B27" s="171"/>
      <c r="C27" s="171"/>
      <c r="D27" s="171"/>
      <c r="E27" s="245">
        <v>24</v>
      </c>
      <c r="F27" s="255">
        <f>SUM(F28:F42)</f>
        <v>0</v>
      </c>
      <c r="G27" s="221">
        <f>SUM(G28:G42)</f>
        <v>0</v>
      </c>
      <c r="H27" s="342">
        <f>SUM(H28:H42)</f>
        <v>35148964.35</v>
      </c>
      <c r="I27" s="255"/>
      <c r="J27" s="342">
        <f aca="true" t="shared" si="1" ref="J27:O27">SUM(J28:J42)</f>
        <v>35148964.35</v>
      </c>
      <c r="K27" s="221">
        <f t="shared" si="1"/>
        <v>0</v>
      </c>
      <c r="L27" s="221">
        <f t="shared" si="1"/>
        <v>0</v>
      </c>
      <c r="M27" s="221">
        <f t="shared" si="1"/>
        <v>0</v>
      </c>
      <c r="N27" s="221">
        <f t="shared" si="1"/>
        <v>0</v>
      </c>
      <c r="O27" s="221">
        <f t="shared" si="1"/>
        <v>0</v>
      </c>
    </row>
    <row r="28" spans="1:17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/>
      <c r="G28" s="337"/>
      <c r="H28" s="375"/>
      <c r="I28" s="350"/>
      <c r="J28" s="354">
        <f>G28</f>
        <v>0</v>
      </c>
      <c r="K28" s="192"/>
      <c r="L28" s="192"/>
      <c r="M28" s="192"/>
      <c r="N28" s="192"/>
      <c r="O28" s="192"/>
      <c r="Q28" s="10"/>
    </row>
    <row r="29" spans="1:15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350"/>
      <c r="J29" s="355">
        <f>H29</f>
        <v>0</v>
      </c>
      <c r="K29" s="326"/>
      <c r="L29" s="326"/>
      <c r="M29" s="326"/>
      <c r="N29" s="326"/>
      <c r="O29" s="326"/>
    </row>
    <row r="30" spans="1:15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570"/>
      <c r="I30" s="350"/>
      <c r="J30" s="355">
        <f>H30</f>
        <v>0</v>
      </c>
      <c r="K30" s="326"/>
      <c r="L30" s="326"/>
      <c r="M30" s="326"/>
      <c r="N30" s="326"/>
      <c r="O30" s="326"/>
    </row>
    <row r="31" spans="1:15" s="5" customFormat="1" ht="12">
      <c r="A31" s="240"/>
      <c r="B31" s="4" t="s">
        <v>20</v>
      </c>
      <c r="C31" s="3"/>
      <c r="D31" s="3"/>
      <c r="E31" s="246">
        <v>28</v>
      </c>
      <c r="F31" s="292"/>
      <c r="G31" s="450"/>
      <c r="H31" s="364"/>
      <c r="I31" s="350"/>
      <c r="J31" s="355">
        <f>G31</f>
        <v>0</v>
      </c>
      <c r="K31" s="326"/>
      <c r="L31" s="326"/>
      <c r="M31" s="326"/>
      <c r="N31" s="326"/>
      <c r="O31" s="326"/>
    </row>
    <row r="32" spans="1:15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350"/>
      <c r="J32" s="355">
        <f aca="true" t="shared" si="2" ref="J32:J37">H32</f>
        <v>0</v>
      </c>
      <c r="K32" s="326"/>
      <c r="L32" s="326"/>
      <c r="M32" s="326"/>
      <c r="N32" s="326"/>
      <c r="O32" s="326"/>
    </row>
    <row r="33" spans="1:15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364"/>
      <c r="I33" s="350"/>
      <c r="J33" s="355">
        <f t="shared" si="2"/>
        <v>0</v>
      </c>
      <c r="K33" s="326"/>
      <c r="L33" s="326"/>
      <c r="M33" s="326"/>
      <c r="N33" s="326"/>
      <c r="O33" s="326"/>
    </row>
    <row r="34" spans="1:15" s="5" customFormat="1" ht="12">
      <c r="A34" s="240"/>
      <c r="B34" s="4" t="s">
        <v>24</v>
      </c>
      <c r="C34" s="4"/>
      <c r="D34" s="4"/>
      <c r="E34" s="246">
        <v>31</v>
      </c>
      <c r="F34" s="292"/>
      <c r="G34" s="326"/>
      <c r="H34" s="364"/>
      <c r="I34" s="350"/>
      <c r="J34" s="355">
        <f t="shared" si="2"/>
        <v>0</v>
      </c>
      <c r="K34" s="326"/>
      <c r="L34" s="326"/>
      <c r="M34" s="326"/>
      <c r="N34" s="326"/>
      <c r="O34" s="326"/>
    </row>
    <row r="35" spans="1:15" s="5" customFormat="1" ht="12">
      <c r="A35" s="240"/>
      <c r="B35" s="4" t="s">
        <v>31</v>
      </c>
      <c r="C35" s="4"/>
      <c r="D35" s="4"/>
      <c r="E35" s="246">
        <v>32</v>
      </c>
      <c r="F35" s="292"/>
      <c r="G35" s="326"/>
      <c r="H35" s="364"/>
      <c r="I35" s="350"/>
      <c r="J35" s="355">
        <f t="shared" si="2"/>
        <v>0</v>
      </c>
      <c r="K35" s="326"/>
      <c r="L35" s="326"/>
      <c r="M35" s="326"/>
      <c r="N35" s="326"/>
      <c r="O35" s="326"/>
    </row>
    <row r="36" spans="1:15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350"/>
      <c r="J36" s="355">
        <f t="shared" si="2"/>
        <v>0</v>
      </c>
      <c r="K36" s="326"/>
      <c r="L36" s="326"/>
      <c r="M36" s="326"/>
      <c r="N36" s="326"/>
      <c r="O36" s="326"/>
    </row>
    <row r="37" spans="1:15" s="5" customFormat="1" ht="12">
      <c r="A37" s="240"/>
      <c r="B37" s="4" t="s">
        <v>25</v>
      </c>
      <c r="C37" s="4"/>
      <c r="D37" s="4"/>
      <c r="E37" s="246">
        <v>34</v>
      </c>
      <c r="F37" s="316"/>
      <c r="G37" s="326"/>
      <c r="H37" s="364"/>
      <c r="I37" s="350"/>
      <c r="J37" s="355">
        <f t="shared" si="2"/>
        <v>0</v>
      </c>
      <c r="K37" s="326"/>
      <c r="L37" s="326"/>
      <c r="M37" s="326"/>
      <c r="N37" s="326"/>
      <c r="O37" s="326"/>
    </row>
    <row r="38" spans="1:15" s="5" customFormat="1" ht="12">
      <c r="A38" s="240"/>
      <c r="B38" s="4" t="s">
        <v>26</v>
      </c>
      <c r="C38" s="4"/>
      <c r="D38" s="4"/>
      <c r="E38" s="246">
        <v>35</v>
      </c>
      <c r="F38" s="292"/>
      <c r="G38" s="326"/>
      <c r="H38" s="364"/>
      <c r="I38" s="350"/>
      <c r="J38" s="355">
        <f>G38</f>
        <v>0</v>
      </c>
      <c r="K38" s="326"/>
      <c r="L38" s="326"/>
      <c r="M38" s="326"/>
      <c r="N38" s="326"/>
      <c r="O38" s="326"/>
    </row>
    <row r="39" spans="1:15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364"/>
      <c r="I39" s="350"/>
      <c r="J39" s="355">
        <f>H39</f>
        <v>0</v>
      </c>
      <c r="K39" s="326"/>
      <c r="L39" s="326"/>
      <c r="M39" s="326"/>
      <c r="N39" s="326"/>
      <c r="O39" s="326"/>
    </row>
    <row r="40" spans="1:16" s="5" customFormat="1" ht="13.5">
      <c r="A40" s="240"/>
      <c r="B40" s="4" t="s">
        <v>180</v>
      </c>
      <c r="C40" s="4"/>
      <c r="D40" s="4"/>
      <c r="E40" s="246">
        <v>37</v>
      </c>
      <c r="F40" s="292"/>
      <c r="G40" s="326"/>
      <c r="H40" s="572">
        <v>29627721.25</v>
      </c>
      <c r="I40" s="350"/>
      <c r="J40" s="572">
        <f>(H40+0)/12*12</f>
        <v>29627721.25</v>
      </c>
      <c r="K40" s="326"/>
      <c r="L40" s="326"/>
      <c r="M40" s="326"/>
      <c r="N40" s="326"/>
      <c r="O40" s="326"/>
      <c r="P40" s="551" t="s">
        <v>230</v>
      </c>
    </row>
    <row r="41" spans="1:16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572"/>
      <c r="I41" s="350"/>
      <c r="J41" s="572">
        <f>H41</f>
        <v>0</v>
      </c>
      <c r="K41" s="326"/>
      <c r="L41" s="326"/>
      <c r="M41" s="326"/>
      <c r="N41" s="326"/>
      <c r="O41" s="326"/>
      <c r="P41" s="551" t="s">
        <v>231</v>
      </c>
    </row>
    <row r="42" spans="1:15" s="5" customFormat="1" ht="12">
      <c r="A42" s="240"/>
      <c r="B42" s="4" t="s">
        <v>30</v>
      </c>
      <c r="C42" s="4"/>
      <c r="D42" s="4"/>
      <c r="E42" s="246">
        <v>39</v>
      </c>
      <c r="F42" s="292"/>
      <c r="G42" s="326"/>
      <c r="H42" s="572">
        <v>5521243.1</v>
      </c>
      <c r="I42" s="350"/>
      <c r="J42" s="558">
        <f>H42/12*12</f>
        <v>5521243.1</v>
      </c>
      <c r="K42" s="326"/>
      <c r="L42" s="326"/>
      <c r="M42" s="326"/>
      <c r="N42" s="326"/>
      <c r="O42" s="326"/>
    </row>
    <row r="43" spans="1:15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0</v>
      </c>
      <c r="G43" s="227"/>
      <c r="H43" s="347">
        <v>-85781.32</v>
      </c>
      <c r="I43" s="351"/>
      <c r="J43" s="324">
        <f>J28+J33+J36+J40+J41+J42-J5-J26</f>
        <v>151389.91000000108</v>
      </c>
      <c r="K43" s="227"/>
      <c r="L43" s="227"/>
      <c r="M43" s="227">
        <v>954036.400000006</v>
      </c>
      <c r="N43" s="227">
        <f>N28+N33+N36+N40+N41+N42-N26-N5</f>
        <v>0</v>
      </c>
      <c r="O43" s="227">
        <f>O28+O33+O36+O40+O41+O42-O26-O5</f>
        <v>0</v>
      </c>
    </row>
    <row r="44" spans="1:15" ht="12.75">
      <c r="A44" s="239" t="s">
        <v>165</v>
      </c>
      <c r="B44" s="171"/>
      <c r="C44" s="171"/>
      <c r="D44" s="171"/>
      <c r="E44" s="245">
        <v>40</v>
      </c>
      <c r="F44" s="255">
        <f>F27-F4</f>
        <v>0</v>
      </c>
      <c r="G44" s="221"/>
      <c r="H44" s="342">
        <f>H27-H4</f>
        <v>151389.91000000387</v>
      </c>
      <c r="I44" s="348"/>
      <c r="J44" s="322">
        <f aca="true" t="shared" si="3" ref="J44:O44">J27-J4</f>
        <v>151389.91000000387</v>
      </c>
      <c r="K44" s="221">
        <f t="shared" si="3"/>
        <v>0</v>
      </c>
      <c r="L44" s="221">
        <f t="shared" si="3"/>
        <v>0</v>
      </c>
      <c r="M44" s="221">
        <f t="shared" si="3"/>
        <v>0</v>
      </c>
      <c r="N44" s="221">
        <f t="shared" si="3"/>
        <v>0</v>
      </c>
      <c r="O44" s="221">
        <f t="shared" si="3"/>
        <v>0</v>
      </c>
    </row>
    <row r="45" spans="1:13" s="89" customFormat="1" ht="11.25">
      <c r="A45" s="90" t="s">
        <v>167</v>
      </c>
      <c r="F45" s="90"/>
      <c r="G45" s="90"/>
      <c r="H45" s="90"/>
      <c r="I45" s="90"/>
      <c r="J45" s="90"/>
      <c r="K45" s="90"/>
      <c r="M45" s="217"/>
    </row>
    <row r="46" spans="1:13" s="89" customFormat="1" ht="11.25">
      <c r="A46" s="210" t="s">
        <v>141</v>
      </c>
      <c r="B46" s="90"/>
      <c r="C46" s="90"/>
      <c r="D46" s="90"/>
      <c r="E46" s="90"/>
      <c r="F46" s="91"/>
      <c r="G46" s="91"/>
      <c r="H46" s="91"/>
      <c r="I46" s="91"/>
      <c r="J46" s="91"/>
      <c r="K46" s="90"/>
      <c r="M46" s="217"/>
    </row>
    <row r="47" spans="1:13" s="89" customFormat="1" ht="11.25">
      <c r="A47" s="142" t="s">
        <v>142</v>
      </c>
      <c r="B47" s="90"/>
      <c r="C47" s="90"/>
      <c r="D47" s="90"/>
      <c r="E47" s="90"/>
      <c r="F47" s="91"/>
      <c r="G47" s="91"/>
      <c r="H47" s="91"/>
      <c r="I47" s="91"/>
      <c r="J47" s="91"/>
      <c r="K47" s="91"/>
      <c r="M47" s="217"/>
    </row>
    <row r="48" spans="1:13" s="89" customFormat="1" ht="11.25">
      <c r="A48" s="142" t="s">
        <v>143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M48" s="217"/>
    </row>
    <row r="49" spans="1:11" ht="12.75">
      <c r="A49" s="142" t="s">
        <v>145</v>
      </c>
      <c r="B49" s="90"/>
      <c r="C49" s="90"/>
      <c r="D49" s="90"/>
      <c r="E49" s="90"/>
      <c r="F49" s="91"/>
      <c r="G49" s="91"/>
      <c r="H49" s="91"/>
      <c r="I49" s="91"/>
      <c r="J49" s="91"/>
      <c r="K49" s="91"/>
    </row>
    <row r="50" spans="1:11" ht="12.75">
      <c r="A50" s="90" t="s">
        <v>170</v>
      </c>
      <c r="B50" s="90"/>
      <c r="C50" s="90"/>
      <c r="D50" s="90"/>
      <c r="E50" s="90"/>
      <c r="F50" s="91"/>
      <c r="G50" s="91"/>
      <c r="H50" s="91"/>
      <c r="I50" s="91"/>
      <c r="J50" s="91"/>
      <c r="K50" s="91"/>
    </row>
    <row r="51" spans="1:11" ht="12.75">
      <c r="A51" s="90" t="s">
        <v>146</v>
      </c>
      <c r="B51" s="90"/>
      <c r="C51" s="90"/>
      <c r="D51" s="90"/>
      <c r="E51" s="90"/>
      <c r="F51" s="91"/>
      <c r="G51" s="91"/>
      <c r="H51" s="91"/>
      <c r="I51" s="91"/>
      <c r="J51" s="91"/>
      <c r="K51" s="91"/>
    </row>
    <row r="52" spans="1:10" ht="12.75">
      <c r="A52" s="90" t="s">
        <v>171</v>
      </c>
      <c r="B52" s="90"/>
      <c r="C52" s="90"/>
      <c r="D52" s="90"/>
      <c r="E52" s="89"/>
      <c r="F52" s="91"/>
      <c r="G52" s="211"/>
      <c r="H52" s="211"/>
      <c r="I52" s="211"/>
      <c r="J52" s="211"/>
    </row>
    <row r="53" spans="1:10" ht="12.75">
      <c r="A53" s="90" t="s">
        <v>169</v>
      </c>
      <c r="B53" s="90"/>
      <c r="C53" s="90"/>
      <c r="D53" s="90"/>
      <c r="E53" s="89"/>
      <c r="F53" s="89"/>
      <c r="G53" s="91"/>
      <c r="H53" s="91"/>
      <c r="I53" s="91"/>
      <c r="J53" s="91"/>
    </row>
    <row r="54" spans="1:10" ht="12.75">
      <c r="A54" s="90"/>
      <c r="B54" s="90"/>
      <c r="C54" s="90"/>
      <c r="D54" s="90"/>
      <c r="E54" s="89"/>
      <c r="F54" s="89"/>
      <c r="H54" s="89"/>
      <c r="J54" s="89"/>
    </row>
    <row r="56" ht="12.75" hidden="1">
      <c r="A56" s="315" t="s">
        <v>185</v>
      </c>
    </row>
    <row r="57" spans="1:11" ht="12.75" hidden="1">
      <c r="A57" s="315" t="s">
        <v>188</v>
      </c>
      <c r="F57" s="315">
        <f>-1.083</f>
        <v>-1.083</v>
      </c>
      <c r="G57" s="231"/>
      <c r="H57" s="315"/>
      <c r="I57" s="231"/>
      <c r="J57" s="315"/>
      <c r="K57" s="231" t="s">
        <v>187</v>
      </c>
    </row>
    <row r="58" ht="12.75" hidden="1">
      <c r="A58" s="315" t="s">
        <v>184</v>
      </c>
    </row>
  </sheetData>
  <mergeCells count="1">
    <mergeCell ref="A1:D1"/>
  </mergeCells>
  <printOptions horizontalCentered="1"/>
  <pageMargins left="0.43" right="0.31496062992125984" top="0.41" bottom="0.16" header="0.29" footer="0.25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0"/>
  <dimension ref="A1:R58"/>
  <sheetViews>
    <sheetView workbookViewId="0" topLeftCell="A1">
      <selection activeCell="F37" sqref="F3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1.25390625" style="2" customWidth="1"/>
    <col min="7" max="7" width="9.625" style="89" bestFit="1" customWidth="1"/>
    <col min="8" max="8" width="11.125" style="2" customWidth="1"/>
    <col min="9" max="9" width="5.875" style="89" bestFit="1" customWidth="1"/>
    <col min="10" max="10" width="9.875" style="2" hidden="1" customWidth="1"/>
    <col min="11" max="12" width="9.625" style="89" bestFit="1" customWidth="1"/>
    <col min="13" max="13" width="9.625" style="217" bestFit="1" customWidth="1"/>
    <col min="14" max="15" width="9.25390625" style="89" bestFit="1" customWidth="1"/>
    <col min="16" max="16" width="7.125" style="0" customWidth="1"/>
    <col min="17" max="17" width="2.75390625" style="0" customWidth="1"/>
    <col min="18" max="18" width="6.125" style="89" customWidth="1"/>
  </cols>
  <sheetData>
    <row r="1" spans="1:16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371" t="s">
        <v>8</v>
      </c>
      <c r="I1" s="218" t="s">
        <v>196</v>
      </c>
      <c r="J1" s="319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</row>
    <row r="2" spans="1:18" s="7" customFormat="1" ht="12.75">
      <c r="A2" s="237" t="s">
        <v>39</v>
      </c>
      <c r="B2" s="44"/>
      <c r="C2" s="44"/>
      <c r="D2" s="45" t="s">
        <v>48</v>
      </c>
      <c r="E2" s="243" t="s">
        <v>21</v>
      </c>
      <c r="F2" s="254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  <c r="R2" s="89"/>
    </row>
    <row r="3" spans="1:18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341">
        <v>2</v>
      </c>
      <c r="I3" s="220" t="s">
        <v>201</v>
      </c>
      <c r="J3" s="321">
        <v>3</v>
      </c>
      <c r="K3" s="220">
        <v>4</v>
      </c>
      <c r="L3" s="220"/>
      <c r="M3" s="220"/>
      <c r="N3" s="220"/>
      <c r="O3" s="220"/>
      <c r="R3" s="89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204583000</v>
      </c>
      <c r="G4" s="221">
        <f>SUM(G6:G26)</f>
        <v>29086776.35</v>
      </c>
      <c r="H4" s="342">
        <f>SUM(H6:H26)</f>
        <v>187433771.96000004</v>
      </c>
      <c r="I4" s="348">
        <f aca="true" t="shared" si="0" ref="I4:I14">H4/F4</f>
        <v>0.9161747161787638</v>
      </c>
      <c r="J4" s="322">
        <f>SUM(J6:J26)</f>
        <v>187433771.96000004</v>
      </c>
      <c r="K4" s="221">
        <f>SUM(K6:K26)</f>
        <v>150215270.63</v>
      </c>
      <c r="L4" s="221">
        <f>SUM(L6:L26)</f>
        <v>129216967.03</v>
      </c>
      <c r="M4" s="221">
        <f>SUM(M6:M26)</f>
        <v>128733758.45999998</v>
      </c>
      <c r="N4" s="221">
        <f>SUM(N6:N26)</f>
        <v>76220000</v>
      </c>
      <c r="O4" s="221">
        <f>O5+SUM(O17:O26)</f>
        <v>58958000</v>
      </c>
    </row>
    <row r="5" spans="1:18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151292000</v>
      </c>
      <c r="G5" s="192">
        <f>SUM(G6:G16)</f>
        <v>0</v>
      </c>
      <c r="H5" s="266">
        <f>SUM(H6:H16)</f>
        <v>134700041.16</v>
      </c>
      <c r="I5" s="349">
        <f t="shared" si="0"/>
        <v>0.8903315519657351</v>
      </c>
      <c r="J5" s="187">
        <f aca="true" t="shared" si="1" ref="J5:O5">SUM(J6:J16)</f>
        <v>134700041.16</v>
      </c>
      <c r="K5" s="192">
        <f t="shared" si="1"/>
        <v>112152908.61999999</v>
      </c>
      <c r="L5" s="192">
        <f t="shared" si="1"/>
        <v>97154878.84</v>
      </c>
      <c r="M5" s="192">
        <f t="shared" si="1"/>
        <v>72156298.63</v>
      </c>
      <c r="N5" s="192">
        <f t="shared" si="1"/>
        <v>56060000</v>
      </c>
      <c r="O5" s="192">
        <f t="shared" si="1"/>
        <v>45807000</v>
      </c>
      <c r="R5" s="89"/>
    </row>
    <row r="6" spans="1:18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43000000</v>
      </c>
      <c r="G6" s="174"/>
      <c r="H6" s="343">
        <v>39768489</v>
      </c>
      <c r="I6" s="349">
        <f t="shared" si="0"/>
        <v>0.9248485813953489</v>
      </c>
      <c r="J6" s="174">
        <f>H6/12*12</f>
        <v>39768489</v>
      </c>
      <c r="K6" s="174">
        <v>34905904</v>
      </c>
      <c r="L6" s="174">
        <v>27375538</v>
      </c>
      <c r="M6" s="174">
        <v>20656774</v>
      </c>
      <c r="N6" s="174">
        <v>14843000</v>
      </c>
      <c r="O6" s="174">
        <v>11710000</v>
      </c>
      <c r="R6" s="91"/>
    </row>
    <row r="7" spans="1:18" s="29" customFormat="1" ht="12">
      <c r="A7" s="241"/>
      <c r="B7" s="27"/>
      <c r="C7" s="27"/>
      <c r="D7" s="28" t="s">
        <v>18</v>
      </c>
      <c r="E7" s="246">
        <v>4</v>
      </c>
      <c r="F7" s="222">
        <v>1450000</v>
      </c>
      <c r="G7" s="174"/>
      <c r="H7" s="564">
        <v>1639000</v>
      </c>
      <c r="I7" s="349">
        <f t="shared" si="0"/>
        <v>1.130344827586207</v>
      </c>
      <c r="J7" s="174">
        <f aca="true" t="shared" si="2" ref="J7:J15">H7/12*12</f>
        <v>1639000</v>
      </c>
      <c r="K7" s="174">
        <v>699265</v>
      </c>
      <c r="L7" s="174">
        <v>443410</v>
      </c>
      <c r="M7" s="174">
        <v>332117</v>
      </c>
      <c r="N7" s="174">
        <v>341000</v>
      </c>
      <c r="O7" s="174">
        <v>277000</v>
      </c>
      <c r="R7" s="91"/>
    </row>
    <row r="8" spans="1:18" s="29" customFormat="1" ht="12">
      <c r="A8" s="241"/>
      <c r="B8" s="27"/>
      <c r="C8" s="27"/>
      <c r="D8" s="28" t="s">
        <v>19</v>
      </c>
      <c r="E8" s="246">
        <v>5</v>
      </c>
      <c r="F8" s="222">
        <v>15500000</v>
      </c>
      <c r="G8" s="174"/>
      <c r="H8" s="343">
        <v>14414854</v>
      </c>
      <c r="I8" s="349">
        <f t="shared" si="0"/>
        <v>0.9299905806451613</v>
      </c>
      <c r="J8" s="174">
        <f t="shared" si="2"/>
        <v>14414854</v>
      </c>
      <c r="K8" s="174">
        <v>12416504</v>
      </c>
      <c r="L8" s="174">
        <v>9658842</v>
      </c>
      <c r="M8" s="174">
        <v>7223348</v>
      </c>
      <c r="N8" s="174">
        <v>5210000</v>
      </c>
      <c r="O8" s="174">
        <v>4100000</v>
      </c>
      <c r="R8" s="91"/>
    </row>
    <row r="9" spans="1:18" s="29" customFormat="1" ht="12">
      <c r="A9" s="241"/>
      <c r="B9" s="27"/>
      <c r="C9" s="27"/>
      <c r="D9" s="28" t="s">
        <v>0</v>
      </c>
      <c r="E9" s="246">
        <v>6</v>
      </c>
      <c r="F9" s="222">
        <v>4700000</v>
      </c>
      <c r="G9" s="174"/>
      <c r="H9" s="343">
        <v>2801839.18</v>
      </c>
      <c r="I9" s="349">
        <f t="shared" si="0"/>
        <v>0.5961359957446809</v>
      </c>
      <c r="J9" s="174">
        <f t="shared" si="2"/>
        <v>2801839.18</v>
      </c>
      <c r="K9" s="174">
        <v>2574071.92</v>
      </c>
      <c r="L9" s="174">
        <v>763594.42</v>
      </c>
      <c r="M9" s="174">
        <v>842716.15</v>
      </c>
      <c r="N9" s="174">
        <v>1229000</v>
      </c>
      <c r="O9" s="174">
        <v>1186000</v>
      </c>
      <c r="R9" s="91"/>
    </row>
    <row r="10" spans="1:18" s="29" customFormat="1" ht="12">
      <c r="A10" s="241"/>
      <c r="B10" s="27"/>
      <c r="C10" s="27"/>
      <c r="D10" s="28" t="s">
        <v>1</v>
      </c>
      <c r="E10" s="246">
        <v>7</v>
      </c>
      <c r="F10" s="222">
        <v>3200000</v>
      </c>
      <c r="G10" s="174"/>
      <c r="H10" s="343">
        <v>2480623.9</v>
      </c>
      <c r="I10" s="349">
        <f t="shared" si="0"/>
        <v>0.7751949687499999</v>
      </c>
      <c r="J10" s="174">
        <f t="shared" si="2"/>
        <v>2480623.9</v>
      </c>
      <c r="K10" s="174">
        <v>1625515.72</v>
      </c>
      <c r="L10" s="174">
        <v>1299965.45</v>
      </c>
      <c r="M10" s="174">
        <v>1140959.3</v>
      </c>
      <c r="N10" s="174">
        <v>1782000</v>
      </c>
      <c r="O10" s="174">
        <v>1664000</v>
      </c>
      <c r="R10" s="91"/>
    </row>
    <row r="11" spans="1:18" s="29" customFormat="1" ht="12">
      <c r="A11" s="241"/>
      <c r="B11" s="27"/>
      <c r="C11" s="27"/>
      <c r="D11" s="28" t="s">
        <v>2</v>
      </c>
      <c r="E11" s="246">
        <v>8</v>
      </c>
      <c r="F11" s="222">
        <v>16500000</v>
      </c>
      <c r="G11" s="174"/>
      <c r="H11" s="343">
        <v>13110764.08</v>
      </c>
      <c r="I11" s="349">
        <f t="shared" si="0"/>
        <v>0.7945917624242425</v>
      </c>
      <c r="J11" s="174">
        <f t="shared" si="2"/>
        <v>13110764.08</v>
      </c>
      <c r="K11" s="174">
        <v>5910448.02</v>
      </c>
      <c r="L11" s="174">
        <v>5033145.15</v>
      </c>
      <c r="M11" s="174">
        <v>9107561.72</v>
      </c>
      <c r="N11" s="174">
        <v>5853000</v>
      </c>
      <c r="O11" s="174">
        <v>3528000</v>
      </c>
      <c r="R11" s="91"/>
    </row>
    <row r="12" spans="1:18" s="29" customFormat="1" ht="12">
      <c r="A12" s="241"/>
      <c r="B12" s="27"/>
      <c r="C12" s="27"/>
      <c r="D12" s="28" t="s">
        <v>3</v>
      </c>
      <c r="E12" s="246">
        <v>9</v>
      </c>
      <c r="F12" s="222">
        <v>24700000</v>
      </c>
      <c r="G12" s="379"/>
      <c r="H12" s="374">
        <v>20256400.43</v>
      </c>
      <c r="I12" s="349">
        <f t="shared" si="0"/>
        <v>0.8200971834008097</v>
      </c>
      <c r="J12" s="550">
        <f>H12/12*12</f>
        <v>20256400.43</v>
      </c>
      <c r="K12" s="174">
        <v>18482978.55</v>
      </c>
      <c r="L12" s="174">
        <v>19770186.33</v>
      </c>
      <c r="M12" s="174">
        <v>20930191.48</v>
      </c>
      <c r="N12" s="174">
        <v>12642000</v>
      </c>
      <c r="O12" s="174">
        <v>11319000</v>
      </c>
      <c r="R12" s="91"/>
    </row>
    <row r="13" spans="1:18" s="29" customFormat="1" ht="12">
      <c r="A13" s="241"/>
      <c r="B13" s="27"/>
      <c r="C13" s="27"/>
      <c r="D13" s="28" t="s">
        <v>4</v>
      </c>
      <c r="E13" s="246">
        <v>10</v>
      </c>
      <c r="F13" s="222">
        <v>2500000</v>
      </c>
      <c r="G13" s="174"/>
      <c r="H13" s="343">
        <v>908151.05</v>
      </c>
      <c r="I13" s="349">
        <f t="shared" si="0"/>
        <v>0.36326042000000003</v>
      </c>
      <c r="J13" s="174">
        <f t="shared" si="2"/>
        <v>908151.05</v>
      </c>
      <c r="K13" s="174">
        <v>850130.92</v>
      </c>
      <c r="L13" s="174">
        <v>825618.65</v>
      </c>
      <c r="M13" s="174">
        <v>829723.19</v>
      </c>
      <c r="N13" s="174">
        <v>570000</v>
      </c>
      <c r="O13" s="174">
        <v>561000</v>
      </c>
      <c r="R13" s="91"/>
    </row>
    <row r="14" spans="1:18" s="29" customFormat="1" ht="13.5">
      <c r="A14" s="241"/>
      <c r="B14" s="27"/>
      <c r="C14" s="27"/>
      <c r="D14" s="28" t="s">
        <v>178</v>
      </c>
      <c r="E14" s="246">
        <v>11</v>
      </c>
      <c r="F14" s="222">
        <v>35583000</v>
      </c>
      <c r="G14" s="174"/>
      <c r="H14" s="343">
        <v>34514798.65</v>
      </c>
      <c r="I14" s="349">
        <f t="shared" si="0"/>
        <v>0.9699800087120254</v>
      </c>
      <c r="J14" s="174">
        <f>H14/12*12</f>
        <v>34514798.65</v>
      </c>
      <c r="K14" s="174">
        <v>31892296.11</v>
      </c>
      <c r="L14" s="174">
        <v>29066101.47</v>
      </c>
      <c r="M14" s="174">
        <v>9870465.91</v>
      </c>
      <c r="N14" s="174">
        <v>12402000</v>
      </c>
      <c r="O14" s="174">
        <v>10247000</v>
      </c>
      <c r="R14" s="91"/>
    </row>
    <row r="15" spans="1:18" s="29" customFormat="1" ht="12">
      <c r="A15" s="241"/>
      <c r="B15" s="27"/>
      <c r="C15" s="27"/>
      <c r="D15" s="28" t="s">
        <v>6</v>
      </c>
      <c r="E15" s="246">
        <v>12</v>
      </c>
      <c r="F15" s="222"/>
      <c r="G15" s="174"/>
      <c r="H15" s="343"/>
      <c r="I15" s="349"/>
      <c r="J15" s="174">
        <f t="shared" si="2"/>
        <v>0</v>
      </c>
      <c r="K15" s="174">
        <v>42000</v>
      </c>
      <c r="L15" s="174">
        <v>116000</v>
      </c>
      <c r="M15" s="174">
        <v>81500</v>
      </c>
      <c r="N15" s="174"/>
      <c r="O15" s="174"/>
      <c r="R15" s="91"/>
    </row>
    <row r="16" spans="1:18" s="29" customFormat="1" ht="12">
      <c r="A16" s="241"/>
      <c r="B16" s="28"/>
      <c r="C16" s="28"/>
      <c r="D16" s="28" t="s">
        <v>9</v>
      </c>
      <c r="E16" s="246">
        <v>13</v>
      </c>
      <c r="F16" s="222">
        <v>4159000</v>
      </c>
      <c r="G16" s="174"/>
      <c r="H16" s="343">
        <v>4805120.87</v>
      </c>
      <c r="I16" s="349"/>
      <c r="J16" s="550">
        <f>H16/12*12</f>
        <v>4805120.87</v>
      </c>
      <c r="K16" s="174">
        <v>2753794.38</v>
      </c>
      <c r="L16" s="174">
        <v>2802477.37</v>
      </c>
      <c r="M16" s="174">
        <v>1140941.88</v>
      </c>
      <c r="N16" s="174">
        <v>1188000</v>
      </c>
      <c r="O16" s="174">
        <v>1215000</v>
      </c>
      <c r="R16" s="91"/>
    </row>
    <row r="17" spans="1:18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274"/>
      <c r="I17" s="350"/>
      <c r="J17" s="187">
        <f>H17</f>
        <v>0</v>
      </c>
      <c r="K17" s="192"/>
      <c r="L17" s="192"/>
      <c r="M17" s="192"/>
      <c r="N17" s="192"/>
      <c r="O17" s="192"/>
      <c r="R17" s="91"/>
    </row>
    <row r="18" spans="1:18" s="5" customFormat="1" ht="12">
      <c r="A18" s="240"/>
      <c r="B18" s="4" t="s">
        <v>15</v>
      </c>
      <c r="C18" s="3"/>
      <c r="D18" s="3"/>
      <c r="E18" s="246">
        <v>15</v>
      </c>
      <c r="F18" s="289"/>
      <c r="G18" s="192"/>
      <c r="H18" s="274"/>
      <c r="I18" s="350"/>
      <c r="J18" s="187">
        <f>H18</f>
        <v>0</v>
      </c>
      <c r="K18" s="192"/>
      <c r="L18" s="192"/>
      <c r="M18" s="192"/>
      <c r="N18" s="192"/>
      <c r="O18" s="192"/>
      <c r="R18" s="91"/>
    </row>
    <row r="19" spans="1:18" s="5" customFormat="1" ht="12">
      <c r="A19" s="240"/>
      <c r="B19" s="4" t="s">
        <v>20</v>
      </c>
      <c r="C19" s="3"/>
      <c r="D19" s="3"/>
      <c r="E19" s="246">
        <v>16</v>
      </c>
      <c r="F19" s="289">
        <v>27831000</v>
      </c>
      <c r="G19" s="192">
        <f>J19</f>
        <v>15907639.74</v>
      </c>
      <c r="H19" s="274">
        <v>15907639.74</v>
      </c>
      <c r="I19" s="350">
        <f>H19/G19</f>
        <v>1</v>
      </c>
      <c r="J19" s="187">
        <f>J31</f>
        <v>15907639.74</v>
      </c>
      <c r="K19" s="192">
        <v>5710664.8</v>
      </c>
      <c r="L19" s="192">
        <v>450000</v>
      </c>
      <c r="M19" s="192">
        <v>35546548.13</v>
      </c>
      <c r="N19" s="192">
        <v>1145000</v>
      </c>
      <c r="O19" s="192">
        <v>700000</v>
      </c>
      <c r="R19" s="91"/>
    </row>
    <row r="20" spans="1:18" s="5" customFormat="1" ht="12">
      <c r="A20" s="240"/>
      <c r="B20" s="4" t="s">
        <v>16</v>
      </c>
      <c r="C20" s="3"/>
      <c r="D20" s="3"/>
      <c r="E20" s="246">
        <v>17</v>
      </c>
      <c r="F20" s="289"/>
      <c r="G20" s="192"/>
      <c r="H20" s="274"/>
      <c r="I20" s="350"/>
      <c r="J20" s="187">
        <f>H20</f>
        <v>0</v>
      </c>
      <c r="K20" s="192"/>
      <c r="L20" s="192">
        <v>525000</v>
      </c>
      <c r="M20" s="192"/>
      <c r="N20" s="192"/>
      <c r="O20" s="192">
        <v>296000</v>
      </c>
      <c r="R20" s="91"/>
    </row>
    <row r="21" spans="1:18" s="5" customFormat="1" ht="12">
      <c r="A21" s="240"/>
      <c r="B21" s="4" t="s">
        <v>24</v>
      </c>
      <c r="C21" s="4"/>
      <c r="D21" s="4"/>
      <c r="E21" s="246">
        <v>18</v>
      </c>
      <c r="F21" s="289"/>
      <c r="G21" s="192"/>
      <c r="H21" s="274"/>
      <c r="I21" s="350"/>
      <c r="J21" s="187">
        <f>H21</f>
        <v>0</v>
      </c>
      <c r="K21" s="192"/>
      <c r="L21" s="192"/>
      <c r="M21" s="192"/>
      <c r="N21" s="192"/>
      <c r="O21" s="192"/>
      <c r="R21" s="91"/>
    </row>
    <row r="22" spans="1:18" s="5" customFormat="1" ht="12">
      <c r="A22" s="240"/>
      <c r="B22" s="4" t="s">
        <v>31</v>
      </c>
      <c r="C22" s="4"/>
      <c r="D22" s="4"/>
      <c r="E22" s="246">
        <v>19</v>
      </c>
      <c r="F22" s="289"/>
      <c r="G22" s="192"/>
      <c r="H22" s="274">
        <v>811620</v>
      </c>
      <c r="I22" s="350"/>
      <c r="J22" s="187">
        <f>H22</f>
        <v>811620</v>
      </c>
      <c r="K22" s="192"/>
      <c r="L22" s="192">
        <v>2942992</v>
      </c>
      <c r="M22" s="192">
        <v>6441166</v>
      </c>
      <c r="N22" s="192">
        <v>5128000</v>
      </c>
      <c r="O22" s="192">
        <v>1757000</v>
      </c>
      <c r="R22" s="91"/>
    </row>
    <row r="23" spans="1:18" s="5" customFormat="1" ht="12">
      <c r="A23" s="240"/>
      <c r="B23" s="4" t="s">
        <v>25</v>
      </c>
      <c r="C23" s="4"/>
      <c r="D23" s="4"/>
      <c r="E23" s="246">
        <v>20</v>
      </c>
      <c r="F23" s="585">
        <f>F37</f>
        <v>0</v>
      </c>
      <c r="G23" s="192">
        <f>G37</f>
        <v>1111136.61</v>
      </c>
      <c r="H23" s="274">
        <v>1111136.61</v>
      </c>
      <c r="I23" s="350">
        <f>H23/G23</f>
        <v>1</v>
      </c>
      <c r="J23" s="187">
        <f>G23</f>
        <v>1111136.61</v>
      </c>
      <c r="K23" s="192">
        <v>807000</v>
      </c>
      <c r="L23" s="192">
        <v>2097009.92</v>
      </c>
      <c r="M23" s="192">
        <v>1747000</v>
      </c>
      <c r="N23" s="192">
        <v>2005000</v>
      </c>
      <c r="O23" s="192">
        <v>2070000</v>
      </c>
      <c r="R23" s="91"/>
    </row>
    <row r="24" spans="1:18" s="5" customFormat="1" ht="12">
      <c r="A24" s="240"/>
      <c r="B24" s="4" t="s">
        <v>26</v>
      </c>
      <c r="C24" s="4"/>
      <c r="D24" s="4"/>
      <c r="E24" s="246">
        <v>21</v>
      </c>
      <c r="F24" s="289">
        <v>12300000</v>
      </c>
      <c r="G24" s="192">
        <f>J24</f>
        <v>12068000</v>
      </c>
      <c r="H24" s="274">
        <v>12068000</v>
      </c>
      <c r="I24" s="350">
        <f>H24/G24</f>
        <v>1</v>
      </c>
      <c r="J24" s="187">
        <f>J38</f>
        <v>12068000</v>
      </c>
      <c r="K24" s="192">
        <v>12055000</v>
      </c>
      <c r="L24" s="192">
        <v>4984000</v>
      </c>
      <c r="M24" s="192">
        <v>121000</v>
      </c>
      <c r="N24" s="192">
        <v>182000</v>
      </c>
      <c r="O24" s="192">
        <v>271000</v>
      </c>
      <c r="R24" s="91"/>
    </row>
    <row r="25" spans="1:18" s="5" customFormat="1" ht="12">
      <c r="A25" s="240"/>
      <c r="B25" s="4" t="s">
        <v>27</v>
      </c>
      <c r="C25" s="4"/>
      <c r="D25" s="4"/>
      <c r="E25" s="246">
        <v>22</v>
      </c>
      <c r="F25" s="289">
        <v>4160000</v>
      </c>
      <c r="G25" s="192"/>
      <c r="H25" s="274">
        <v>4094960.83</v>
      </c>
      <c r="I25" s="350">
        <f>H25/F25</f>
        <v>0.9843655841346154</v>
      </c>
      <c r="J25" s="187">
        <f>H25</f>
        <v>4094960.83</v>
      </c>
      <c r="K25" s="192">
        <v>3338200.85</v>
      </c>
      <c r="L25" s="192">
        <v>6395815.91</v>
      </c>
      <c r="M25" s="192">
        <v>4923292.85</v>
      </c>
      <c r="N25" s="192">
        <v>3343000</v>
      </c>
      <c r="O25" s="192">
        <v>938000</v>
      </c>
      <c r="R25" s="91"/>
    </row>
    <row r="26" spans="1:18" s="5" customFormat="1" ht="12">
      <c r="A26" s="240"/>
      <c r="B26" s="95" t="s">
        <v>30</v>
      </c>
      <c r="C26" s="95"/>
      <c r="D26" s="95"/>
      <c r="E26" s="246">
        <v>23</v>
      </c>
      <c r="F26" s="289">
        <v>9000000</v>
      </c>
      <c r="G26" s="192"/>
      <c r="H26" s="274">
        <v>18740373.62</v>
      </c>
      <c r="I26" s="350">
        <f>H26/F26</f>
        <v>2.0822637355555558</v>
      </c>
      <c r="J26" s="187">
        <f>H26/12*12</f>
        <v>18740373.62</v>
      </c>
      <c r="K26" s="192">
        <v>16151496.36</v>
      </c>
      <c r="L26" s="192">
        <v>14667270.36</v>
      </c>
      <c r="M26" s="192">
        <v>7798452.85</v>
      </c>
      <c r="N26" s="192">
        <v>8357000</v>
      </c>
      <c r="O26" s="192">
        <v>7119000</v>
      </c>
      <c r="R26" s="91"/>
    </row>
    <row r="27" spans="1:18" ht="12.75">
      <c r="A27" s="239" t="s">
        <v>158</v>
      </c>
      <c r="B27" s="171"/>
      <c r="C27" s="171"/>
      <c r="D27" s="171"/>
      <c r="E27" s="245">
        <v>24</v>
      </c>
      <c r="F27" s="255">
        <f>SUM(F28:F42)</f>
        <v>206683000</v>
      </c>
      <c r="G27" s="221">
        <f>SUM(G28:G42)</f>
        <v>146054776.35</v>
      </c>
      <c r="H27" s="342">
        <f>SUM(H28:H42)</f>
        <v>190570434.38</v>
      </c>
      <c r="I27" s="348">
        <f>H27/F27</f>
        <v>0.922042133992636</v>
      </c>
      <c r="J27" s="322">
        <f aca="true" t="shared" si="3" ref="J27:O27">SUM(J28:J42)</f>
        <v>190570434.38</v>
      </c>
      <c r="K27" s="221">
        <f t="shared" si="3"/>
        <v>153845529.78</v>
      </c>
      <c r="L27" s="221">
        <f t="shared" si="3"/>
        <v>131101499.81</v>
      </c>
      <c r="M27" s="221">
        <f t="shared" si="3"/>
        <v>131293655.52999999</v>
      </c>
      <c r="N27" s="221">
        <f t="shared" si="3"/>
        <v>76759000</v>
      </c>
      <c r="O27" s="221">
        <f t="shared" si="3"/>
        <v>59903000</v>
      </c>
      <c r="R27" s="91"/>
    </row>
    <row r="28" spans="1:18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v>135191000</v>
      </c>
      <c r="G28" s="337">
        <f>84369000+32599000</f>
        <v>116968000</v>
      </c>
      <c r="H28" s="375">
        <v>116968000</v>
      </c>
      <c r="I28" s="350">
        <f>H28/G28</f>
        <v>1</v>
      </c>
      <c r="J28" s="354">
        <f>G28</f>
        <v>116968000</v>
      </c>
      <c r="K28" s="192">
        <v>101035000</v>
      </c>
      <c r="L28" s="192">
        <v>96843000</v>
      </c>
      <c r="M28" s="192">
        <v>71234000</v>
      </c>
      <c r="N28" s="192">
        <v>52307000</v>
      </c>
      <c r="O28" s="192">
        <v>41115000</v>
      </c>
      <c r="Q28" s="10"/>
      <c r="R28" s="91"/>
    </row>
    <row r="29" spans="1:18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350"/>
      <c r="J29" s="323">
        <f>H29</f>
        <v>0</v>
      </c>
      <c r="K29" s="326"/>
      <c r="L29" s="326"/>
      <c r="M29" s="326"/>
      <c r="N29" s="326"/>
      <c r="O29" s="326"/>
      <c r="R29" s="91"/>
    </row>
    <row r="30" spans="1:18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364"/>
      <c r="I30" s="350"/>
      <c r="J30" s="323">
        <f>H30</f>
        <v>0</v>
      </c>
      <c r="K30" s="326"/>
      <c r="L30" s="326"/>
      <c r="M30" s="326"/>
      <c r="N30" s="326"/>
      <c r="O30" s="326"/>
      <c r="R30" s="91"/>
    </row>
    <row r="31" spans="1:18" s="5" customFormat="1" ht="12">
      <c r="A31" s="240"/>
      <c r="B31" s="4" t="s">
        <v>20</v>
      </c>
      <c r="C31" s="3"/>
      <c r="D31" s="3"/>
      <c r="E31" s="246">
        <v>28</v>
      </c>
      <c r="F31" s="292">
        <v>27831000</v>
      </c>
      <c r="G31" s="549">
        <v>15907639.74</v>
      </c>
      <c r="H31" s="364">
        <v>15907639.74</v>
      </c>
      <c r="I31" s="350">
        <f>H31/G31</f>
        <v>1</v>
      </c>
      <c r="J31" s="323">
        <f>G31</f>
        <v>15907639.74</v>
      </c>
      <c r="K31" s="326">
        <v>5710664.8</v>
      </c>
      <c r="L31" s="326">
        <v>450000</v>
      </c>
      <c r="M31" s="326">
        <v>35458000</v>
      </c>
      <c r="N31" s="326">
        <v>1145000</v>
      </c>
      <c r="O31" s="326">
        <v>700000</v>
      </c>
      <c r="R31" s="91"/>
    </row>
    <row r="32" spans="1:18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350"/>
      <c r="J32" s="323">
        <f aca="true" t="shared" si="4" ref="J32:J37">H32</f>
        <v>0</v>
      </c>
      <c r="K32" s="326"/>
      <c r="L32" s="326">
        <v>525000</v>
      </c>
      <c r="M32" s="326"/>
      <c r="N32" s="326"/>
      <c r="O32" s="326">
        <v>296000</v>
      </c>
      <c r="R32" s="91"/>
    </row>
    <row r="33" spans="1:18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364"/>
      <c r="I33" s="350"/>
      <c r="J33" s="323">
        <f t="shared" si="4"/>
        <v>0</v>
      </c>
      <c r="K33" s="326"/>
      <c r="L33" s="326"/>
      <c r="M33" s="326"/>
      <c r="N33" s="326"/>
      <c r="O33" s="326"/>
      <c r="R33" s="91"/>
    </row>
    <row r="34" spans="1:18" s="5" customFormat="1" ht="12">
      <c r="A34" s="240"/>
      <c r="B34" s="4" t="s">
        <v>24</v>
      </c>
      <c r="C34" s="4"/>
      <c r="D34" s="4"/>
      <c r="E34" s="246">
        <v>31</v>
      </c>
      <c r="F34" s="292"/>
      <c r="G34" s="326"/>
      <c r="H34" s="364"/>
      <c r="I34" s="350"/>
      <c r="J34" s="323">
        <f t="shared" si="4"/>
        <v>0</v>
      </c>
      <c r="K34" s="326"/>
      <c r="L34" s="326"/>
      <c r="M34" s="326"/>
      <c r="N34" s="326"/>
      <c r="O34" s="326"/>
      <c r="R34" s="91"/>
    </row>
    <row r="35" spans="1:18" s="5" customFormat="1" ht="12">
      <c r="A35" s="240"/>
      <c r="B35" s="4" t="s">
        <v>31</v>
      </c>
      <c r="C35" s="4"/>
      <c r="D35" s="4"/>
      <c r="E35" s="246">
        <v>32</v>
      </c>
      <c r="F35" s="292"/>
      <c r="G35" s="326"/>
      <c r="H35" s="364">
        <v>811620</v>
      </c>
      <c r="I35" s="350"/>
      <c r="J35" s="323">
        <f t="shared" si="4"/>
        <v>811620</v>
      </c>
      <c r="K35" s="326"/>
      <c r="L35" s="326">
        <v>2942992</v>
      </c>
      <c r="M35" s="326">
        <v>8135574.8</v>
      </c>
      <c r="N35" s="326">
        <v>7010000</v>
      </c>
      <c r="O35" s="326">
        <v>2268000</v>
      </c>
      <c r="R35" s="91"/>
    </row>
    <row r="36" spans="1:18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350"/>
      <c r="J36" s="323">
        <f t="shared" si="4"/>
        <v>0</v>
      </c>
      <c r="K36" s="326"/>
      <c r="L36" s="326"/>
      <c r="M36" s="326"/>
      <c r="N36" s="326">
        <v>1819000</v>
      </c>
      <c r="O36" s="326">
        <v>3294000</v>
      </c>
      <c r="R36" s="91"/>
    </row>
    <row r="37" spans="1:18" s="5" customFormat="1" ht="12">
      <c r="A37" s="240"/>
      <c r="B37" s="4" t="s">
        <v>25</v>
      </c>
      <c r="C37" s="4"/>
      <c r="D37" s="4"/>
      <c r="E37" s="246">
        <v>34</v>
      </c>
      <c r="F37" s="586">
        <v>0</v>
      </c>
      <c r="G37" s="326">
        <v>1111136.61</v>
      </c>
      <c r="H37" s="364">
        <v>1111136.61</v>
      </c>
      <c r="I37" s="350"/>
      <c r="J37" s="323">
        <f t="shared" si="4"/>
        <v>1111136.61</v>
      </c>
      <c r="K37" s="326">
        <v>807000</v>
      </c>
      <c r="L37" s="326">
        <v>2097009.92</v>
      </c>
      <c r="M37" s="326">
        <v>1747000</v>
      </c>
      <c r="N37" s="326">
        <v>2005000</v>
      </c>
      <c r="O37" s="326">
        <v>2070000</v>
      </c>
      <c r="R37" s="91"/>
    </row>
    <row r="38" spans="1:18" s="5" customFormat="1" ht="12">
      <c r="A38" s="240"/>
      <c r="B38" s="4" t="s">
        <v>26</v>
      </c>
      <c r="C38" s="4"/>
      <c r="D38" s="4"/>
      <c r="E38" s="246">
        <v>35</v>
      </c>
      <c r="F38" s="292">
        <f>F24</f>
        <v>12300000</v>
      </c>
      <c r="G38" s="326">
        <f>7944000+4124000</f>
        <v>12068000</v>
      </c>
      <c r="H38" s="364">
        <v>12068000</v>
      </c>
      <c r="I38" s="350">
        <f>H38/G38</f>
        <v>1</v>
      </c>
      <c r="J38" s="323">
        <f>G38</f>
        <v>12068000</v>
      </c>
      <c r="K38" s="326">
        <v>12055000</v>
      </c>
      <c r="L38" s="326">
        <v>4984000</v>
      </c>
      <c r="M38" s="326">
        <v>121000</v>
      </c>
      <c r="N38" s="326">
        <v>182000</v>
      </c>
      <c r="O38" s="326">
        <v>271000</v>
      </c>
      <c r="R38" s="91"/>
    </row>
    <row r="39" spans="1:18" s="5" customFormat="1" ht="12">
      <c r="A39" s="240"/>
      <c r="B39" s="4" t="s">
        <v>27</v>
      </c>
      <c r="C39" s="4"/>
      <c r="D39" s="4"/>
      <c r="E39" s="246">
        <v>36</v>
      </c>
      <c r="F39" s="292">
        <f>F25</f>
        <v>4160000</v>
      </c>
      <c r="G39" s="326"/>
      <c r="H39" s="364">
        <v>4094960.83</v>
      </c>
      <c r="I39" s="350">
        <f>H39/F39</f>
        <v>0.9843655841346154</v>
      </c>
      <c r="J39" s="323">
        <f>H39</f>
        <v>4094960.83</v>
      </c>
      <c r="K39" s="326">
        <v>3338200.85</v>
      </c>
      <c r="L39" s="326">
        <v>6395815.91</v>
      </c>
      <c r="M39" s="326">
        <v>4923292.85</v>
      </c>
      <c r="N39" s="326">
        <v>3343000</v>
      </c>
      <c r="O39" s="326">
        <v>939000</v>
      </c>
      <c r="R39" s="91"/>
    </row>
    <row r="40" spans="1:18" s="5" customFormat="1" ht="13.5">
      <c r="A40" s="240"/>
      <c r="B40" s="4" t="s">
        <v>180</v>
      </c>
      <c r="C40" s="4"/>
      <c r="D40" s="4"/>
      <c r="E40" s="246">
        <v>37</v>
      </c>
      <c r="F40" s="292">
        <v>16201000</v>
      </c>
      <c r="G40" s="326"/>
      <c r="H40" s="364">
        <v>17492508.6</v>
      </c>
      <c r="I40" s="350">
        <f>H40/F40</f>
        <v>1.0797178322325782</v>
      </c>
      <c r="J40" s="323">
        <f>(H40+0)/12*12</f>
        <v>17492508.6</v>
      </c>
      <c r="K40" s="326">
        <v>10980384.57</v>
      </c>
      <c r="L40" s="326">
        <v>642115.48</v>
      </c>
      <c r="M40" s="326">
        <v>801567.58</v>
      </c>
      <c r="N40" s="326"/>
      <c r="O40" s="326"/>
      <c r="R40" s="91"/>
    </row>
    <row r="41" spans="1:18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364"/>
      <c r="I41" s="350"/>
      <c r="J41" s="323">
        <f>H41</f>
        <v>0</v>
      </c>
      <c r="K41" s="326"/>
      <c r="L41" s="326"/>
      <c r="M41" s="326">
        <v>17329</v>
      </c>
      <c r="N41" s="326"/>
      <c r="O41" s="326"/>
      <c r="R41" s="91"/>
    </row>
    <row r="42" spans="1:18" s="5" customFormat="1" ht="12">
      <c r="A42" s="240"/>
      <c r="B42" s="4" t="s">
        <v>30</v>
      </c>
      <c r="C42" s="4"/>
      <c r="D42" s="4"/>
      <c r="E42" s="246">
        <v>39</v>
      </c>
      <c r="F42" s="292">
        <v>11000000</v>
      </c>
      <c r="G42" s="326"/>
      <c r="H42" s="364">
        <v>22116568.6</v>
      </c>
      <c r="I42" s="350">
        <f>H42/F42</f>
        <v>2.0105971454545455</v>
      </c>
      <c r="J42" s="323">
        <f>H42/12*12</f>
        <v>22116568.6</v>
      </c>
      <c r="K42" s="326">
        <v>19919279.56</v>
      </c>
      <c r="L42" s="326">
        <v>16221566.5</v>
      </c>
      <c r="M42" s="326">
        <v>8855891.3</v>
      </c>
      <c r="N42" s="326">
        <v>8948000</v>
      </c>
      <c r="O42" s="326">
        <v>8950000</v>
      </c>
      <c r="R42" s="91"/>
    </row>
    <row r="43" spans="1:18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2100000</v>
      </c>
      <c r="G43" s="227"/>
      <c r="H43" s="347">
        <v>-85781.32</v>
      </c>
      <c r="I43" s="351"/>
      <c r="J43" s="324">
        <f>J28+J33+J36+J40+J41+J42-J5-J26</f>
        <v>3136662.4199999906</v>
      </c>
      <c r="K43" s="227"/>
      <c r="L43" s="227"/>
      <c r="M43" s="227">
        <v>954036.400000006</v>
      </c>
      <c r="N43" s="227">
        <f>N28+N33+N36+N40+N41+N42-N26-N5</f>
        <v>-1343000</v>
      </c>
      <c r="O43" s="227">
        <f>O28+O33+O36+O40+O41+O42-O26-O5</f>
        <v>433000</v>
      </c>
      <c r="R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255">
        <f>F27-F4</f>
        <v>2100000</v>
      </c>
      <c r="G44" s="221"/>
      <c r="H44" s="342">
        <f>H27-H4</f>
        <v>3136662.419999957</v>
      </c>
      <c r="I44" s="348">
        <f>H44/F44</f>
        <v>1.493648771428551</v>
      </c>
      <c r="J44" s="322">
        <f aca="true" t="shared" si="5" ref="J44:O44">J27-J4</f>
        <v>3136662.419999957</v>
      </c>
      <c r="K44" s="221">
        <f t="shared" si="5"/>
        <v>3630259.150000006</v>
      </c>
      <c r="L44" s="221">
        <f t="shared" si="5"/>
        <v>1884532.7800000012</v>
      </c>
      <c r="M44" s="221">
        <f t="shared" si="5"/>
        <v>2559897.0700000077</v>
      </c>
      <c r="N44" s="221">
        <f t="shared" si="5"/>
        <v>539000</v>
      </c>
      <c r="O44" s="221">
        <f t="shared" si="5"/>
        <v>945000</v>
      </c>
    </row>
    <row r="45" spans="1:13" s="89" customFormat="1" ht="11.25">
      <c r="A45" s="90" t="s">
        <v>167</v>
      </c>
      <c r="F45" s="90"/>
      <c r="G45" s="90"/>
      <c r="H45" s="90"/>
      <c r="I45" s="90"/>
      <c r="J45" s="90"/>
      <c r="K45" s="90"/>
      <c r="M45" s="217"/>
    </row>
    <row r="46" spans="1:13" s="89" customFormat="1" ht="11.25">
      <c r="A46" s="210" t="s">
        <v>141</v>
      </c>
      <c r="B46" s="90"/>
      <c r="C46" s="90"/>
      <c r="D46" s="90"/>
      <c r="E46" s="90"/>
      <c r="F46" s="91">
        <f>SUM(F47:F48)</f>
        <v>35583000</v>
      </c>
      <c r="G46" s="91"/>
      <c r="H46" s="91"/>
      <c r="I46" s="91"/>
      <c r="J46" s="91"/>
      <c r="K46" s="90"/>
      <c r="M46" s="217"/>
    </row>
    <row r="47" spans="1:13" s="89" customFormat="1" ht="11.25">
      <c r="A47" s="142" t="s">
        <v>142</v>
      </c>
      <c r="B47" s="90"/>
      <c r="C47" s="90"/>
      <c r="D47" s="90"/>
      <c r="E47" s="90"/>
      <c r="F47" s="91">
        <v>20182000</v>
      </c>
      <c r="G47" s="91"/>
      <c r="H47" s="91"/>
      <c r="I47" s="91"/>
      <c r="J47" s="91"/>
      <c r="K47" s="91"/>
      <c r="M47" s="217"/>
    </row>
    <row r="48" spans="1:13" s="89" customFormat="1" ht="11.25">
      <c r="A48" s="142" t="s">
        <v>143</v>
      </c>
      <c r="B48" s="90"/>
      <c r="C48" s="90"/>
      <c r="D48" s="90"/>
      <c r="E48" s="90"/>
      <c r="F48" s="91">
        <v>15401000</v>
      </c>
      <c r="G48" s="91"/>
      <c r="H48" s="91"/>
      <c r="I48" s="91"/>
      <c r="J48" s="91"/>
      <c r="K48" s="91"/>
      <c r="M48" s="217"/>
    </row>
    <row r="49" spans="1:11" ht="12.75">
      <c r="A49" s="142" t="s">
        <v>145</v>
      </c>
      <c r="B49" s="90"/>
      <c r="C49" s="90"/>
      <c r="D49" s="90"/>
      <c r="E49" s="90"/>
      <c r="F49" s="91"/>
      <c r="G49" s="91"/>
      <c r="H49" s="91"/>
      <c r="I49" s="91"/>
      <c r="J49" s="91"/>
      <c r="K49" s="91"/>
    </row>
    <row r="50" spans="1:11" ht="12.75">
      <c r="A50" s="90" t="s">
        <v>170</v>
      </c>
      <c r="B50" s="90"/>
      <c r="C50" s="90"/>
      <c r="D50" s="90"/>
      <c r="E50" s="90"/>
      <c r="F50" s="91">
        <v>88369000</v>
      </c>
      <c r="G50" s="91"/>
      <c r="H50" s="91"/>
      <c r="I50" s="91"/>
      <c r="J50" s="91"/>
      <c r="K50" s="91"/>
    </row>
    <row r="51" spans="1:11" ht="12.75">
      <c r="A51" s="90" t="s">
        <v>146</v>
      </c>
      <c r="B51" s="90"/>
      <c r="C51" s="90"/>
      <c r="D51" s="90"/>
      <c r="E51" s="90"/>
      <c r="F51" s="91">
        <v>26640000</v>
      </c>
      <c r="G51" s="91"/>
      <c r="H51" s="91"/>
      <c r="I51" s="91"/>
      <c r="J51" s="91"/>
      <c r="K51" s="91"/>
    </row>
    <row r="52" spans="1:10" ht="12.75">
      <c r="A52" s="90" t="s">
        <v>171</v>
      </c>
      <c r="B52" s="90"/>
      <c r="C52" s="90"/>
      <c r="D52" s="90"/>
      <c r="E52" s="89"/>
      <c r="F52" s="233">
        <f>F47</f>
        <v>20182000</v>
      </c>
      <c r="G52" s="211"/>
      <c r="H52" s="211"/>
      <c r="I52" s="211"/>
      <c r="J52" s="211"/>
    </row>
    <row r="53" spans="1:10" ht="12.75">
      <c r="A53" s="90" t="s">
        <v>169</v>
      </c>
      <c r="B53" s="90"/>
      <c r="C53" s="90"/>
      <c r="D53" s="90"/>
      <c r="E53" s="89"/>
      <c r="F53" s="91">
        <f>SUM(F50:F52)</f>
        <v>135191000</v>
      </c>
      <c r="G53" s="91"/>
      <c r="H53" s="91"/>
      <c r="I53" s="91"/>
      <c r="J53" s="91"/>
    </row>
    <row r="54" spans="1:10" ht="12.75">
      <c r="A54" s="90"/>
      <c r="B54" s="90"/>
      <c r="C54" s="90"/>
      <c r="D54" s="90"/>
      <c r="E54" s="89"/>
      <c r="F54" s="89"/>
      <c r="H54" s="89"/>
      <c r="J54" s="89"/>
    </row>
    <row r="56" ht="12.75" hidden="1">
      <c r="A56" s="315" t="s">
        <v>185</v>
      </c>
    </row>
    <row r="57" spans="1:11" ht="12.75" hidden="1">
      <c r="A57" s="315" t="s">
        <v>188</v>
      </c>
      <c r="F57" s="315">
        <f>-1.083</f>
        <v>-1.083</v>
      </c>
      <c r="G57" s="231"/>
      <c r="H57" s="315"/>
      <c r="I57" s="231"/>
      <c r="J57" s="315"/>
      <c r="K57" s="231" t="s">
        <v>187</v>
      </c>
    </row>
    <row r="58" ht="12.75" hidden="1">
      <c r="A58" s="315" t="s">
        <v>184</v>
      </c>
    </row>
  </sheetData>
  <mergeCells count="1">
    <mergeCell ref="A1:D1"/>
  </mergeCells>
  <printOptions horizontalCentered="1"/>
  <pageMargins left="0.43" right="0.31496062992125984" top="0.38" bottom="0.16" header="0.29" footer="0.25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1"/>
  <dimension ref="A1:P54"/>
  <sheetViews>
    <sheetView workbookViewId="0" topLeftCell="A1">
      <selection activeCell="J1" sqref="J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8" width="10.75390625" style="2" customWidth="1"/>
    <col min="9" max="9" width="6.25390625" style="446" customWidth="1"/>
    <col min="10" max="10" width="10.125" style="2" hidden="1" customWidth="1"/>
    <col min="11" max="11" width="9.00390625" style="89" customWidth="1"/>
    <col min="12" max="13" width="9.00390625" style="89" bestFit="1" customWidth="1"/>
    <col min="14" max="15" width="8.75390625" style="89" bestFit="1" customWidth="1"/>
    <col min="16" max="16" width="6.375" style="0" customWidth="1"/>
  </cols>
  <sheetData>
    <row r="1" spans="1:16" ht="15.75">
      <c r="A1" s="613" t="s">
        <v>138</v>
      </c>
      <c r="B1" s="614"/>
      <c r="C1" s="614"/>
      <c r="D1" s="615"/>
      <c r="E1" s="242"/>
      <c r="F1" s="253" t="s">
        <v>7</v>
      </c>
      <c r="G1" s="356"/>
      <c r="H1" s="371" t="s">
        <v>8</v>
      </c>
      <c r="I1" s="356" t="s">
        <v>196</v>
      </c>
      <c r="J1" s="319" t="s">
        <v>197</v>
      </c>
      <c r="K1" s="218" t="s">
        <v>8</v>
      </c>
      <c r="L1" s="218" t="s">
        <v>8</v>
      </c>
      <c r="M1" s="382" t="s">
        <v>8</v>
      </c>
      <c r="N1" s="218" t="s">
        <v>8</v>
      </c>
      <c r="O1" s="218" t="s">
        <v>8</v>
      </c>
      <c r="P1" s="468" t="s">
        <v>212</v>
      </c>
    </row>
    <row r="2" spans="1:16" s="7" customFormat="1" ht="12.75">
      <c r="A2" s="237" t="s">
        <v>39</v>
      </c>
      <c r="B2" s="44"/>
      <c r="C2" s="44"/>
      <c r="D2" s="45" t="s">
        <v>195</v>
      </c>
      <c r="E2" s="243" t="s">
        <v>21</v>
      </c>
      <c r="F2" s="254">
        <v>2006</v>
      </c>
      <c r="G2" s="357" t="s">
        <v>198</v>
      </c>
      <c r="H2" s="340" t="s">
        <v>223</v>
      </c>
      <c r="I2" s="357" t="s">
        <v>199</v>
      </c>
      <c r="J2" s="320">
        <v>2006</v>
      </c>
      <c r="K2" s="219">
        <v>2005</v>
      </c>
      <c r="L2" s="219">
        <v>2004</v>
      </c>
      <c r="M2" s="336">
        <v>2003</v>
      </c>
      <c r="N2" s="219">
        <v>2002</v>
      </c>
      <c r="O2" s="219">
        <v>2001</v>
      </c>
      <c r="P2" s="468">
        <v>2005</v>
      </c>
    </row>
    <row r="3" spans="1:15" s="7" customFormat="1" ht="12.75" customHeight="1" hidden="1">
      <c r="A3" s="238"/>
      <c r="B3" s="137"/>
      <c r="C3" s="137"/>
      <c r="D3" s="138"/>
      <c r="E3" s="244"/>
      <c r="F3" s="299">
        <v>1</v>
      </c>
      <c r="G3" s="372" t="s">
        <v>200</v>
      </c>
      <c r="H3" s="341">
        <v>2</v>
      </c>
      <c r="I3" s="220" t="s">
        <v>201</v>
      </c>
      <c r="J3" s="321">
        <v>3</v>
      </c>
      <c r="K3" s="220"/>
      <c r="L3" s="383"/>
      <c r="M3" s="447"/>
      <c r="N3" s="383"/>
      <c r="O3" s="383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8064000</v>
      </c>
      <c r="G4" s="373">
        <f>SUM(G6:G26)</f>
        <v>0</v>
      </c>
      <c r="H4" s="342">
        <f>SUM(H6:H26)</f>
        <v>1016719.2999999992</v>
      </c>
      <c r="I4" s="442">
        <f aca="true" t="shared" si="0" ref="I4:I14">H4/F4</f>
        <v>0.12608126240079356</v>
      </c>
      <c r="J4" s="322">
        <f>SUM(J6:J26)</f>
        <v>1016719.2999999993</v>
      </c>
      <c r="K4" s="221">
        <f>SUM(K6:K26)</f>
        <v>1401251.5200000003</v>
      </c>
      <c r="L4" s="221">
        <f>SUM(L6:L26)</f>
        <v>1095925.4499999997</v>
      </c>
      <c r="M4" s="380">
        <f>SUM(M6:M26)</f>
        <v>903996.4299999994</v>
      </c>
      <c r="N4" s="221">
        <f>SUM(N6:N26)</f>
        <v>6001000</v>
      </c>
      <c r="O4" s="221">
        <f>O5+SUM(O17:O26)</f>
        <v>5800000</v>
      </c>
    </row>
    <row r="5" spans="1:15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8064000</v>
      </c>
      <c r="G5" s="224">
        <f>SUM(G6:G16)</f>
        <v>0</v>
      </c>
      <c r="H5" s="266">
        <f>SUM(H6:H16)</f>
        <v>175352.94999999925</v>
      </c>
      <c r="I5" s="443">
        <f t="shared" si="0"/>
        <v>0.021745157490079273</v>
      </c>
      <c r="J5" s="187">
        <f aca="true" t="shared" si="1" ref="J5:O5">SUM(J6:J16)</f>
        <v>175352.94999999925</v>
      </c>
      <c r="K5" s="192">
        <f t="shared" si="1"/>
        <v>229882.03000000026</v>
      </c>
      <c r="L5" s="192">
        <f t="shared" si="1"/>
        <v>-2843.7000000001863</v>
      </c>
      <c r="M5" s="214">
        <f t="shared" si="1"/>
        <v>309163.27999999933</v>
      </c>
      <c r="N5" s="192">
        <f t="shared" si="1"/>
        <v>5209000</v>
      </c>
      <c r="O5" s="192">
        <f t="shared" si="1"/>
        <v>5800000</v>
      </c>
    </row>
    <row r="6" spans="1:15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2340000</v>
      </c>
      <c r="G6" s="222"/>
      <c r="H6" s="343">
        <v>1712579</v>
      </c>
      <c r="I6" s="443">
        <f t="shared" si="0"/>
        <v>0.7318713675213675</v>
      </c>
      <c r="J6" s="174">
        <f>H6/12*12</f>
        <v>1712579</v>
      </c>
      <c r="K6" s="174">
        <v>1668215</v>
      </c>
      <c r="L6" s="174">
        <v>1583575</v>
      </c>
      <c r="M6" s="173">
        <v>1509407</v>
      </c>
      <c r="N6" s="174">
        <v>1455000</v>
      </c>
      <c r="O6" s="174">
        <v>1698000</v>
      </c>
    </row>
    <row r="7" spans="1:15" s="29" customFormat="1" ht="12">
      <c r="A7" s="241"/>
      <c r="B7" s="27"/>
      <c r="C7" s="27"/>
      <c r="D7" s="28" t="s">
        <v>18</v>
      </c>
      <c r="E7" s="246">
        <v>4</v>
      </c>
      <c r="F7" s="222">
        <v>125000</v>
      </c>
      <c r="G7" s="222"/>
      <c r="H7" s="564">
        <v>100800</v>
      </c>
      <c r="I7" s="443">
        <f t="shared" si="0"/>
        <v>0.8064</v>
      </c>
      <c r="J7" s="174">
        <f aca="true" t="shared" si="2" ref="J7:J15">H7/12*12</f>
        <v>100800</v>
      </c>
      <c r="K7" s="174">
        <v>70517</v>
      </c>
      <c r="L7" s="174">
        <v>64142</v>
      </c>
      <c r="M7" s="173">
        <v>175585</v>
      </c>
      <c r="N7" s="174">
        <v>166000</v>
      </c>
      <c r="O7" s="174">
        <v>94000</v>
      </c>
    </row>
    <row r="8" spans="1:15" s="29" customFormat="1" ht="12">
      <c r="A8" s="241"/>
      <c r="B8" s="27"/>
      <c r="C8" s="27"/>
      <c r="D8" s="28" t="s">
        <v>19</v>
      </c>
      <c r="E8" s="246">
        <v>5</v>
      </c>
      <c r="F8" s="222">
        <v>933000</v>
      </c>
      <c r="G8" s="222"/>
      <c r="H8" s="343">
        <v>634684</v>
      </c>
      <c r="I8" s="443">
        <f t="shared" si="0"/>
        <v>0.6802615219721329</v>
      </c>
      <c r="J8" s="174">
        <f t="shared" si="2"/>
        <v>634684</v>
      </c>
      <c r="K8" s="174">
        <v>608556</v>
      </c>
      <c r="L8" s="174">
        <v>576701</v>
      </c>
      <c r="M8" s="173">
        <v>542895</v>
      </c>
      <c r="N8" s="174">
        <v>519000</v>
      </c>
      <c r="O8" s="174">
        <v>604000</v>
      </c>
    </row>
    <row r="9" spans="1:15" s="29" customFormat="1" ht="12">
      <c r="A9" s="241"/>
      <c r="B9" s="27"/>
      <c r="C9" s="27"/>
      <c r="D9" s="28" t="s">
        <v>0</v>
      </c>
      <c r="E9" s="246">
        <v>6</v>
      </c>
      <c r="F9" s="222">
        <v>171000</v>
      </c>
      <c r="G9" s="222"/>
      <c r="H9" s="343">
        <v>204406.8</v>
      </c>
      <c r="I9" s="443">
        <f t="shared" si="0"/>
        <v>1.1953614035087718</v>
      </c>
      <c r="J9" s="174">
        <f t="shared" si="2"/>
        <v>204406.8</v>
      </c>
      <c r="K9" s="174">
        <v>129512.19</v>
      </c>
      <c r="L9" s="174">
        <v>150935.4</v>
      </c>
      <c r="M9" s="173">
        <v>134235.9</v>
      </c>
      <c r="N9" s="174">
        <v>56000</v>
      </c>
      <c r="O9" s="174">
        <v>130000</v>
      </c>
    </row>
    <row r="10" spans="1:15" s="29" customFormat="1" ht="12">
      <c r="A10" s="241"/>
      <c r="B10" s="27"/>
      <c r="C10" s="27"/>
      <c r="D10" s="28" t="s">
        <v>1</v>
      </c>
      <c r="E10" s="246">
        <v>7</v>
      </c>
      <c r="F10" s="222">
        <v>250000</v>
      </c>
      <c r="G10" s="222"/>
      <c r="H10" s="343">
        <v>248525.9</v>
      </c>
      <c r="I10" s="443">
        <f t="shared" si="0"/>
        <v>0.9941036</v>
      </c>
      <c r="J10" s="174">
        <f t="shared" si="2"/>
        <v>248525.89999999997</v>
      </c>
      <c r="K10" s="174">
        <v>217599.26</v>
      </c>
      <c r="L10" s="174">
        <v>98024.86</v>
      </c>
      <c r="M10" s="173">
        <v>394254.06</v>
      </c>
      <c r="N10" s="174">
        <v>374000</v>
      </c>
      <c r="O10" s="174">
        <v>395000</v>
      </c>
    </row>
    <row r="11" spans="1:15" s="29" customFormat="1" ht="12">
      <c r="A11" s="241"/>
      <c r="B11" s="27"/>
      <c r="C11" s="27"/>
      <c r="D11" s="28" t="s">
        <v>2</v>
      </c>
      <c r="E11" s="246">
        <v>8</v>
      </c>
      <c r="F11" s="222">
        <v>2100000</v>
      </c>
      <c r="G11" s="222"/>
      <c r="H11" s="343">
        <v>1078538.26</v>
      </c>
      <c r="I11" s="443">
        <f t="shared" si="0"/>
        <v>0.5135896476190476</v>
      </c>
      <c r="J11" s="174">
        <f t="shared" si="2"/>
        <v>1078538.26</v>
      </c>
      <c r="K11" s="174">
        <v>1774361.62</v>
      </c>
      <c r="L11" s="174">
        <v>1747308.98</v>
      </c>
      <c r="M11" s="173">
        <v>1578758.65</v>
      </c>
      <c r="N11" s="174">
        <v>1548000</v>
      </c>
      <c r="O11" s="174">
        <v>1782000</v>
      </c>
    </row>
    <row r="12" spans="1:15" s="29" customFormat="1" ht="12">
      <c r="A12" s="241"/>
      <c r="B12" s="27"/>
      <c r="C12" s="27"/>
      <c r="D12" s="28" t="s">
        <v>3</v>
      </c>
      <c r="E12" s="246">
        <v>9</v>
      </c>
      <c r="F12" s="222">
        <v>1400000</v>
      </c>
      <c r="G12" s="223"/>
      <c r="H12" s="374">
        <v>882975.33</v>
      </c>
      <c r="I12" s="443">
        <f t="shared" si="0"/>
        <v>0.6306966642857142</v>
      </c>
      <c r="J12" s="550">
        <f>H12/12*12</f>
        <v>882975.33</v>
      </c>
      <c r="K12" s="174">
        <v>986794.65</v>
      </c>
      <c r="L12" s="174">
        <v>770909.39</v>
      </c>
      <c r="M12" s="173">
        <v>-1056456.58</v>
      </c>
      <c r="N12" s="174">
        <v>560000</v>
      </c>
      <c r="O12" s="174">
        <v>675000</v>
      </c>
    </row>
    <row r="13" spans="1:15" s="29" customFormat="1" ht="12">
      <c r="A13" s="241"/>
      <c r="B13" s="27"/>
      <c r="C13" s="27"/>
      <c r="D13" s="28" t="s">
        <v>4</v>
      </c>
      <c r="E13" s="246">
        <v>10</v>
      </c>
      <c r="F13" s="222"/>
      <c r="G13" s="222"/>
      <c r="H13" s="343"/>
      <c r="I13" s="443"/>
      <c r="J13" s="174">
        <f t="shared" si="2"/>
        <v>0</v>
      </c>
      <c r="K13" s="174">
        <v>40</v>
      </c>
      <c r="L13" s="174"/>
      <c r="M13" s="173"/>
      <c r="N13" s="174">
        <v>1000</v>
      </c>
      <c r="O13" s="174"/>
    </row>
    <row r="14" spans="1:15" s="29" customFormat="1" ht="13.5">
      <c r="A14" s="241"/>
      <c r="B14" s="27"/>
      <c r="C14" s="27"/>
      <c r="D14" s="28" t="s">
        <v>178</v>
      </c>
      <c r="E14" s="246">
        <v>11</v>
      </c>
      <c r="F14" s="222">
        <v>700000</v>
      </c>
      <c r="G14" s="222"/>
      <c r="H14" s="343">
        <v>377184.1</v>
      </c>
      <c r="I14" s="443">
        <f t="shared" si="0"/>
        <v>0.5388344285714285</v>
      </c>
      <c r="J14" s="174">
        <f>H14/12*12</f>
        <v>377184.1</v>
      </c>
      <c r="K14" s="174">
        <v>475442</v>
      </c>
      <c r="L14" s="174">
        <v>418518</v>
      </c>
      <c r="M14" s="173">
        <v>1050547</v>
      </c>
      <c r="N14" s="174">
        <v>502000</v>
      </c>
      <c r="O14" s="174">
        <v>422000</v>
      </c>
    </row>
    <row r="15" spans="1:15" s="29" customFormat="1" ht="12">
      <c r="A15" s="241"/>
      <c r="B15" s="27"/>
      <c r="C15" s="27"/>
      <c r="D15" s="28" t="s">
        <v>6</v>
      </c>
      <c r="E15" s="246">
        <v>12</v>
      </c>
      <c r="F15" s="222"/>
      <c r="G15" s="222"/>
      <c r="H15" s="343"/>
      <c r="I15" s="443"/>
      <c r="J15" s="174">
        <f t="shared" si="2"/>
        <v>0</v>
      </c>
      <c r="K15" s="174"/>
      <c r="L15" s="174"/>
      <c r="M15" s="173"/>
      <c r="N15" s="174"/>
      <c r="O15" s="174"/>
    </row>
    <row r="16" spans="1:15" s="29" customFormat="1" ht="12">
      <c r="A16" s="241"/>
      <c r="B16" s="28"/>
      <c r="C16" s="28"/>
      <c r="D16" s="28" t="s">
        <v>9</v>
      </c>
      <c r="E16" s="246">
        <v>13</v>
      </c>
      <c r="F16" s="222">
        <v>45000</v>
      </c>
      <c r="G16" s="222"/>
      <c r="H16" s="343">
        <v>-5064340.44</v>
      </c>
      <c r="I16" s="443"/>
      <c r="J16" s="550">
        <f>H16/12*12</f>
        <v>-5064340.44</v>
      </c>
      <c r="K16" s="174">
        <v>-5701155.69</v>
      </c>
      <c r="L16" s="174">
        <v>-5412958.33</v>
      </c>
      <c r="M16" s="173">
        <v>-4020062.75</v>
      </c>
      <c r="N16" s="174">
        <v>28000</v>
      </c>
      <c r="O16" s="174"/>
    </row>
    <row r="17" spans="1:15" s="5" customFormat="1" ht="12">
      <c r="A17" s="240"/>
      <c r="B17" s="4" t="s">
        <v>14</v>
      </c>
      <c r="C17" s="3"/>
      <c r="D17" s="3"/>
      <c r="E17" s="246">
        <v>14</v>
      </c>
      <c r="F17" s="289"/>
      <c r="G17" s="224"/>
      <c r="H17" s="274"/>
      <c r="I17" s="444"/>
      <c r="J17" s="187">
        <f aca="true" t="shared" si="3" ref="J17:J41">H17</f>
        <v>0</v>
      </c>
      <c r="K17" s="192"/>
      <c r="L17" s="192"/>
      <c r="M17" s="214"/>
      <c r="N17" s="192"/>
      <c r="O17" s="192"/>
    </row>
    <row r="18" spans="1:15" s="5" customFormat="1" ht="12">
      <c r="A18" s="240"/>
      <c r="B18" s="4" t="s">
        <v>15</v>
      </c>
      <c r="C18" s="3"/>
      <c r="D18" s="3"/>
      <c r="E18" s="246">
        <v>15</v>
      </c>
      <c r="F18" s="289"/>
      <c r="G18" s="224"/>
      <c r="H18" s="274"/>
      <c r="I18" s="444"/>
      <c r="J18" s="187">
        <f t="shared" si="3"/>
        <v>0</v>
      </c>
      <c r="K18" s="192"/>
      <c r="L18" s="192"/>
      <c r="M18" s="214"/>
      <c r="N18" s="192"/>
      <c r="O18" s="192"/>
    </row>
    <row r="19" spans="1:15" s="5" customFormat="1" ht="12">
      <c r="A19" s="240"/>
      <c r="B19" s="4" t="s">
        <v>20</v>
      </c>
      <c r="C19" s="3"/>
      <c r="D19" s="3"/>
      <c r="E19" s="246">
        <v>16</v>
      </c>
      <c r="F19" s="289"/>
      <c r="G19" s="224"/>
      <c r="H19" s="274"/>
      <c r="I19" s="444"/>
      <c r="J19" s="187">
        <f t="shared" si="3"/>
        <v>0</v>
      </c>
      <c r="K19" s="192"/>
      <c r="L19" s="192"/>
      <c r="M19" s="214"/>
      <c r="N19" s="192"/>
      <c r="O19" s="192"/>
    </row>
    <row r="20" spans="1:15" s="5" customFormat="1" ht="12">
      <c r="A20" s="240"/>
      <c r="B20" s="4" t="s">
        <v>16</v>
      </c>
      <c r="C20" s="3"/>
      <c r="D20" s="3"/>
      <c r="E20" s="246">
        <v>17</v>
      </c>
      <c r="F20" s="289"/>
      <c r="G20" s="224"/>
      <c r="H20" s="274"/>
      <c r="I20" s="444"/>
      <c r="J20" s="187">
        <f t="shared" si="3"/>
        <v>0</v>
      </c>
      <c r="K20" s="192"/>
      <c r="L20" s="192"/>
      <c r="M20" s="214"/>
      <c r="N20" s="192"/>
      <c r="O20" s="192"/>
    </row>
    <row r="21" spans="1:15" s="5" customFormat="1" ht="12">
      <c r="A21" s="240"/>
      <c r="B21" s="4" t="s">
        <v>24</v>
      </c>
      <c r="C21" s="4"/>
      <c r="D21" s="4"/>
      <c r="E21" s="246">
        <v>18</v>
      </c>
      <c r="F21" s="289"/>
      <c r="G21" s="224"/>
      <c r="H21" s="274"/>
      <c r="I21" s="444"/>
      <c r="J21" s="187">
        <f t="shared" si="3"/>
        <v>0</v>
      </c>
      <c r="K21" s="192"/>
      <c r="L21" s="192"/>
      <c r="M21" s="214"/>
      <c r="N21" s="192"/>
      <c r="O21" s="192"/>
    </row>
    <row r="22" spans="1:15" s="5" customFormat="1" ht="12">
      <c r="A22" s="240"/>
      <c r="B22" s="4" t="s">
        <v>31</v>
      </c>
      <c r="C22" s="4"/>
      <c r="D22" s="4"/>
      <c r="E22" s="246">
        <v>19</v>
      </c>
      <c r="F22" s="289"/>
      <c r="G22" s="224"/>
      <c r="H22" s="274"/>
      <c r="I22" s="444"/>
      <c r="J22" s="187">
        <f t="shared" si="3"/>
        <v>0</v>
      </c>
      <c r="K22" s="192"/>
      <c r="L22" s="192"/>
      <c r="M22" s="214"/>
      <c r="N22" s="192"/>
      <c r="O22" s="192"/>
    </row>
    <row r="23" spans="1:15" s="5" customFormat="1" ht="12">
      <c r="A23" s="240"/>
      <c r="B23" s="4" t="s">
        <v>25</v>
      </c>
      <c r="C23" s="4"/>
      <c r="D23" s="4"/>
      <c r="E23" s="246">
        <v>20</v>
      </c>
      <c r="F23" s="289"/>
      <c r="G23" s="224"/>
      <c r="H23" s="274"/>
      <c r="I23" s="444"/>
      <c r="J23" s="187">
        <f t="shared" si="3"/>
        <v>0</v>
      </c>
      <c r="K23" s="192"/>
      <c r="L23" s="192"/>
      <c r="M23" s="214"/>
      <c r="N23" s="192"/>
      <c r="O23" s="192"/>
    </row>
    <row r="24" spans="1:15" s="5" customFormat="1" ht="12">
      <c r="A24" s="240"/>
      <c r="B24" s="4" t="s">
        <v>26</v>
      </c>
      <c r="C24" s="4"/>
      <c r="D24" s="4"/>
      <c r="E24" s="246">
        <v>21</v>
      </c>
      <c r="F24" s="289"/>
      <c r="G24" s="224"/>
      <c r="H24" s="274"/>
      <c r="I24" s="444"/>
      <c r="J24" s="187">
        <f t="shared" si="3"/>
        <v>0</v>
      </c>
      <c r="K24" s="192"/>
      <c r="L24" s="192"/>
      <c r="M24" s="214"/>
      <c r="N24" s="192"/>
      <c r="O24" s="192"/>
    </row>
    <row r="25" spans="1:15" s="5" customFormat="1" ht="12">
      <c r="A25" s="240"/>
      <c r="B25" s="4" t="s">
        <v>27</v>
      </c>
      <c r="C25" s="4"/>
      <c r="D25" s="4"/>
      <c r="E25" s="246">
        <v>22</v>
      </c>
      <c r="F25" s="289"/>
      <c r="G25" s="224"/>
      <c r="H25" s="274"/>
      <c r="I25" s="444"/>
      <c r="J25" s="187">
        <f t="shared" si="3"/>
        <v>0</v>
      </c>
      <c r="K25" s="192"/>
      <c r="L25" s="192"/>
      <c r="M25" s="214"/>
      <c r="N25" s="192"/>
      <c r="O25" s="192"/>
    </row>
    <row r="26" spans="1:15" s="5" customFormat="1" ht="12">
      <c r="A26" s="240"/>
      <c r="B26" s="95" t="s">
        <v>30</v>
      </c>
      <c r="C26" s="95"/>
      <c r="D26" s="95"/>
      <c r="E26" s="246">
        <v>23</v>
      </c>
      <c r="F26" s="289"/>
      <c r="G26" s="224"/>
      <c r="H26" s="274">
        <v>841366.35</v>
      </c>
      <c r="I26" s="444"/>
      <c r="J26" s="187">
        <f>H26/12*12</f>
        <v>841366.3500000001</v>
      </c>
      <c r="K26" s="192">
        <v>1171369.49</v>
      </c>
      <c r="L26" s="192">
        <v>1098769.15</v>
      </c>
      <c r="M26" s="214">
        <v>594833.15</v>
      </c>
      <c r="N26" s="192">
        <v>792000</v>
      </c>
      <c r="O26" s="192"/>
    </row>
    <row r="27" spans="1:15" ht="12.75">
      <c r="A27" s="239" t="s">
        <v>158</v>
      </c>
      <c r="B27" s="171"/>
      <c r="C27" s="171"/>
      <c r="D27" s="171"/>
      <c r="E27" s="245">
        <v>24</v>
      </c>
      <c r="F27" s="255">
        <f>SUM(F28:F42)</f>
        <v>8110000</v>
      </c>
      <c r="G27" s="221">
        <f>SUM(G28:G42)</f>
        <v>0</v>
      </c>
      <c r="H27" s="342">
        <f>SUM(H28:H42)</f>
        <v>1041912.1300000001</v>
      </c>
      <c r="I27" s="442">
        <f>H27/F27</f>
        <v>0.12847251911220717</v>
      </c>
      <c r="J27" s="322">
        <f aca="true" t="shared" si="4" ref="J27:O27">SUM(J28:J42)</f>
        <v>1041912.1299999999</v>
      </c>
      <c r="K27" s="221">
        <f t="shared" si="4"/>
        <v>1435780.1</v>
      </c>
      <c r="L27" s="221">
        <f t="shared" si="4"/>
        <v>1142278.24</v>
      </c>
      <c r="M27" s="380">
        <f t="shared" si="4"/>
        <v>912403.51</v>
      </c>
      <c r="N27" s="221">
        <f t="shared" si="4"/>
        <v>6016000</v>
      </c>
      <c r="O27" s="221">
        <f t="shared" si="4"/>
        <v>5816000</v>
      </c>
    </row>
    <row r="28" spans="1:15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/>
      <c r="G28" s="337"/>
      <c r="H28" s="375"/>
      <c r="I28" s="444"/>
      <c r="J28" s="354">
        <f t="shared" si="3"/>
        <v>0</v>
      </c>
      <c r="K28" s="192"/>
      <c r="L28" s="192"/>
      <c r="M28" s="214"/>
      <c r="N28" s="192"/>
      <c r="O28" s="192"/>
    </row>
    <row r="29" spans="1:15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444"/>
      <c r="J29" s="323">
        <f t="shared" si="3"/>
        <v>0</v>
      </c>
      <c r="K29" s="326"/>
      <c r="L29" s="326"/>
      <c r="M29" s="353"/>
      <c r="N29" s="326"/>
      <c r="O29" s="326"/>
    </row>
    <row r="30" spans="1:15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364"/>
      <c r="I30" s="444"/>
      <c r="J30" s="323">
        <f t="shared" si="3"/>
        <v>0</v>
      </c>
      <c r="K30" s="326"/>
      <c r="L30" s="326"/>
      <c r="M30" s="353"/>
      <c r="N30" s="326"/>
      <c r="O30" s="326"/>
    </row>
    <row r="31" spans="1:15" s="5" customFormat="1" ht="12">
      <c r="A31" s="240"/>
      <c r="B31" s="4" t="s">
        <v>20</v>
      </c>
      <c r="C31" s="3"/>
      <c r="D31" s="3"/>
      <c r="E31" s="246">
        <v>28</v>
      </c>
      <c r="F31" s="292"/>
      <c r="G31" s="326"/>
      <c r="H31" s="364"/>
      <c r="I31" s="444"/>
      <c r="J31" s="323">
        <f t="shared" si="3"/>
        <v>0</v>
      </c>
      <c r="K31" s="326"/>
      <c r="L31" s="326"/>
      <c r="M31" s="353"/>
      <c r="N31" s="326"/>
      <c r="O31" s="326"/>
    </row>
    <row r="32" spans="1:15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444"/>
      <c r="J32" s="323">
        <f t="shared" si="3"/>
        <v>0</v>
      </c>
      <c r="K32" s="326"/>
      <c r="L32" s="326"/>
      <c r="M32" s="353"/>
      <c r="N32" s="326"/>
      <c r="O32" s="326"/>
    </row>
    <row r="33" spans="1:15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364"/>
      <c r="I33" s="444"/>
      <c r="J33" s="323">
        <f t="shared" si="3"/>
        <v>0</v>
      </c>
      <c r="K33" s="326"/>
      <c r="L33" s="326"/>
      <c r="M33" s="353"/>
      <c r="N33" s="326"/>
      <c r="O33" s="326"/>
    </row>
    <row r="34" spans="1:15" s="5" customFormat="1" ht="12">
      <c r="A34" s="240"/>
      <c r="B34" s="4" t="s">
        <v>24</v>
      </c>
      <c r="C34" s="4"/>
      <c r="D34" s="4"/>
      <c r="E34" s="246">
        <v>31</v>
      </c>
      <c r="F34" s="292"/>
      <c r="G34" s="326"/>
      <c r="H34" s="364"/>
      <c r="I34" s="444"/>
      <c r="J34" s="323">
        <f t="shared" si="3"/>
        <v>0</v>
      </c>
      <c r="K34" s="326"/>
      <c r="L34" s="326"/>
      <c r="M34" s="353"/>
      <c r="N34" s="326"/>
      <c r="O34" s="326"/>
    </row>
    <row r="35" spans="1:15" s="5" customFormat="1" ht="12">
      <c r="A35" s="240"/>
      <c r="B35" s="4" t="s">
        <v>31</v>
      </c>
      <c r="C35" s="4"/>
      <c r="D35" s="4"/>
      <c r="E35" s="246">
        <v>32</v>
      </c>
      <c r="F35" s="292"/>
      <c r="G35" s="326"/>
      <c r="H35" s="364"/>
      <c r="I35" s="444"/>
      <c r="J35" s="323">
        <f t="shared" si="3"/>
        <v>0</v>
      </c>
      <c r="K35" s="326"/>
      <c r="L35" s="326"/>
      <c r="M35" s="353"/>
      <c r="N35" s="326"/>
      <c r="O35" s="326"/>
    </row>
    <row r="36" spans="1:15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444"/>
      <c r="J36" s="323">
        <f t="shared" si="3"/>
        <v>0</v>
      </c>
      <c r="K36" s="326"/>
      <c r="L36" s="326"/>
      <c r="M36" s="353"/>
      <c r="N36" s="326"/>
      <c r="O36" s="326"/>
    </row>
    <row r="37" spans="1:15" s="5" customFormat="1" ht="12">
      <c r="A37" s="240"/>
      <c r="B37" s="4" t="s">
        <v>25</v>
      </c>
      <c r="C37" s="4"/>
      <c r="D37" s="4"/>
      <c r="E37" s="246">
        <v>34</v>
      </c>
      <c r="F37" s="292"/>
      <c r="G37" s="326"/>
      <c r="H37" s="364"/>
      <c r="I37" s="444"/>
      <c r="J37" s="323">
        <f t="shared" si="3"/>
        <v>0</v>
      </c>
      <c r="K37" s="326"/>
      <c r="L37" s="326"/>
      <c r="M37" s="353"/>
      <c r="N37" s="326"/>
      <c r="O37" s="326"/>
    </row>
    <row r="38" spans="1:15" s="5" customFormat="1" ht="12">
      <c r="A38" s="240"/>
      <c r="B38" s="4" t="s">
        <v>26</v>
      </c>
      <c r="C38" s="4"/>
      <c r="D38" s="4"/>
      <c r="E38" s="246">
        <v>35</v>
      </c>
      <c r="F38" s="292"/>
      <c r="G38" s="326"/>
      <c r="H38" s="364"/>
      <c r="I38" s="444"/>
      <c r="J38" s="323">
        <f t="shared" si="3"/>
        <v>0</v>
      </c>
      <c r="K38" s="326"/>
      <c r="L38" s="326"/>
      <c r="M38" s="353"/>
      <c r="N38" s="326"/>
      <c r="O38" s="326"/>
    </row>
    <row r="39" spans="1:15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364"/>
      <c r="I39" s="444"/>
      <c r="J39" s="323">
        <f t="shared" si="3"/>
        <v>0</v>
      </c>
      <c r="K39" s="326"/>
      <c r="L39" s="326"/>
      <c r="M39" s="353"/>
      <c r="N39" s="326"/>
      <c r="O39" s="326"/>
    </row>
    <row r="40" spans="1:15" s="5" customFormat="1" ht="13.5">
      <c r="A40" s="240"/>
      <c r="B40" s="4" t="s">
        <v>180</v>
      </c>
      <c r="C40" s="4"/>
      <c r="D40" s="4"/>
      <c r="E40" s="246">
        <v>37</v>
      </c>
      <c r="F40" s="292">
        <v>8110000</v>
      </c>
      <c r="G40" s="326"/>
      <c r="H40" s="364">
        <v>61670.2</v>
      </c>
      <c r="I40" s="444">
        <f>H40/F40</f>
        <v>0.0076042170160295925</v>
      </c>
      <c r="J40" s="323">
        <f>(H40+0)/12*12</f>
        <v>61670.2</v>
      </c>
      <c r="K40" s="326">
        <v>96211.8</v>
      </c>
      <c r="L40" s="326">
        <v>11689.3</v>
      </c>
      <c r="M40" s="353">
        <v>46501.44</v>
      </c>
      <c r="N40" s="326">
        <v>5213000</v>
      </c>
      <c r="O40" s="326">
        <v>5816000</v>
      </c>
    </row>
    <row r="41" spans="1:15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364">
        <v>103950</v>
      </c>
      <c r="I41" s="444"/>
      <c r="J41" s="323">
        <f t="shared" si="3"/>
        <v>103950</v>
      </c>
      <c r="K41" s="326">
        <v>140000</v>
      </c>
      <c r="L41" s="326"/>
      <c r="M41" s="353">
        <v>262660</v>
      </c>
      <c r="N41" s="326"/>
      <c r="O41" s="326"/>
    </row>
    <row r="42" spans="1:15" s="5" customFormat="1" ht="12">
      <c r="A42" s="240"/>
      <c r="B42" s="4" t="s">
        <v>30</v>
      </c>
      <c r="C42" s="4"/>
      <c r="D42" s="4"/>
      <c r="E42" s="246">
        <v>39</v>
      </c>
      <c r="F42" s="292"/>
      <c r="G42" s="326"/>
      <c r="H42" s="364">
        <v>876291.93</v>
      </c>
      <c r="I42" s="444"/>
      <c r="J42" s="323">
        <f>H42/12*12</f>
        <v>876291.9299999999</v>
      </c>
      <c r="K42" s="326">
        <v>1199568.3</v>
      </c>
      <c r="L42" s="326">
        <v>1130588.94</v>
      </c>
      <c r="M42" s="353">
        <v>603242.07</v>
      </c>
      <c r="N42" s="326">
        <v>803000</v>
      </c>
      <c r="O42" s="326"/>
    </row>
    <row r="43" spans="1:15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46000</v>
      </c>
      <c r="G43" s="325"/>
      <c r="H43" s="347">
        <v>-85781.32</v>
      </c>
      <c r="I43" s="445"/>
      <c r="J43" s="324">
        <f>J28+J33+J36+J40+J41+J42-J5-J26</f>
        <v>25192.83000000054</v>
      </c>
      <c r="K43" s="227"/>
      <c r="L43" s="227"/>
      <c r="M43" s="211"/>
      <c r="N43" s="227">
        <f>N28+N33+N36+N40+N41+N42-N26-N5</f>
        <v>15000</v>
      </c>
      <c r="O43" s="227">
        <f>O28+O33+O36+O40+O41+O42-O26-O5</f>
        <v>16000</v>
      </c>
    </row>
    <row r="44" spans="1:15" ht="12.75">
      <c r="A44" s="239" t="s">
        <v>165</v>
      </c>
      <c r="B44" s="171"/>
      <c r="C44" s="171"/>
      <c r="D44" s="171"/>
      <c r="E44" s="245">
        <v>40</v>
      </c>
      <c r="F44" s="255">
        <f>F27-F4</f>
        <v>46000</v>
      </c>
      <c r="G44" s="373"/>
      <c r="H44" s="342">
        <f>H27-H4</f>
        <v>25192.83000000089</v>
      </c>
      <c r="I44" s="442">
        <f>H44/F44</f>
        <v>0.5476702173913237</v>
      </c>
      <c r="J44" s="322">
        <f aca="true" t="shared" si="5" ref="J44:O44">J27-J4</f>
        <v>25192.83000000054</v>
      </c>
      <c r="K44" s="221">
        <f t="shared" si="5"/>
        <v>34528.57999999984</v>
      </c>
      <c r="L44" s="221">
        <f t="shared" si="5"/>
        <v>46352.79000000027</v>
      </c>
      <c r="M44" s="380">
        <f t="shared" si="5"/>
        <v>8407.080000000657</v>
      </c>
      <c r="N44" s="221">
        <f t="shared" si="5"/>
        <v>15000</v>
      </c>
      <c r="O44" s="221">
        <f t="shared" si="5"/>
        <v>16000</v>
      </c>
    </row>
    <row r="45" spans="1:11" s="89" customFormat="1" ht="11.25">
      <c r="A45" s="90" t="s">
        <v>167</v>
      </c>
      <c r="F45" s="90"/>
      <c r="G45" s="90"/>
      <c r="H45" s="90"/>
      <c r="I45" s="410"/>
      <c r="J45" s="90"/>
      <c r="K45" s="90"/>
    </row>
    <row r="46" spans="1:11" s="89" customFormat="1" ht="11.25">
      <c r="A46" s="210" t="s">
        <v>141</v>
      </c>
      <c r="B46" s="90"/>
      <c r="C46" s="90"/>
      <c r="D46" s="90"/>
      <c r="E46" s="90"/>
      <c r="F46" s="91">
        <f>SUM(F47:F48)</f>
        <v>446000</v>
      </c>
      <c r="G46" s="91"/>
      <c r="H46" s="91"/>
      <c r="I46" s="411"/>
      <c r="J46" s="91"/>
      <c r="K46" s="90"/>
    </row>
    <row r="47" spans="1:11" s="89" customFormat="1" ht="11.25">
      <c r="A47" s="142" t="s">
        <v>142</v>
      </c>
      <c r="B47" s="90"/>
      <c r="C47" s="90"/>
      <c r="D47" s="90"/>
      <c r="E47" s="90"/>
      <c r="F47" s="91">
        <v>363000</v>
      </c>
      <c r="G47" s="91"/>
      <c r="H47" s="91"/>
      <c r="I47" s="411"/>
      <c r="J47" s="91"/>
      <c r="K47" s="91"/>
    </row>
    <row r="48" spans="1:11" s="89" customFormat="1" ht="11.25">
      <c r="A48" s="142" t="s">
        <v>143</v>
      </c>
      <c r="B48" s="90"/>
      <c r="C48" s="90"/>
      <c r="D48" s="90"/>
      <c r="E48" s="90"/>
      <c r="F48" s="91">
        <v>83000</v>
      </c>
      <c r="G48" s="91"/>
      <c r="H48" s="91"/>
      <c r="I48" s="411"/>
      <c r="J48" s="91"/>
      <c r="K48" s="91"/>
    </row>
    <row r="49" spans="1:11" ht="12.75">
      <c r="A49" s="142" t="s">
        <v>145</v>
      </c>
      <c r="B49" s="90"/>
      <c r="C49" s="90"/>
      <c r="D49" s="90"/>
      <c r="E49" s="90"/>
      <c r="F49" s="91"/>
      <c r="G49" s="91"/>
      <c r="H49" s="91"/>
      <c r="I49" s="411"/>
      <c r="J49" s="91"/>
      <c r="K49" s="91"/>
    </row>
    <row r="50" spans="1:11" ht="12.75">
      <c r="A50" s="90" t="s">
        <v>170</v>
      </c>
      <c r="B50" s="90"/>
      <c r="C50" s="90"/>
      <c r="D50" s="90"/>
      <c r="E50" s="90"/>
      <c r="F50" s="91">
        <v>0</v>
      </c>
      <c r="G50" s="91"/>
      <c r="H50" s="91"/>
      <c r="I50" s="411"/>
      <c r="J50" s="91"/>
      <c r="K50" s="91"/>
    </row>
    <row r="51" spans="1:10" ht="12.75">
      <c r="A51" s="90" t="s">
        <v>146</v>
      </c>
      <c r="B51" s="90"/>
      <c r="C51" s="90"/>
      <c r="D51" s="90"/>
      <c r="E51" s="89"/>
      <c r="F51" s="91">
        <v>0</v>
      </c>
      <c r="G51" s="91"/>
      <c r="H51" s="91"/>
      <c r="I51" s="411"/>
      <c r="J51" s="91"/>
    </row>
    <row r="52" spans="1:10" ht="12.75">
      <c r="A52" s="90" t="s">
        <v>171</v>
      </c>
      <c r="B52" s="90"/>
      <c r="C52" s="90"/>
      <c r="D52" s="90"/>
      <c r="E52" s="89"/>
      <c r="F52" s="91">
        <v>0</v>
      </c>
      <c r="G52" s="91"/>
      <c r="H52" s="91"/>
      <c r="I52" s="411"/>
      <c r="J52" s="91"/>
    </row>
    <row r="53" spans="1:10" ht="12.75">
      <c r="A53" s="90" t="s">
        <v>169</v>
      </c>
      <c r="B53" s="90"/>
      <c r="C53" s="90"/>
      <c r="D53" s="90"/>
      <c r="E53" s="89"/>
      <c r="F53" s="89"/>
      <c r="G53" s="89"/>
      <c r="H53" s="89"/>
      <c r="I53" s="413"/>
      <c r="J53" s="89"/>
    </row>
    <row r="54" spans="1:10" ht="12.75">
      <c r="A54" s="90"/>
      <c r="B54" s="90"/>
      <c r="C54" s="90"/>
      <c r="D54" s="90"/>
      <c r="E54" s="89"/>
      <c r="F54" s="89"/>
      <c r="G54" s="89"/>
      <c r="H54" s="89"/>
      <c r="I54" s="413"/>
      <c r="J54" s="89"/>
    </row>
  </sheetData>
  <mergeCells count="1">
    <mergeCell ref="A1:D1"/>
  </mergeCells>
  <printOptions horizontalCentered="1"/>
  <pageMargins left="0.41" right="0.31496062992125984" top="0.37" bottom="0.16" header="0.27" footer="0.25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2"/>
  <dimension ref="A1:R54"/>
  <sheetViews>
    <sheetView workbookViewId="0" topLeftCell="A1">
      <selection activeCell="D7" sqref="D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8.75390625" style="89" bestFit="1" customWidth="1"/>
    <col min="8" max="8" width="10.75390625" style="2" customWidth="1"/>
    <col min="9" max="9" width="5.875" style="446" bestFit="1" customWidth="1"/>
    <col min="10" max="10" width="10.75390625" style="2" hidden="1" customWidth="1"/>
    <col min="11" max="11" width="9.25390625" style="89" bestFit="1" customWidth="1"/>
    <col min="12" max="13" width="9.25390625" style="0" bestFit="1" customWidth="1"/>
    <col min="14" max="15" width="8.75390625" style="0" bestFit="1" customWidth="1"/>
    <col min="16" max="16" width="6.875" style="0" customWidth="1"/>
    <col min="17" max="17" width="3.125" style="0" customWidth="1"/>
    <col min="18" max="18" width="5.375" style="89" customWidth="1"/>
  </cols>
  <sheetData>
    <row r="1" spans="1:16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371" t="s">
        <v>8</v>
      </c>
      <c r="I1" s="356" t="s">
        <v>196</v>
      </c>
      <c r="J1" s="382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</row>
    <row r="2" spans="1:18" s="7" customFormat="1" ht="12.75">
      <c r="A2" s="237" t="s">
        <v>39</v>
      </c>
      <c r="B2" s="44"/>
      <c r="C2" s="44"/>
      <c r="D2" s="45" t="s">
        <v>45</v>
      </c>
      <c r="E2" s="243" t="s">
        <v>21</v>
      </c>
      <c r="F2" s="254">
        <v>2006</v>
      </c>
      <c r="G2" s="219" t="s">
        <v>198</v>
      </c>
      <c r="H2" s="340" t="s">
        <v>223</v>
      </c>
      <c r="I2" s="357" t="s">
        <v>199</v>
      </c>
      <c r="J2" s="336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  <c r="R2" s="89"/>
    </row>
    <row r="3" spans="1:18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341">
        <v>2</v>
      </c>
      <c r="I3" s="220" t="s">
        <v>201</v>
      </c>
      <c r="J3" s="341">
        <v>3</v>
      </c>
      <c r="K3" s="220">
        <v>4</v>
      </c>
      <c r="L3" s="381"/>
      <c r="M3" s="381"/>
      <c r="N3" s="381"/>
      <c r="O3" s="381"/>
      <c r="R3" s="89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24230715</v>
      </c>
      <c r="G4" s="221">
        <f>SUM(G6:G26)</f>
        <v>2223095</v>
      </c>
      <c r="H4" s="342">
        <f>SUM(H6:H26)</f>
        <v>27858485.96</v>
      </c>
      <c r="I4" s="442">
        <f aca="true" t="shared" si="0" ref="I4:I14">H4/F4</f>
        <v>1.1497178667653845</v>
      </c>
      <c r="J4" s="380">
        <f aca="true" t="shared" si="1" ref="J4:O4">SUM(J6:J26)</f>
        <v>27858485.96</v>
      </c>
      <c r="K4" s="221">
        <f t="shared" si="1"/>
        <v>21198265.630000003</v>
      </c>
      <c r="L4" s="221">
        <f t="shared" si="1"/>
        <v>20063586.55</v>
      </c>
      <c r="M4" s="221">
        <f t="shared" si="1"/>
        <v>17957755.55</v>
      </c>
      <c r="N4" s="221">
        <f t="shared" si="1"/>
        <v>15942000</v>
      </c>
      <c r="O4" s="221">
        <f t="shared" si="1"/>
        <v>12729000</v>
      </c>
    </row>
    <row r="5" spans="1:18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22318000</v>
      </c>
      <c r="G5" s="192">
        <f>SUM(G6:G16)</f>
        <v>0</v>
      </c>
      <c r="H5" s="266">
        <f>SUM(H6:H16)</f>
        <v>23079765.86</v>
      </c>
      <c r="I5" s="443">
        <f t="shared" si="0"/>
        <v>1.0341323532574602</v>
      </c>
      <c r="J5" s="214">
        <f aca="true" t="shared" si="2" ref="J5:O5">SUM(J6:J16)</f>
        <v>23079765.86</v>
      </c>
      <c r="K5" s="192">
        <f t="shared" si="2"/>
        <v>19606682.020000003</v>
      </c>
      <c r="L5" s="192">
        <f t="shared" si="2"/>
        <v>18654386.55</v>
      </c>
      <c r="M5" s="192">
        <f t="shared" si="2"/>
        <v>17114872.85</v>
      </c>
      <c r="N5" s="192">
        <f t="shared" si="2"/>
        <v>15062000</v>
      </c>
      <c r="O5" s="192">
        <f t="shared" si="2"/>
        <v>12707000</v>
      </c>
      <c r="R5" s="89"/>
    </row>
    <row r="6" spans="1:18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14471000</v>
      </c>
      <c r="G6" s="174"/>
      <c r="H6" s="343">
        <v>15432530</v>
      </c>
      <c r="I6" s="443">
        <f t="shared" si="0"/>
        <v>1.0664453044019073</v>
      </c>
      <c r="J6" s="174">
        <f>H6/12*12</f>
        <v>15432530</v>
      </c>
      <c r="K6" s="174">
        <v>12978623</v>
      </c>
      <c r="L6" s="174">
        <v>12551942</v>
      </c>
      <c r="M6" s="174">
        <v>11209180</v>
      </c>
      <c r="N6" s="174">
        <v>9939000</v>
      </c>
      <c r="O6" s="174">
        <v>8087000</v>
      </c>
      <c r="R6" s="91"/>
    </row>
    <row r="7" spans="1:18" s="29" customFormat="1" ht="12">
      <c r="A7" s="241"/>
      <c r="B7" s="27"/>
      <c r="C7" s="27"/>
      <c r="D7" s="28" t="s">
        <v>18</v>
      </c>
      <c r="E7" s="246">
        <v>4</v>
      </c>
      <c r="F7" s="222">
        <v>836000</v>
      </c>
      <c r="G7" s="174"/>
      <c r="H7" s="564">
        <v>729900</v>
      </c>
      <c r="I7" s="443">
        <f t="shared" si="0"/>
        <v>0.8730861244019139</v>
      </c>
      <c r="J7" s="174">
        <f aca="true" t="shared" si="3" ref="J7:J15">H7/12*12</f>
        <v>729900</v>
      </c>
      <c r="K7" s="174">
        <v>759922</v>
      </c>
      <c r="L7" s="174">
        <v>440110</v>
      </c>
      <c r="M7" s="174">
        <v>329650</v>
      </c>
      <c r="N7" s="174">
        <v>262000</v>
      </c>
      <c r="O7" s="174">
        <v>660000</v>
      </c>
      <c r="R7" s="91"/>
    </row>
    <row r="8" spans="1:18" s="29" customFormat="1" ht="12">
      <c r="A8" s="241"/>
      <c r="B8" s="27"/>
      <c r="C8" s="27"/>
      <c r="D8" s="28" t="s">
        <v>19</v>
      </c>
      <c r="E8" s="246">
        <v>5</v>
      </c>
      <c r="F8" s="222">
        <v>5571000</v>
      </c>
      <c r="G8" s="174"/>
      <c r="H8" s="343">
        <v>5628863</v>
      </c>
      <c r="I8" s="443">
        <f t="shared" si="0"/>
        <v>1.010386465625561</v>
      </c>
      <c r="J8" s="174">
        <f t="shared" si="3"/>
        <v>5628863</v>
      </c>
      <c r="K8" s="174">
        <v>4725089</v>
      </c>
      <c r="L8" s="174">
        <v>4453962</v>
      </c>
      <c r="M8" s="174">
        <v>3914245</v>
      </c>
      <c r="N8" s="174">
        <v>3471000</v>
      </c>
      <c r="O8" s="174">
        <v>2992000</v>
      </c>
      <c r="R8" s="91"/>
    </row>
    <row r="9" spans="1:18" s="29" customFormat="1" ht="12">
      <c r="A9" s="241"/>
      <c r="B9" s="27"/>
      <c r="C9" s="27"/>
      <c r="D9" s="28" t="s">
        <v>0</v>
      </c>
      <c r="E9" s="246">
        <v>6</v>
      </c>
      <c r="F9" s="222">
        <v>45000</v>
      </c>
      <c r="G9" s="174"/>
      <c r="H9" s="343">
        <v>25949.48</v>
      </c>
      <c r="I9" s="443">
        <f t="shared" si="0"/>
        <v>0.5766551111111111</v>
      </c>
      <c r="J9" s="174">
        <f t="shared" si="3"/>
        <v>25949.479999999996</v>
      </c>
      <c r="K9" s="174">
        <v>13413.08</v>
      </c>
      <c r="L9" s="174">
        <v>47571.37</v>
      </c>
      <c r="M9" s="174">
        <v>33285.11</v>
      </c>
      <c r="N9" s="174">
        <v>15000</v>
      </c>
      <c r="O9" s="174"/>
      <c r="R9" s="91"/>
    </row>
    <row r="10" spans="1:18" s="29" customFormat="1" ht="12">
      <c r="A10" s="241"/>
      <c r="B10" s="27"/>
      <c r="C10" s="27"/>
      <c r="D10" s="28" t="s">
        <v>1</v>
      </c>
      <c r="E10" s="246">
        <v>7</v>
      </c>
      <c r="F10" s="222">
        <v>55000</v>
      </c>
      <c r="G10" s="174"/>
      <c r="H10" s="343">
        <v>42245.5</v>
      </c>
      <c r="I10" s="443">
        <f t="shared" si="0"/>
        <v>0.7681</v>
      </c>
      <c r="J10" s="174">
        <f t="shared" si="3"/>
        <v>42245.5</v>
      </c>
      <c r="K10" s="174">
        <v>42892.1</v>
      </c>
      <c r="L10" s="174">
        <v>40734.4</v>
      </c>
      <c r="M10" s="174">
        <v>7771.4</v>
      </c>
      <c r="N10" s="174">
        <v>11000</v>
      </c>
      <c r="O10" s="174">
        <v>8000</v>
      </c>
      <c r="R10" s="91"/>
    </row>
    <row r="11" spans="1:18" s="29" customFormat="1" ht="12">
      <c r="A11" s="241"/>
      <c r="B11" s="27"/>
      <c r="C11" s="27"/>
      <c r="D11" s="28" t="s">
        <v>2</v>
      </c>
      <c r="E11" s="246">
        <v>8</v>
      </c>
      <c r="F11" s="222">
        <v>978000</v>
      </c>
      <c r="G11" s="174"/>
      <c r="H11" s="343">
        <v>909584.25</v>
      </c>
      <c r="I11" s="443">
        <f t="shared" si="0"/>
        <v>0.930045245398773</v>
      </c>
      <c r="J11" s="174">
        <f t="shared" si="3"/>
        <v>909584.25</v>
      </c>
      <c r="K11" s="174">
        <v>948439.67</v>
      </c>
      <c r="L11" s="174">
        <v>767682.57</v>
      </c>
      <c r="M11" s="174">
        <v>1209902.65</v>
      </c>
      <c r="N11" s="174">
        <v>970000</v>
      </c>
      <c r="O11" s="174">
        <v>686000</v>
      </c>
      <c r="R11" s="91"/>
    </row>
    <row r="12" spans="1:18" s="29" customFormat="1" ht="12">
      <c r="A12" s="241"/>
      <c r="B12" s="27"/>
      <c r="C12" s="27"/>
      <c r="D12" s="28" t="s">
        <v>3</v>
      </c>
      <c r="E12" s="246">
        <v>9</v>
      </c>
      <c r="F12" s="222">
        <v>85000</v>
      </c>
      <c r="G12" s="379"/>
      <c r="H12" s="374">
        <v>90005.57</v>
      </c>
      <c r="I12" s="443">
        <f t="shared" si="0"/>
        <v>1.0588890588235296</v>
      </c>
      <c r="J12" s="550">
        <f>H12/12*12</f>
        <v>90005.57</v>
      </c>
      <c r="K12" s="174">
        <v>69213.42</v>
      </c>
      <c r="L12" s="174">
        <v>88365.39</v>
      </c>
      <c r="M12" s="174">
        <v>127918.14</v>
      </c>
      <c r="N12" s="174">
        <v>187000</v>
      </c>
      <c r="O12" s="174">
        <v>141000</v>
      </c>
      <c r="R12" s="91"/>
    </row>
    <row r="13" spans="1:18" s="29" customFormat="1" ht="12">
      <c r="A13" s="241"/>
      <c r="B13" s="27"/>
      <c r="C13" s="27"/>
      <c r="D13" s="28" t="s">
        <v>4</v>
      </c>
      <c r="E13" s="246">
        <v>10</v>
      </c>
      <c r="F13" s="222">
        <v>90000</v>
      </c>
      <c r="G13" s="174"/>
      <c r="H13" s="343">
        <v>43646.3</v>
      </c>
      <c r="I13" s="443">
        <f t="shared" si="0"/>
        <v>0.48495888888888894</v>
      </c>
      <c r="J13" s="174">
        <f t="shared" si="3"/>
        <v>43646.3</v>
      </c>
      <c r="K13" s="174">
        <v>73315.79</v>
      </c>
      <c r="L13" s="174">
        <v>127473.34</v>
      </c>
      <c r="M13" s="174">
        <v>58830.87</v>
      </c>
      <c r="N13" s="174">
        <v>57000</v>
      </c>
      <c r="O13" s="174">
        <v>50000</v>
      </c>
      <c r="R13" s="91"/>
    </row>
    <row r="14" spans="1:18" s="29" customFormat="1" ht="13.5">
      <c r="A14" s="241"/>
      <c r="B14" s="27"/>
      <c r="C14" s="27"/>
      <c r="D14" s="28" t="s">
        <v>178</v>
      </c>
      <c r="E14" s="246">
        <v>11</v>
      </c>
      <c r="F14" s="222">
        <v>42000</v>
      </c>
      <c r="G14" s="174"/>
      <c r="H14" s="343">
        <v>43422.65</v>
      </c>
      <c r="I14" s="443">
        <f t="shared" si="0"/>
        <v>1.033872619047619</v>
      </c>
      <c r="J14" s="174">
        <f>H14/12*12</f>
        <v>43422.65</v>
      </c>
      <c r="K14" s="174">
        <v>46158</v>
      </c>
      <c r="L14" s="174">
        <v>60268</v>
      </c>
      <c r="M14" s="174">
        <v>35475.22</v>
      </c>
      <c r="N14" s="174">
        <v>26000</v>
      </c>
      <c r="O14" s="174">
        <v>36000</v>
      </c>
      <c r="R14" s="91"/>
    </row>
    <row r="15" spans="1:18" s="29" customFormat="1" ht="12">
      <c r="A15" s="241"/>
      <c r="B15" s="27"/>
      <c r="C15" s="27"/>
      <c r="D15" s="28" t="s">
        <v>6</v>
      </c>
      <c r="E15" s="246">
        <v>12</v>
      </c>
      <c r="F15" s="222"/>
      <c r="G15" s="174"/>
      <c r="H15" s="343"/>
      <c r="I15" s="443"/>
      <c r="J15" s="174">
        <f t="shared" si="3"/>
        <v>0</v>
      </c>
      <c r="K15" s="174"/>
      <c r="L15" s="174">
        <v>0</v>
      </c>
      <c r="M15" s="174"/>
      <c r="N15" s="174"/>
      <c r="O15" s="174">
        <v>8000</v>
      </c>
      <c r="R15" s="91"/>
    </row>
    <row r="16" spans="1:18" s="29" customFormat="1" ht="12">
      <c r="A16" s="241"/>
      <c r="B16" s="28"/>
      <c r="C16" s="28"/>
      <c r="D16" s="28" t="s">
        <v>9</v>
      </c>
      <c r="E16" s="246">
        <v>13</v>
      </c>
      <c r="F16" s="222">
        <v>145000</v>
      </c>
      <c r="G16" s="174"/>
      <c r="H16" s="343">
        <v>133619.11</v>
      </c>
      <c r="I16" s="443"/>
      <c r="J16" s="550">
        <f>H16/12*12</f>
        <v>133619.11</v>
      </c>
      <c r="K16" s="174">
        <v>-50384.04</v>
      </c>
      <c r="L16" s="174">
        <v>76277.48</v>
      </c>
      <c r="M16" s="174">
        <v>188614.46</v>
      </c>
      <c r="N16" s="174">
        <v>124000</v>
      </c>
      <c r="O16" s="174">
        <v>39000</v>
      </c>
      <c r="R16" s="91"/>
    </row>
    <row r="17" spans="1:18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274"/>
      <c r="I17" s="444"/>
      <c r="J17" s="214">
        <f aca="true" t="shared" si="4" ref="J17:J41">H17</f>
        <v>0</v>
      </c>
      <c r="K17" s="192"/>
      <c r="L17" s="192">
        <v>0</v>
      </c>
      <c r="M17" s="192"/>
      <c r="N17" s="192"/>
      <c r="O17" s="192"/>
      <c r="R17" s="91"/>
    </row>
    <row r="18" spans="1:18" s="5" customFormat="1" ht="12">
      <c r="A18" s="240"/>
      <c r="B18" s="4" t="s">
        <v>15</v>
      </c>
      <c r="C18" s="3"/>
      <c r="D18" s="3"/>
      <c r="E18" s="246">
        <v>15</v>
      </c>
      <c r="F18" s="289"/>
      <c r="G18" s="192"/>
      <c r="H18" s="274"/>
      <c r="I18" s="444"/>
      <c r="J18" s="214">
        <f t="shared" si="4"/>
        <v>0</v>
      </c>
      <c r="K18" s="192"/>
      <c r="L18" s="192">
        <v>0</v>
      </c>
      <c r="M18" s="192"/>
      <c r="N18" s="192"/>
      <c r="O18" s="192"/>
      <c r="R18" s="91"/>
    </row>
    <row r="19" spans="1:18" s="5" customFormat="1" ht="12">
      <c r="A19" s="240"/>
      <c r="B19" s="4" t="s">
        <v>20</v>
      </c>
      <c r="C19" s="3"/>
      <c r="D19" s="3"/>
      <c r="E19" s="246">
        <v>16</v>
      </c>
      <c r="F19" s="289">
        <v>796000</v>
      </c>
      <c r="G19" s="192">
        <f>J19</f>
        <v>2223095</v>
      </c>
      <c r="H19" s="274">
        <v>2223095</v>
      </c>
      <c r="I19" s="444">
        <f>H19/G19</f>
        <v>1</v>
      </c>
      <c r="J19" s="214">
        <f>J31</f>
        <v>2223095</v>
      </c>
      <c r="K19" s="192">
        <v>1386979.96</v>
      </c>
      <c r="L19" s="192">
        <v>890000</v>
      </c>
      <c r="M19" s="192">
        <v>799997</v>
      </c>
      <c r="N19" s="192">
        <v>880000</v>
      </c>
      <c r="O19" s="192"/>
      <c r="R19" s="91"/>
    </row>
    <row r="20" spans="1:18" s="5" customFormat="1" ht="12">
      <c r="A20" s="240"/>
      <c r="B20" s="4" t="s">
        <v>16</v>
      </c>
      <c r="C20" s="3"/>
      <c r="D20" s="3"/>
      <c r="E20" s="246">
        <v>17</v>
      </c>
      <c r="F20" s="289"/>
      <c r="G20" s="192"/>
      <c r="H20" s="274"/>
      <c r="I20" s="444"/>
      <c r="J20" s="214">
        <f t="shared" si="4"/>
        <v>0</v>
      </c>
      <c r="K20" s="192"/>
      <c r="L20" s="192">
        <v>0</v>
      </c>
      <c r="M20" s="192"/>
      <c r="N20" s="192"/>
      <c r="O20" s="192"/>
      <c r="R20" s="91"/>
    </row>
    <row r="21" spans="1:18" s="5" customFormat="1" ht="12">
      <c r="A21" s="240"/>
      <c r="B21" s="4" t="s">
        <v>24</v>
      </c>
      <c r="C21" s="4"/>
      <c r="D21" s="4"/>
      <c r="E21" s="246">
        <v>18</v>
      </c>
      <c r="F21" s="289"/>
      <c r="G21" s="192"/>
      <c r="H21" s="274"/>
      <c r="I21" s="444"/>
      <c r="J21" s="214">
        <f t="shared" si="4"/>
        <v>0</v>
      </c>
      <c r="K21" s="192"/>
      <c r="L21" s="192">
        <v>500000</v>
      </c>
      <c r="M21" s="192"/>
      <c r="N21" s="192"/>
      <c r="O21" s="192"/>
      <c r="R21" s="91"/>
    </row>
    <row r="22" spans="1:18" s="5" customFormat="1" ht="12">
      <c r="A22" s="240"/>
      <c r="B22" s="4" t="s">
        <v>31</v>
      </c>
      <c r="C22" s="4"/>
      <c r="D22" s="4"/>
      <c r="E22" s="246">
        <v>19</v>
      </c>
      <c r="F22" s="289">
        <v>1116715</v>
      </c>
      <c r="G22" s="192"/>
      <c r="H22" s="274">
        <v>2545538.1</v>
      </c>
      <c r="I22" s="444"/>
      <c r="J22" s="214">
        <f t="shared" si="4"/>
        <v>2545538.1</v>
      </c>
      <c r="K22" s="192">
        <v>204603.65</v>
      </c>
      <c r="L22" s="192">
        <v>19200</v>
      </c>
      <c r="M22" s="192">
        <v>42885.7</v>
      </c>
      <c r="N22" s="192"/>
      <c r="O22" s="192"/>
      <c r="R22" s="91"/>
    </row>
    <row r="23" spans="1:18" s="5" customFormat="1" ht="12">
      <c r="A23" s="240"/>
      <c r="B23" s="4" t="s">
        <v>25</v>
      </c>
      <c r="C23" s="4"/>
      <c r="D23" s="4"/>
      <c r="E23" s="246">
        <v>20</v>
      </c>
      <c r="F23" s="289"/>
      <c r="G23" s="192"/>
      <c r="H23" s="274"/>
      <c r="I23" s="444"/>
      <c r="J23" s="214">
        <f t="shared" si="4"/>
        <v>0</v>
      </c>
      <c r="K23" s="192"/>
      <c r="L23" s="192">
        <v>0</v>
      </c>
      <c r="M23" s="192"/>
      <c r="N23" s="192"/>
      <c r="O23" s="192"/>
      <c r="R23" s="91"/>
    </row>
    <row r="24" spans="1:18" s="5" customFormat="1" ht="12">
      <c r="A24" s="240"/>
      <c r="B24" s="4" t="s">
        <v>26</v>
      </c>
      <c r="C24" s="4"/>
      <c r="D24" s="4"/>
      <c r="E24" s="246">
        <v>21</v>
      </c>
      <c r="F24" s="289"/>
      <c r="G24" s="192"/>
      <c r="H24" s="274">
        <v>10087</v>
      </c>
      <c r="I24" s="444"/>
      <c r="J24" s="214">
        <f t="shared" si="4"/>
        <v>10087</v>
      </c>
      <c r="K24" s="192"/>
      <c r="L24" s="192">
        <v>0</v>
      </c>
      <c r="M24" s="192"/>
      <c r="N24" s="192"/>
      <c r="O24" s="192"/>
      <c r="R24" s="91"/>
    </row>
    <row r="25" spans="1:18" s="5" customFormat="1" ht="12">
      <c r="A25" s="240"/>
      <c r="B25" s="4" t="s">
        <v>27</v>
      </c>
      <c r="C25" s="4"/>
      <c r="D25" s="4"/>
      <c r="E25" s="246">
        <v>22</v>
      </c>
      <c r="F25" s="289"/>
      <c r="G25" s="192"/>
      <c r="H25" s="274"/>
      <c r="I25" s="444"/>
      <c r="J25" s="214">
        <f t="shared" si="4"/>
        <v>0</v>
      </c>
      <c r="K25" s="192"/>
      <c r="L25" s="192">
        <v>0</v>
      </c>
      <c r="M25" s="192"/>
      <c r="N25" s="192"/>
      <c r="O25" s="192"/>
      <c r="R25" s="91"/>
    </row>
    <row r="26" spans="1:18" s="5" customFormat="1" ht="12">
      <c r="A26" s="240"/>
      <c r="B26" s="95" t="s">
        <v>30</v>
      </c>
      <c r="C26" s="95"/>
      <c r="D26" s="95"/>
      <c r="E26" s="246">
        <v>23</v>
      </c>
      <c r="F26" s="289"/>
      <c r="G26" s="192"/>
      <c r="H26" s="274"/>
      <c r="I26" s="444"/>
      <c r="J26" s="214">
        <f>H26/12*12</f>
        <v>0</v>
      </c>
      <c r="K26" s="192"/>
      <c r="L26" s="192">
        <v>0</v>
      </c>
      <c r="M26" s="192"/>
      <c r="N26" s="192"/>
      <c r="O26" s="192">
        <v>22000</v>
      </c>
      <c r="R26" s="91"/>
    </row>
    <row r="27" spans="1:18" ht="12.75">
      <c r="A27" s="239" t="s">
        <v>158</v>
      </c>
      <c r="B27" s="171"/>
      <c r="C27" s="171"/>
      <c r="D27" s="171"/>
      <c r="E27" s="245">
        <v>24</v>
      </c>
      <c r="F27" s="255">
        <f>SUM(F28:F42)</f>
        <v>24265715</v>
      </c>
      <c r="G27" s="221">
        <f>SUM(G28:G42)</f>
        <v>25033095</v>
      </c>
      <c r="H27" s="342">
        <f>SUM(H28:H42)</f>
        <v>27943901.03</v>
      </c>
      <c r="I27" s="442">
        <f>H27/F27</f>
        <v>1.1515795446373618</v>
      </c>
      <c r="J27" s="380">
        <f aca="true" t="shared" si="5" ref="J27:O27">SUM(J28:J42)</f>
        <v>27943901.03</v>
      </c>
      <c r="K27" s="221">
        <f t="shared" si="5"/>
        <v>21273135.29</v>
      </c>
      <c r="L27" s="221">
        <f t="shared" si="5"/>
        <v>20104973.81</v>
      </c>
      <c r="M27" s="221">
        <f t="shared" si="5"/>
        <v>17982692.9</v>
      </c>
      <c r="N27" s="221">
        <f t="shared" si="5"/>
        <v>15980000</v>
      </c>
      <c r="O27" s="221">
        <f t="shared" si="5"/>
        <v>12822000</v>
      </c>
      <c r="R27" s="91"/>
    </row>
    <row r="28" spans="1:18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v>22003000</v>
      </c>
      <c r="G28" s="337">
        <f>21961000+849000</f>
        <v>22810000</v>
      </c>
      <c r="H28" s="375">
        <v>22810000</v>
      </c>
      <c r="I28" s="444">
        <f>H28/G28</f>
        <v>1</v>
      </c>
      <c r="J28" s="448">
        <f>G28</f>
        <v>22810000</v>
      </c>
      <c r="K28" s="192">
        <v>19451100</v>
      </c>
      <c r="L28" s="192">
        <v>18072000</v>
      </c>
      <c r="M28" s="192">
        <v>16080000</v>
      </c>
      <c r="N28" s="192">
        <v>14385000</v>
      </c>
      <c r="O28" s="192">
        <v>12436000</v>
      </c>
      <c r="R28" s="91"/>
    </row>
    <row r="29" spans="1:18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444"/>
      <c r="J29" s="353">
        <f t="shared" si="4"/>
        <v>0</v>
      </c>
      <c r="K29" s="326"/>
      <c r="L29" s="326">
        <v>0</v>
      </c>
      <c r="M29" s="326"/>
      <c r="N29" s="326"/>
      <c r="O29" s="326"/>
      <c r="R29" s="91"/>
    </row>
    <row r="30" spans="1:18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364"/>
      <c r="I30" s="444"/>
      <c r="J30" s="353">
        <f t="shared" si="4"/>
        <v>0</v>
      </c>
      <c r="K30" s="326"/>
      <c r="L30" s="326">
        <v>0</v>
      </c>
      <c r="M30" s="326"/>
      <c r="N30" s="326"/>
      <c r="O30" s="326"/>
      <c r="R30" s="91"/>
    </row>
    <row r="31" spans="1:18" s="5" customFormat="1" ht="12">
      <c r="A31" s="240"/>
      <c r="B31" s="4" t="s">
        <v>20</v>
      </c>
      <c r="C31" s="3"/>
      <c r="D31" s="3"/>
      <c r="E31" s="246">
        <v>28</v>
      </c>
      <c r="F31" s="292">
        <v>796000</v>
      </c>
      <c r="G31" s="326">
        <v>2223095</v>
      </c>
      <c r="H31" s="364">
        <v>2223095</v>
      </c>
      <c r="I31" s="444"/>
      <c r="J31" s="353">
        <f>G31</f>
        <v>2223095</v>
      </c>
      <c r="K31" s="326">
        <v>1386979.96</v>
      </c>
      <c r="L31" s="326">
        <v>890000</v>
      </c>
      <c r="M31" s="326">
        <v>799997</v>
      </c>
      <c r="N31" s="326">
        <v>880000</v>
      </c>
      <c r="O31" s="326"/>
      <c r="R31" s="91"/>
    </row>
    <row r="32" spans="1:18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444"/>
      <c r="J32" s="353">
        <f t="shared" si="4"/>
        <v>0</v>
      </c>
      <c r="K32" s="326"/>
      <c r="L32" s="326">
        <v>0</v>
      </c>
      <c r="M32" s="326"/>
      <c r="N32" s="326"/>
      <c r="O32" s="326"/>
      <c r="R32" s="91"/>
    </row>
    <row r="33" spans="1:18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364"/>
      <c r="I33" s="444"/>
      <c r="J33" s="353">
        <f t="shared" si="4"/>
        <v>0</v>
      </c>
      <c r="K33" s="326"/>
      <c r="L33" s="326">
        <v>0</v>
      </c>
      <c r="M33" s="326"/>
      <c r="N33" s="326"/>
      <c r="O33" s="326"/>
      <c r="R33" s="91"/>
    </row>
    <row r="34" spans="1:18" s="5" customFormat="1" ht="12">
      <c r="A34" s="240"/>
      <c r="B34" s="4" t="s">
        <v>24</v>
      </c>
      <c r="C34" s="4"/>
      <c r="D34" s="4"/>
      <c r="E34" s="246">
        <v>31</v>
      </c>
      <c r="F34" s="292"/>
      <c r="G34" s="326"/>
      <c r="H34" s="364"/>
      <c r="I34" s="444"/>
      <c r="J34" s="353">
        <f t="shared" si="4"/>
        <v>0</v>
      </c>
      <c r="K34" s="326"/>
      <c r="L34" s="326">
        <v>500000</v>
      </c>
      <c r="M34" s="326"/>
      <c r="N34" s="326"/>
      <c r="O34" s="326"/>
      <c r="R34" s="91"/>
    </row>
    <row r="35" spans="1:18" s="5" customFormat="1" ht="12">
      <c r="A35" s="240"/>
      <c r="B35" s="4" t="s">
        <v>31</v>
      </c>
      <c r="C35" s="4"/>
      <c r="D35" s="4"/>
      <c r="E35" s="246">
        <v>32</v>
      </c>
      <c r="F35" s="292">
        <v>1116715</v>
      </c>
      <c r="G35" s="326"/>
      <c r="H35" s="364">
        <v>2545538.1</v>
      </c>
      <c r="I35" s="444"/>
      <c r="J35" s="353">
        <f t="shared" si="4"/>
        <v>2545538.1</v>
      </c>
      <c r="K35" s="326">
        <v>204603.65</v>
      </c>
      <c r="L35" s="326">
        <v>19200</v>
      </c>
      <c r="M35" s="326">
        <v>42885.7</v>
      </c>
      <c r="N35" s="326"/>
      <c r="O35" s="326"/>
      <c r="R35" s="91"/>
    </row>
    <row r="36" spans="1:18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444"/>
      <c r="J36" s="353">
        <f t="shared" si="4"/>
        <v>0</v>
      </c>
      <c r="K36" s="326"/>
      <c r="L36" s="326">
        <v>0</v>
      </c>
      <c r="M36" s="326"/>
      <c r="N36" s="326"/>
      <c r="O36" s="326">
        <v>64000</v>
      </c>
      <c r="R36" s="91"/>
    </row>
    <row r="37" spans="1:18" s="5" customFormat="1" ht="12">
      <c r="A37" s="240"/>
      <c r="B37" s="4" t="s">
        <v>25</v>
      </c>
      <c r="C37" s="4"/>
      <c r="D37" s="4"/>
      <c r="E37" s="246">
        <v>34</v>
      </c>
      <c r="F37" s="292"/>
      <c r="G37" s="326"/>
      <c r="H37" s="364"/>
      <c r="I37" s="444"/>
      <c r="J37" s="353">
        <f t="shared" si="4"/>
        <v>0</v>
      </c>
      <c r="K37" s="326"/>
      <c r="L37" s="326">
        <v>0</v>
      </c>
      <c r="M37" s="326"/>
      <c r="N37" s="326"/>
      <c r="O37" s="326"/>
      <c r="R37" s="91"/>
    </row>
    <row r="38" spans="1:18" s="5" customFormat="1" ht="12">
      <c r="A38" s="240"/>
      <c r="B38" s="4" t="s">
        <v>26</v>
      </c>
      <c r="C38" s="4"/>
      <c r="D38" s="4"/>
      <c r="E38" s="246">
        <v>35</v>
      </c>
      <c r="F38" s="292"/>
      <c r="G38" s="326"/>
      <c r="H38" s="364">
        <v>10087</v>
      </c>
      <c r="I38" s="444"/>
      <c r="J38" s="353">
        <f t="shared" si="4"/>
        <v>10087</v>
      </c>
      <c r="K38" s="326"/>
      <c r="L38" s="326">
        <v>0</v>
      </c>
      <c r="M38" s="326"/>
      <c r="N38" s="326"/>
      <c r="O38" s="326"/>
      <c r="R38" s="91"/>
    </row>
    <row r="39" spans="1:18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364"/>
      <c r="I39" s="444"/>
      <c r="J39" s="353">
        <f t="shared" si="4"/>
        <v>0</v>
      </c>
      <c r="K39" s="326"/>
      <c r="L39" s="326">
        <v>0</v>
      </c>
      <c r="M39" s="326"/>
      <c r="N39" s="326"/>
      <c r="O39" s="326"/>
      <c r="R39" s="91"/>
    </row>
    <row r="40" spans="1:18" s="5" customFormat="1" ht="13.5">
      <c r="A40" s="240"/>
      <c r="B40" s="4" t="s">
        <v>180</v>
      </c>
      <c r="C40" s="4"/>
      <c r="D40" s="4"/>
      <c r="E40" s="246">
        <v>37</v>
      </c>
      <c r="F40" s="292">
        <v>350000</v>
      </c>
      <c r="G40" s="326"/>
      <c r="H40" s="364">
        <v>355180.93</v>
      </c>
      <c r="I40" s="444">
        <f>H40/F40</f>
        <v>1.0148026571428572</v>
      </c>
      <c r="J40" s="353">
        <f>(H40+0)/12*12</f>
        <v>355180.93</v>
      </c>
      <c r="K40" s="326">
        <v>230451.68</v>
      </c>
      <c r="L40" s="326">
        <v>623773.81</v>
      </c>
      <c r="M40" s="326">
        <v>1059810.2</v>
      </c>
      <c r="N40" s="326">
        <v>715000</v>
      </c>
      <c r="O40" s="326">
        <v>293000</v>
      </c>
      <c r="R40" s="91"/>
    </row>
    <row r="41" spans="1:18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364"/>
      <c r="I41" s="444"/>
      <c r="J41" s="353">
        <f t="shared" si="4"/>
        <v>0</v>
      </c>
      <c r="K41" s="326"/>
      <c r="L41" s="326">
        <v>0</v>
      </c>
      <c r="M41" s="326"/>
      <c r="N41" s="326"/>
      <c r="O41" s="326"/>
      <c r="R41" s="91"/>
    </row>
    <row r="42" spans="1:18" s="5" customFormat="1" ht="12">
      <c r="A42" s="240"/>
      <c r="B42" s="4" t="s">
        <v>30</v>
      </c>
      <c r="C42" s="4"/>
      <c r="D42" s="4"/>
      <c r="E42" s="246">
        <v>39</v>
      </c>
      <c r="F42" s="292"/>
      <c r="G42" s="326"/>
      <c r="H42" s="364"/>
      <c r="I42" s="444"/>
      <c r="J42" s="353">
        <f>H42/12*12</f>
        <v>0</v>
      </c>
      <c r="K42" s="326"/>
      <c r="L42" s="326">
        <v>0</v>
      </c>
      <c r="M42" s="326"/>
      <c r="N42" s="326"/>
      <c r="O42" s="326">
        <v>29000</v>
      </c>
      <c r="R42" s="91"/>
    </row>
    <row r="43" spans="1:18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35000</v>
      </c>
      <c r="G43" s="227"/>
      <c r="H43" s="347">
        <v>-85781.32</v>
      </c>
      <c r="I43" s="445"/>
      <c r="J43" s="211">
        <f>J28+J33+J36+J40+J41+J42-J5-J26</f>
        <v>85415.0700000003</v>
      </c>
      <c r="K43" s="227"/>
      <c r="L43" s="227"/>
      <c r="M43" s="227"/>
      <c r="N43" s="227">
        <f>N28+N33+N36+N40+N41+N42-N26-N5</f>
        <v>38000</v>
      </c>
      <c r="O43" s="227">
        <f>O28+O33+O36+O40+O41+O42-O26-O5</f>
        <v>93000</v>
      </c>
      <c r="R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255">
        <f>F27-F4</f>
        <v>35000</v>
      </c>
      <c r="G44" s="221"/>
      <c r="H44" s="342">
        <f>H27-H4</f>
        <v>85415.0700000003</v>
      </c>
      <c r="I44" s="442">
        <f>H44/F44</f>
        <v>2.44043057142858</v>
      </c>
      <c r="J44" s="380">
        <f aca="true" t="shared" si="6" ref="J44:O44">J27-J4</f>
        <v>85415.0700000003</v>
      </c>
      <c r="K44" s="221">
        <f t="shared" si="6"/>
        <v>74869.65999999642</v>
      </c>
      <c r="L44" s="221">
        <f t="shared" si="6"/>
        <v>41387.259999997914</v>
      </c>
      <c r="M44" s="221">
        <f t="shared" si="6"/>
        <v>24937.349999997765</v>
      </c>
      <c r="N44" s="221">
        <f t="shared" si="6"/>
        <v>38000</v>
      </c>
      <c r="O44" s="221">
        <f t="shared" si="6"/>
        <v>93000</v>
      </c>
    </row>
    <row r="45" spans="1:9" s="90" customFormat="1" ht="11.25">
      <c r="A45" s="90" t="s">
        <v>167</v>
      </c>
      <c r="I45" s="410"/>
    </row>
    <row r="46" spans="1:10" s="90" customFormat="1" ht="11.25">
      <c r="A46" s="210" t="s">
        <v>141</v>
      </c>
      <c r="F46" s="91">
        <f>SUM(F47:F48)</f>
        <v>42000</v>
      </c>
      <c r="G46" s="91"/>
      <c r="H46" s="91"/>
      <c r="I46" s="411"/>
      <c r="J46" s="91"/>
    </row>
    <row r="47" spans="1:11" s="90" customFormat="1" ht="11.25">
      <c r="A47" s="142" t="s">
        <v>142</v>
      </c>
      <c r="F47" s="91">
        <v>42000</v>
      </c>
      <c r="G47" s="91"/>
      <c r="H47" s="91"/>
      <c r="I47" s="411"/>
      <c r="J47" s="91"/>
      <c r="K47" s="91"/>
    </row>
    <row r="48" spans="1:11" s="90" customFormat="1" ht="11.25">
      <c r="A48" s="142" t="s">
        <v>143</v>
      </c>
      <c r="F48" s="91">
        <v>0</v>
      </c>
      <c r="G48" s="91"/>
      <c r="H48" s="91"/>
      <c r="I48" s="411"/>
      <c r="J48" s="91"/>
      <c r="K48" s="91"/>
    </row>
    <row r="49" spans="1:11" s="90" customFormat="1" ht="11.25">
      <c r="A49" s="142" t="s">
        <v>145</v>
      </c>
      <c r="F49" s="91"/>
      <c r="G49" s="91"/>
      <c r="H49" s="91"/>
      <c r="I49" s="411"/>
      <c r="J49" s="91"/>
      <c r="K49" s="91"/>
    </row>
    <row r="50" spans="1:11" s="90" customFormat="1" ht="11.25">
      <c r="A50" s="90" t="s">
        <v>170</v>
      </c>
      <c r="F50" s="91">
        <v>21961000</v>
      </c>
      <c r="G50" s="91"/>
      <c r="H50" s="91"/>
      <c r="I50" s="411"/>
      <c r="J50" s="91"/>
      <c r="K50" s="91"/>
    </row>
    <row r="51" spans="1:9" s="90" customFormat="1" ht="11.25">
      <c r="A51" s="90" t="s">
        <v>146</v>
      </c>
      <c r="I51" s="410"/>
    </row>
    <row r="52" spans="1:10" s="90" customFormat="1" ht="11.25">
      <c r="A52" s="90" t="s">
        <v>171</v>
      </c>
      <c r="F52" s="233">
        <f>F47</f>
        <v>42000</v>
      </c>
      <c r="G52" s="211"/>
      <c r="H52" s="211"/>
      <c r="I52" s="412"/>
      <c r="J52" s="211"/>
    </row>
    <row r="53" spans="1:10" s="90" customFormat="1" ht="11.25">
      <c r="A53" s="90" t="s">
        <v>169</v>
      </c>
      <c r="F53" s="91">
        <f>SUM(F50:F52)</f>
        <v>22003000</v>
      </c>
      <c r="G53" s="91"/>
      <c r="H53" s="91"/>
      <c r="I53" s="411"/>
      <c r="J53" s="91"/>
    </row>
    <row r="54" s="90" customFormat="1" ht="11.25">
      <c r="I54" s="410"/>
    </row>
  </sheetData>
  <mergeCells count="1">
    <mergeCell ref="A1:D1"/>
  </mergeCells>
  <printOptions horizontalCentered="1"/>
  <pageMargins left="0.44" right="0.31496062992125984" top="0.35" bottom="0.39" header="0.24" footer="0.1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3"/>
  <dimension ref="A1:S54"/>
  <sheetViews>
    <sheetView workbookViewId="0" topLeftCell="A1">
      <selection activeCell="F13" sqref="F1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8.75390625" style="89" bestFit="1" customWidth="1"/>
    <col min="8" max="8" width="10.75390625" style="595" customWidth="1"/>
    <col min="9" max="9" width="5.875" style="413" bestFit="1" customWidth="1"/>
    <col min="10" max="10" width="10.75390625" style="2" hidden="1" customWidth="1"/>
    <col min="11" max="11" width="8.75390625" style="2" customWidth="1"/>
    <col min="12" max="15" width="8.75390625" style="0" bestFit="1" customWidth="1"/>
    <col min="16" max="16" width="7.125" style="0" customWidth="1"/>
    <col min="17" max="17" width="4.125" style="0" customWidth="1"/>
    <col min="18" max="18" width="6.625" style="0" customWidth="1"/>
    <col min="19" max="19" width="9.125" style="89" customWidth="1"/>
  </cols>
  <sheetData>
    <row r="1" spans="1:18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587" t="s">
        <v>8</v>
      </c>
      <c r="I1" s="218" t="s">
        <v>196</v>
      </c>
      <c r="J1" s="382" t="s">
        <v>197</v>
      </c>
      <c r="K1" s="218" t="s">
        <v>8</v>
      </c>
      <c r="L1" s="384" t="s">
        <v>8</v>
      </c>
      <c r="M1" s="218" t="s">
        <v>8</v>
      </c>
      <c r="N1" s="218" t="s">
        <v>8</v>
      </c>
      <c r="O1" s="218" t="s">
        <v>8</v>
      </c>
      <c r="P1" s="468" t="s">
        <v>226</v>
      </c>
      <c r="Q1" s="468" t="s">
        <v>229</v>
      </c>
      <c r="R1" s="468" t="s">
        <v>226</v>
      </c>
    </row>
    <row r="2" spans="1:19" s="7" customFormat="1" ht="12.75">
      <c r="A2" s="237" t="s">
        <v>39</v>
      </c>
      <c r="B2" s="44"/>
      <c r="C2" s="44"/>
      <c r="D2" s="45" t="s">
        <v>46</v>
      </c>
      <c r="E2" s="243" t="s">
        <v>21</v>
      </c>
      <c r="F2" s="254">
        <v>2006</v>
      </c>
      <c r="G2" s="219" t="s">
        <v>198</v>
      </c>
      <c r="H2" s="588" t="s">
        <v>223</v>
      </c>
      <c r="I2" s="219" t="s">
        <v>199</v>
      </c>
      <c r="J2" s="336">
        <v>2006</v>
      </c>
      <c r="K2" s="219">
        <v>2005</v>
      </c>
      <c r="L2" s="385">
        <v>2004</v>
      </c>
      <c r="M2" s="219">
        <v>2003</v>
      </c>
      <c r="N2" s="219">
        <v>2002</v>
      </c>
      <c r="O2" s="219">
        <v>2001</v>
      </c>
      <c r="P2" s="468" t="s">
        <v>227</v>
      </c>
      <c r="Q2" s="468"/>
      <c r="R2" s="468" t="s">
        <v>228</v>
      </c>
      <c r="S2" s="89"/>
    </row>
    <row r="3" spans="1:19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589">
        <v>2</v>
      </c>
      <c r="I3" s="220" t="s">
        <v>201</v>
      </c>
      <c r="J3" s="341">
        <v>3</v>
      </c>
      <c r="K3" s="220">
        <v>4</v>
      </c>
      <c r="L3" s="449"/>
      <c r="M3" s="381"/>
      <c r="N3" s="381"/>
      <c r="O3" s="381"/>
      <c r="P3" s="413">
        <v>2005</v>
      </c>
      <c r="Q3" s="413"/>
      <c r="S3" s="89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55489200</v>
      </c>
      <c r="G4" s="221">
        <f>SUM(G6:G26)</f>
        <v>29926890.76</v>
      </c>
      <c r="H4" s="590">
        <f>SUM(H6:H26)</f>
        <v>59034045.75</v>
      </c>
      <c r="I4" s="403">
        <f aca="true" t="shared" si="0" ref="I4:I16">H4/F4</f>
        <v>1.0638835259834347</v>
      </c>
      <c r="J4" s="380">
        <f aca="true" t="shared" si="1" ref="J4:O4">SUM(J6:J26)</f>
        <v>59034045.75</v>
      </c>
      <c r="K4" s="221">
        <f t="shared" si="1"/>
        <v>42487606.480000004</v>
      </c>
      <c r="L4" s="386">
        <f t="shared" si="1"/>
        <v>44483584.900000006</v>
      </c>
      <c r="M4" s="221">
        <f t="shared" si="1"/>
        <v>36668902.82</v>
      </c>
      <c r="N4" s="221">
        <f t="shared" si="1"/>
        <v>37330000</v>
      </c>
      <c r="O4" s="221">
        <f t="shared" si="1"/>
        <v>30295000</v>
      </c>
    </row>
    <row r="5" spans="1:19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10459200</v>
      </c>
      <c r="G5" s="192">
        <f>SUM(G6:G16)</f>
        <v>0</v>
      </c>
      <c r="H5" s="345">
        <f>SUM(H6:H16)</f>
        <v>11791684.25</v>
      </c>
      <c r="I5" s="404">
        <f t="shared" si="0"/>
        <v>1.1273982952807098</v>
      </c>
      <c r="J5" s="214">
        <f aca="true" t="shared" si="2" ref="J5:O5">SUM(J6:J16)</f>
        <v>11791684.25</v>
      </c>
      <c r="K5" s="192">
        <f t="shared" si="2"/>
        <v>8601710.22</v>
      </c>
      <c r="L5" s="387">
        <f t="shared" si="2"/>
        <v>7868670.37</v>
      </c>
      <c r="M5" s="192">
        <f t="shared" si="2"/>
        <v>7177764.780000001</v>
      </c>
      <c r="N5" s="192">
        <f t="shared" si="2"/>
        <v>5804000</v>
      </c>
      <c r="O5" s="192">
        <f t="shared" si="2"/>
        <v>5177000</v>
      </c>
      <c r="S5" s="89"/>
    </row>
    <row r="6" spans="1:19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3120000</v>
      </c>
      <c r="G6" s="174"/>
      <c r="H6" s="344">
        <v>3812708</v>
      </c>
      <c r="I6" s="404">
        <f t="shared" si="0"/>
        <v>1.2220217948717949</v>
      </c>
      <c r="J6" s="174">
        <f>H6/12*12</f>
        <v>3812708</v>
      </c>
      <c r="K6" s="174">
        <v>2715566</v>
      </c>
      <c r="L6" s="388">
        <v>2240176</v>
      </c>
      <c r="M6" s="174">
        <v>2051934</v>
      </c>
      <c r="N6" s="174">
        <v>1672000</v>
      </c>
      <c r="O6" s="174">
        <v>1114000</v>
      </c>
      <c r="S6" s="91"/>
    </row>
    <row r="7" spans="1:19" s="29" customFormat="1" ht="12">
      <c r="A7" s="241"/>
      <c r="B7" s="27"/>
      <c r="C7" s="27"/>
      <c r="D7" s="28" t="s">
        <v>18</v>
      </c>
      <c r="E7" s="246">
        <v>4</v>
      </c>
      <c r="F7" s="222">
        <v>390000</v>
      </c>
      <c r="G7" s="174"/>
      <c r="H7" s="591">
        <v>371282</v>
      </c>
      <c r="I7" s="404">
        <f t="shared" si="0"/>
        <v>0.9520051282051282</v>
      </c>
      <c r="J7" s="174">
        <f aca="true" t="shared" si="3" ref="J7:J15">H7/12*12</f>
        <v>371282</v>
      </c>
      <c r="K7" s="174">
        <v>293200</v>
      </c>
      <c r="L7" s="388">
        <v>179550</v>
      </c>
      <c r="M7" s="174">
        <v>121900</v>
      </c>
      <c r="N7" s="174">
        <v>145000</v>
      </c>
      <c r="O7" s="174">
        <v>373000</v>
      </c>
      <c r="S7" s="91"/>
    </row>
    <row r="8" spans="1:19" s="29" customFormat="1" ht="12">
      <c r="A8" s="241"/>
      <c r="B8" s="27"/>
      <c r="C8" s="27"/>
      <c r="D8" s="28" t="s">
        <v>19</v>
      </c>
      <c r="E8" s="246">
        <v>5</v>
      </c>
      <c r="F8" s="222">
        <v>1154400</v>
      </c>
      <c r="G8" s="174"/>
      <c r="H8" s="344">
        <v>1380052</v>
      </c>
      <c r="I8" s="404">
        <f t="shared" si="0"/>
        <v>1.1954712404712404</v>
      </c>
      <c r="J8" s="174">
        <f t="shared" si="3"/>
        <v>1380052</v>
      </c>
      <c r="K8" s="174">
        <v>956229</v>
      </c>
      <c r="L8" s="388">
        <v>797601</v>
      </c>
      <c r="M8" s="174">
        <v>715135</v>
      </c>
      <c r="N8" s="174">
        <v>580000</v>
      </c>
      <c r="O8" s="174">
        <v>409000</v>
      </c>
      <c r="S8" s="91"/>
    </row>
    <row r="9" spans="1:19" s="29" customFormat="1" ht="12">
      <c r="A9" s="241"/>
      <c r="B9" s="27"/>
      <c r="C9" s="27"/>
      <c r="D9" s="28" t="s">
        <v>0</v>
      </c>
      <c r="E9" s="246">
        <v>6</v>
      </c>
      <c r="F9" s="222">
        <v>90000</v>
      </c>
      <c r="G9" s="174"/>
      <c r="H9" s="344">
        <v>85595.52</v>
      </c>
      <c r="I9" s="404">
        <f t="shared" si="0"/>
        <v>0.9510613333333334</v>
      </c>
      <c r="J9" s="174">
        <f t="shared" si="3"/>
        <v>85595.52</v>
      </c>
      <c r="K9" s="174">
        <v>67564.58</v>
      </c>
      <c r="L9" s="388">
        <v>80449.82</v>
      </c>
      <c r="M9" s="174">
        <v>59922.8</v>
      </c>
      <c r="N9" s="174">
        <v>28000</v>
      </c>
      <c r="O9" s="174"/>
      <c r="S9" s="91"/>
    </row>
    <row r="10" spans="1:19" s="29" customFormat="1" ht="12">
      <c r="A10" s="241"/>
      <c r="B10" s="27"/>
      <c r="C10" s="27"/>
      <c r="D10" s="28" t="s">
        <v>1</v>
      </c>
      <c r="E10" s="246">
        <v>7</v>
      </c>
      <c r="F10" s="222">
        <v>50000</v>
      </c>
      <c r="G10" s="174"/>
      <c r="H10" s="344">
        <v>6290.6</v>
      </c>
      <c r="I10" s="404">
        <f t="shared" si="0"/>
        <v>0.125812</v>
      </c>
      <c r="J10" s="174">
        <f t="shared" si="3"/>
        <v>6290.6</v>
      </c>
      <c r="K10" s="174">
        <v>217167.45</v>
      </c>
      <c r="L10" s="388">
        <v>6267</v>
      </c>
      <c r="M10" s="174">
        <v>97971</v>
      </c>
      <c r="N10" s="174">
        <v>10000</v>
      </c>
      <c r="O10" s="174">
        <v>14000</v>
      </c>
      <c r="S10" s="91"/>
    </row>
    <row r="11" spans="1:19" s="29" customFormat="1" ht="12">
      <c r="A11" s="241"/>
      <c r="B11" s="27"/>
      <c r="C11" s="27"/>
      <c r="D11" s="28" t="s">
        <v>2</v>
      </c>
      <c r="E11" s="246">
        <v>8</v>
      </c>
      <c r="F11" s="222">
        <v>941000</v>
      </c>
      <c r="G11" s="174"/>
      <c r="H11" s="344">
        <v>814990.22</v>
      </c>
      <c r="I11" s="404">
        <f t="shared" si="0"/>
        <v>0.8660895005313496</v>
      </c>
      <c r="J11" s="174">
        <f t="shared" si="3"/>
        <v>814990.22</v>
      </c>
      <c r="K11" s="174">
        <v>1213442.48</v>
      </c>
      <c r="L11" s="388">
        <v>718004.33</v>
      </c>
      <c r="M11" s="174">
        <v>805027.65</v>
      </c>
      <c r="N11" s="174">
        <v>1089000</v>
      </c>
      <c r="O11" s="174">
        <v>370000</v>
      </c>
      <c r="S11" s="91"/>
    </row>
    <row r="12" spans="1:19" s="29" customFormat="1" ht="12">
      <c r="A12" s="241"/>
      <c r="B12" s="27"/>
      <c r="C12" s="27"/>
      <c r="D12" s="28" t="s">
        <v>3</v>
      </c>
      <c r="E12" s="246">
        <v>9</v>
      </c>
      <c r="F12" s="222">
        <v>1265000</v>
      </c>
      <c r="G12" s="379"/>
      <c r="H12" s="344">
        <v>1369230.32</v>
      </c>
      <c r="I12" s="404">
        <f t="shared" si="0"/>
        <v>1.082395509881423</v>
      </c>
      <c r="J12" s="550">
        <f>H12/12*12</f>
        <v>1369230.32</v>
      </c>
      <c r="K12" s="174">
        <v>832053.35</v>
      </c>
      <c r="L12" s="388">
        <v>1148247.83</v>
      </c>
      <c r="M12" s="174">
        <v>1106105.22</v>
      </c>
      <c r="N12" s="174">
        <v>678000</v>
      </c>
      <c r="O12" s="174">
        <v>902000</v>
      </c>
      <c r="S12" s="91"/>
    </row>
    <row r="13" spans="1:19" s="29" customFormat="1" ht="12">
      <c r="A13" s="241"/>
      <c r="B13" s="27"/>
      <c r="C13" s="27"/>
      <c r="D13" s="28" t="s">
        <v>4</v>
      </c>
      <c r="E13" s="246">
        <v>10</v>
      </c>
      <c r="F13" s="222">
        <v>950000</v>
      </c>
      <c r="G13" s="174"/>
      <c r="H13" s="344">
        <v>680044.46</v>
      </c>
      <c r="I13" s="404">
        <f t="shared" si="0"/>
        <v>0.7158362736842104</v>
      </c>
      <c r="J13" s="174">
        <f t="shared" si="3"/>
        <v>680044.46</v>
      </c>
      <c r="K13" s="174">
        <v>545049.07</v>
      </c>
      <c r="L13" s="388">
        <v>813878.02</v>
      </c>
      <c r="M13" s="174">
        <v>585927.74</v>
      </c>
      <c r="N13" s="174">
        <v>483000</v>
      </c>
      <c r="O13" s="174">
        <v>651000</v>
      </c>
      <c r="S13" s="91"/>
    </row>
    <row r="14" spans="1:19" s="29" customFormat="1" ht="13.5">
      <c r="A14" s="241"/>
      <c r="B14" s="27"/>
      <c r="C14" s="27"/>
      <c r="D14" s="28" t="s">
        <v>178</v>
      </c>
      <c r="E14" s="246">
        <v>11</v>
      </c>
      <c r="F14" s="222">
        <v>74000</v>
      </c>
      <c r="G14" s="174"/>
      <c r="H14" s="344">
        <v>80543</v>
      </c>
      <c r="I14" s="404">
        <f t="shared" si="0"/>
        <v>1.0884189189189188</v>
      </c>
      <c r="J14" s="174">
        <f>H14/12*12</f>
        <v>80543</v>
      </c>
      <c r="K14" s="174">
        <v>74078</v>
      </c>
      <c r="L14" s="388">
        <v>67504</v>
      </c>
      <c r="M14" s="174">
        <v>57578.23</v>
      </c>
      <c r="N14" s="174">
        <v>26000</v>
      </c>
      <c r="O14" s="174">
        <v>0</v>
      </c>
      <c r="S14" s="91"/>
    </row>
    <row r="15" spans="1:19" s="29" customFormat="1" ht="12">
      <c r="A15" s="241"/>
      <c r="B15" s="27"/>
      <c r="C15" s="27"/>
      <c r="D15" s="28" t="s">
        <v>6</v>
      </c>
      <c r="E15" s="246">
        <v>12</v>
      </c>
      <c r="F15" s="222">
        <v>1024800</v>
      </c>
      <c r="G15" s="174"/>
      <c r="H15" s="344">
        <v>1165510.5</v>
      </c>
      <c r="I15" s="404">
        <f t="shared" si="0"/>
        <v>1.1373053278688525</v>
      </c>
      <c r="J15" s="174">
        <f t="shared" si="3"/>
        <v>1165510.5</v>
      </c>
      <c r="K15" s="174">
        <v>532021.95</v>
      </c>
      <c r="L15" s="388">
        <v>189139.09</v>
      </c>
      <c r="M15" s="174">
        <v>392256.73</v>
      </c>
      <c r="N15" s="174">
        <v>149000</v>
      </c>
      <c r="O15" s="174">
        <v>760000</v>
      </c>
      <c r="S15" s="91"/>
    </row>
    <row r="16" spans="1:19" s="29" customFormat="1" ht="12">
      <c r="A16" s="241"/>
      <c r="B16" s="28"/>
      <c r="C16" s="28"/>
      <c r="D16" s="28" t="s">
        <v>9</v>
      </c>
      <c r="E16" s="246">
        <v>13</v>
      </c>
      <c r="F16" s="222">
        <v>1400000</v>
      </c>
      <c r="G16" s="174"/>
      <c r="H16" s="344">
        <v>2025437.63</v>
      </c>
      <c r="I16" s="404">
        <f t="shared" si="0"/>
        <v>1.4467411642857142</v>
      </c>
      <c r="J16" s="550">
        <f>H16/12*12</f>
        <v>2025437.63</v>
      </c>
      <c r="K16" s="174">
        <v>1155338.34</v>
      </c>
      <c r="L16" s="388">
        <v>1627853.28</v>
      </c>
      <c r="M16" s="174">
        <v>1184006.41</v>
      </c>
      <c r="N16" s="174">
        <v>944000</v>
      </c>
      <c r="O16" s="174">
        <v>584000</v>
      </c>
      <c r="S16" s="91"/>
    </row>
    <row r="17" spans="1:19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375"/>
      <c r="I17" s="407"/>
      <c r="J17" s="214">
        <f aca="true" t="shared" si="4" ref="J17:J41">H17</f>
        <v>0</v>
      </c>
      <c r="K17" s="192"/>
      <c r="L17" s="387">
        <v>0</v>
      </c>
      <c r="M17" s="192"/>
      <c r="N17" s="192"/>
      <c r="O17" s="192"/>
      <c r="S17" s="91"/>
    </row>
    <row r="18" spans="1:19" s="5" customFormat="1" ht="12">
      <c r="A18" s="240"/>
      <c r="B18" s="4" t="s">
        <v>15</v>
      </c>
      <c r="C18" s="3"/>
      <c r="D18" s="3"/>
      <c r="E18" s="246">
        <v>15</v>
      </c>
      <c r="F18" s="289">
        <v>25000000</v>
      </c>
      <c r="G18" s="192">
        <f>J18</f>
        <v>25126890.76</v>
      </c>
      <c r="H18" s="375">
        <v>25126890.76</v>
      </c>
      <c r="I18" s="407">
        <f>H18/G18</f>
        <v>1</v>
      </c>
      <c r="J18" s="214">
        <f>J30</f>
        <v>25126890.76</v>
      </c>
      <c r="K18" s="192">
        <v>21999500</v>
      </c>
      <c r="L18" s="387">
        <v>23223683</v>
      </c>
      <c r="M18" s="192">
        <v>21144210.66</v>
      </c>
      <c r="N18" s="192">
        <v>20294000</v>
      </c>
      <c r="O18" s="192">
        <v>15805000</v>
      </c>
      <c r="S18" s="91"/>
    </row>
    <row r="19" spans="1:19" s="5" customFormat="1" ht="12">
      <c r="A19" s="240"/>
      <c r="B19" s="4" t="s">
        <v>20</v>
      </c>
      <c r="C19" s="3"/>
      <c r="D19" s="3"/>
      <c r="E19" s="246">
        <v>16</v>
      </c>
      <c r="F19" s="289">
        <v>4800000</v>
      </c>
      <c r="G19" s="192">
        <f>J19</f>
        <v>4800000</v>
      </c>
      <c r="H19" s="375">
        <v>4800000</v>
      </c>
      <c r="I19" s="407">
        <f>H19/G19</f>
        <v>1</v>
      </c>
      <c r="J19" s="214">
        <f>J31</f>
        <v>4800000</v>
      </c>
      <c r="K19" s="192">
        <v>3400000</v>
      </c>
      <c r="L19" s="387">
        <v>4634574.29</v>
      </c>
      <c r="M19" s="192">
        <v>3038070.12</v>
      </c>
      <c r="N19" s="192">
        <v>2067000</v>
      </c>
      <c r="O19" s="192">
        <v>60000</v>
      </c>
      <c r="S19" s="91"/>
    </row>
    <row r="20" spans="1:19" s="5" customFormat="1" ht="12">
      <c r="A20" s="240"/>
      <c r="B20" s="4" t="s">
        <v>16</v>
      </c>
      <c r="C20" s="3"/>
      <c r="D20" s="3"/>
      <c r="E20" s="246">
        <v>17</v>
      </c>
      <c r="F20" s="289"/>
      <c r="G20" s="192"/>
      <c r="H20" s="375"/>
      <c r="I20" s="407"/>
      <c r="J20" s="214">
        <f t="shared" si="4"/>
        <v>0</v>
      </c>
      <c r="K20" s="192"/>
      <c r="L20" s="387">
        <v>0</v>
      </c>
      <c r="M20" s="192"/>
      <c r="N20" s="192"/>
      <c r="O20" s="192"/>
      <c r="S20" s="91"/>
    </row>
    <row r="21" spans="1:19" s="5" customFormat="1" ht="12">
      <c r="A21" s="240"/>
      <c r="B21" s="4" t="s">
        <v>24</v>
      </c>
      <c r="C21" s="4"/>
      <c r="D21" s="4"/>
      <c r="E21" s="246">
        <v>18</v>
      </c>
      <c r="F21" s="289">
        <v>100000</v>
      </c>
      <c r="G21" s="192"/>
      <c r="H21" s="375"/>
      <c r="I21" s="407"/>
      <c r="J21" s="214">
        <f t="shared" si="4"/>
        <v>0</v>
      </c>
      <c r="K21" s="192">
        <v>80224.38</v>
      </c>
      <c r="L21" s="387">
        <v>0</v>
      </c>
      <c r="M21" s="192"/>
      <c r="N21" s="192"/>
      <c r="O21" s="192"/>
      <c r="S21" s="91"/>
    </row>
    <row r="22" spans="1:19" s="5" customFormat="1" ht="12">
      <c r="A22" s="240"/>
      <c r="B22" s="4" t="s">
        <v>31</v>
      </c>
      <c r="C22" s="4"/>
      <c r="D22" s="4"/>
      <c r="E22" s="246">
        <v>19</v>
      </c>
      <c r="F22" s="289">
        <v>15130000</v>
      </c>
      <c r="G22" s="192"/>
      <c r="H22" s="375">
        <v>17315470.74</v>
      </c>
      <c r="I22" s="407" t="e">
        <f>H22/G22</f>
        <v>#DIV/0!</v>
      </c>
      <c r="J22" s="542">
        <f t="shared" si="4"/>
        <v>17315470.74</v>
      </c>
      <c r="K22" s="192">
        <v>8406171.88</v>
      </c>
      <c r="L22" s="387">
        <v>8756657.24</v>
      </c>
      <c r="M22" s="192">
        <v>5308857.26</v>
      </c>
      <c r="N22" s="192">
        <v>9165000</v>
      </c>
      <c r="O22" s="192">
        <v>9253000</v>
      </c>
      <c r="S22" s="91"/>
    </row>
    <row r="23" spans="1:19" s="5" customFormat="1" ht="12">
      <c r="A23" s="240"/>
      <c r="B23" s="4" t="s">
        <v>25</v>
      </c>
      <c r="C23" s="4"/>
      <c r="D23" s="4"/>
      <c r="E23" s="246">
        <v>20</v>
      </c>
      <c r="F23" s="289"/>
      <c r="G23" s="192"/>
      <c r="H23" s="375"/>
      <c r="I23" s="407"/>
      <c r="J23" s="214">
        <f t="shared" si="4"/>
        <v>0</v>
      </c>
      <c r="K23" s="192"/>
      <c r="L23" s="387">
        <v>0</v>
      </c>
      <c r="M23" s="192"/>
      <c r="N23" s="192"/>
      <c r="O23" s="192"/>
      <c r="S23" s="91"/>
    </row>
    <row r="24" spans="1:19" s="5" customFormat="1" ht="12">
      <c r="A24" s="240"/>
      <c r="B24" s="4" t="s">
        <v>26</v>
      </c>
      <c r="C24" s="4"/>
      <c r="D24" s="4"/>
      <c r="E24" s="246">
        <v>21</v>
      </c>
      <c r="F24" s="289"/>
      <c r="G24" s="192"/>
      <c r="H24" s="375"/>
      <c r="I24" s="407"/>
      <c r="J24" s="214">
        <f t="shared" si="4"/>
        <v>0</v>
      </c>
      <c r="K24" s="192"/>
      <c r="L24" s="387">
        <v>0</v>
      </c>
      <c r="M24" s="192"/>
      <c r="N24" s="192"/>
      <c r="O24" s="192"/>
      <c r="S24" s="91"/>
    </row>
    <row r="25" spans="1:19" s="5" customFormat="1" ht="12">
      <c r="A25" s="240"/>
      <c r="B25" s="4" t="s">
        <v>27</v>
      </c>
      <c r="C25" s="4"/>
      <c r="D25" s="4"/>
      <c r="E25" s="246">
        <v>22</v>
      </c>
      <c r="F25" s="289"/>
      <c r="G25" s="192"/>
      <c r="H25" s="375"/>
      <c r="I25" s="407"/>
      <c r="J25" s="214">
        <f t="shared" si="4"/>
        <v>0</v>
      </c>
      <c r="K25" s="192"/>
      <c r="L25" s="387">
        <v>0</v>
      </c>
      <c r="M25" s="192"/>
      <c r="N25" s="192"/>
      <c r="O25" s="192"/>
      <c r="S25" s="91"/>
    </row>
    <row r="26" spans="1:19" s="5" customFormat="1" ht="12">
      <c r="A26" s="240"/>
      <c r="B26" s="95" t="s">
        <v>30</v>
      </c>
      <c r="C26" s="95"/>
      <c r="D26" s="95"/>
      <c r="E26" s="246">
        <v>23</v>
      </c>
      <c r="F26" s="289"/>
      <c r="G26" s="192"/>
      <c r="H26" s="375"/>
      <c r="I26" s="407"/>
      <c r="J26" s="214">
        <f>H26/12*12</f>
        <v>0</v>
      </c>
      <c r="K26" s="192"/>
      <c r="L26" s="387">
        <v>0</v>
      </c>
      <c r="M26" s="192"/>
      <c r="N26" s="192"/>
      <c r="O26" s="192"/>
      <c r="S26" s="91"/>
    </row>
    <row r="27" spans="1:19" ht="12.75">
      <c r="A27" s="239" t="s">
        <v>158</v>
      </c>
      <c r="B27" s="171"/>
      <c r="C27" s="171"/>
      <c r="D27" s="171"/>
      <c r="E27" s="245">
        <v>24</v>
      </c>
      <c r="F27" s="255">
        <f>SUM(F28:F42)</f>
        <v>56178800</v>
      </c>
      <c r="G27" s="221">
        <f>SUM(G28:G42)</f>
        <v>37450890.760000005</v>
      </c>
      <c r="H27" s="590">
        <f>SUM(H28:H42)</f>
        <v>59525227.2</v>
      </c>
      <c r="I27" s="403">
        <f>H27/F27</f>
        <v>1.059567438250728</v>
      </c>
      <c r="J27" s="380">
        <f aca="true" t="shared" si="5" ref="J27:O27">SUM(J28:J42)</f>
        <v>59525227.2</v>
      </c>
      <c r="K27" s="221">
        <f t="shared" si="5"/>
        <v>43265356.3</v>
      </c>
      <c r="L27" s="386">
        <f t="shared" si="5"/>
        <v>44503122.28</v>
      </c>
      <c r="M27" s="221">
        <f t="shared" si="5"/>
        <v>36695590.19</v>
      </c>
      <c r="N27" s="221">
        <f t="shared" si="5"/>
        <v>37715000</v>
      </c>
      <c r="O27" s="221">
        <f t="shared" si="5"/>
        <v>30839000</v>
      </c>
      <c r="S27" s="91"/>
    </row>
    <row r="28" spans="1:1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v>7444000</v>
      </c>
      <c r="G28" s="337">
        <f>7380000+144000</f>
        <v>7524000</v>
      </c>
      <c r="H28" s="375">
        <v>7524000</v>
      </c>
      <c r="I28" s="407">
        <f>H28/G28</f>
        <v>1</v>
      </c>
      <c r="J28" s="448">
        <f>G28</f>
        <v>7524000</v>
      </c>
      <c r="K28" s="192">
        <v>6109900</v>
      </c>
      <c r="L28" s="387">
        <v>6124000</v>
      </c>
      <c r="M28" s="192">
        <v>5280000</v>
      </c>
      <c r="N28" s="192">
        <v>4500000</v>
      </c>
      <c r="O28" s="192">
        <v>3720000</v>
      </c>
      <c r="R28" s="10"/>
      <c r="S28" s="91"/>
    </row>
    <row r="29" spans="1:19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570"/>
      <c r="I29" s="407"/>
      <c r="J29" s="448">
        <f>G29</f>
        <v>0</v>
      </c>
      <c r="K29" s="326"/>
      <c r="L29" s="389">
        <v>0</v>
      </c>
      <c r="M29" s="326"/>
      <c r="N29" s="326"/>
      <c r="O29" s="326"/>
      <c r="S29" s="91"/>
    </row>
    <row r="30" spans="1:19" s="5" customFormat="1" ht="12">
      <c r="A30" s="240"/>
      <c r="B30" s="4" t="s">
        <v>15</v>
      </c>
      <c r="C30" s="4"/>
      <c r="D30" s="4"/>
      <c r="E30" s="246">
        <v>27</v>
      </c>
      <c r="F30" s="292">
        <v>25000000</v>
      </c>
      <c r="G30" s="326">
        <v>25126890.76</v>
      </c>
      <c r="H30" s="570">
        <v>25126890.76</v>
      </c>
      <c r="I30" s="407">
        <f>H30/G30</f>
        <v>1</v>
      </c>
      <c r="J30" s="448">
        <f>G30</f>
        <v>25126890.76</v>
      </c>
      <c r="K30" s="326">
        <v>21999500</v>
      </c>
      <c r="L30" s="389">
        <v>23223683</v>
      </c>
      <c r="M30" s="326">
        <v>21144210.43</v>
      </c>
      <c r="N30" s="326">
        <v>20294000</v>
      </c>
      <c r="O30" s="326">
        <f>O18</f>
        <v>15805000</v>
      </c>
      <c r="R30" s="465">
        <v>681000</v>
      </c>
      <c r="S30" s="91"/>
    </row>
    <row r="31" spans="1:19" s="5" customFormat="1" ht="12">
      <c r="A31" s="240"/>
      <c r="B31" s="4" t="s">
        <v>20</v>
      </c>
      <c r="C31" s="3"/>
      <c r="D31" s="3"/>
      <c r="E31" s="246">
        <v>28</v>
      </c>
      <c r="F31" s="292">
        <v>4800000</v>
      </c>
      <c r="G31" s="326">
        <v>4800000</v>
      </c>
      <c r="H31" s="570">
        <v>4800000</v>
      </c>
      <c r="I31" s="407">
        <f>H31/G31</f>
        <v>1</v>
      </c>
      <c r="J31" s="448">
        <f>G31</f>
        <v>4800000</v>
      </c>
      <c r="K31" s="326">
        <v>3400000</v>
      </c>
      <c r="L31" s="389">
        <v>4634574.29</v>
      </c>
      <c r="M31" s="326">
        <v>3038070.12</v>
      </c>
      <c r="N31" s="326">
        <v>2067000</v>
      </c>
      <c r="O31" s="326">
        <v>60000</v>
      </c>
      <c r="S31" s="91"/>
    </row>
    <row r="32" spans="1:19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570"/>
      <c r="I32" s="407"/>
      <c r="J32" s="353">
        <f t="shared" si="4"/>
        <v>0</v>
      </c>
      <c r="K32" s="326"/>
      <c r="L32" s="389">
        <v>0</v>
      </c>
      <c r="M32" s="326"/>
      <c r="N32" s="326"/>
      <c r="O32" s="326"/>
      <c r="S32" s="91"/>
    </row>
    <row r="33" spans="1:19" s="5" customFormat="1" ht="12">
      <c r="A33" s="240"/>
      <c r="B33" s="4" t="s">
        <v>173</v>
      </c>
      <c r="C33" s="4"/>
      <c r="D33" s="4"/>
      <c r="E33" s="246">
        <v>30</v>
      </c>
      <c r="F33" s="292"/>
      <c r="G33" s="326"/>
      <c r="H33" s="570"/>
      <c r="I33" s="407"/>
      <c r="J33" s="353">
        <f t="shared" si="4"/>
        <v>0</v>
      </c>
      <c r="K33" s="326"/>
      <c r="L33" s="389">
        <v>0</v>
      </c>
      <c r="M33" s="326"/>
      <c r="N33" s="326"/>
      <c r="O33" s="326"/>
      <c r="S33" s="91"/>
    </row>
    <row r="34" spans="1:19" s="5" customFormat="1" ht="12">
      <c r="A34" s="240"/>
      <c r="B34" s="4" t="s">
        <v>24</v>
      </c>
      <c r="C34" s="4"/>
      <c r="D34" s="4"/>
      <c r="E34" s="246">
        <v>31</v>
      </c>
      <c r="F34" s="292">
        <v>100000</v>
      </c>
      <c r="G34" s="326"/>
      <c r="H34" s="570"/>
      <c r="I34" s="407"/>
      <c r="J34" s="353">
        <f t="shared" si="4"/>
        <v>0</v>
      </c>
      <c r="K34" s="326">
        <v>80224.38</v>
      </c>
      <c r="L34" s="389">
        <v>0</v>
      </c>
      <c r="M34" s="326"/>
      <c r="N34" s="326"/>
      <c r="O34" s="326"/>
      <c r="S34" s="91"/>
    </row>
    <row r="35" spans="1:19" s="5" customFormat="1" ht="12">
      <c r="A35" s="240"/>
      <c r="B35" s="4" t="s">
        <v>31</v>
      </c>
      <c r="C35" s="4"/>
      <c r="D35" s="4"/>
      <c r="E35" s="246">
        <v>32</v>
      </c>
      <c r="F35" s="292">
        <v>15130000</v>
      </c>
      <c r="G35" s="326"/>
      <c r="H35" s="570">
        <v>17315470.74</v>
      </c>
      <c r="I35" s="407"/>
      <c r="J35" s="439">
        <f>J22</f>
        <v>17315470.74</v>
      </c>
      <c r="K35" s="326">
        <v>8404170.55</v>
      </c>
      <c r="L35" s="389">
        <v>8756657.24</v>
      </c>
      <c r="M35" s="326">
        <v>5308855.59</v>
      </c>
      <c r="N35" s="326">
        <v>9165000</v>
      </c>
      <c r="O35" s="326">
        <v>9253000</v>
      </c>
      <c r="S35" s="91"/>
    </row>
    <row r="36" spans="1:19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570"/>
      <c r="I36" s="407"/>
      <c r="J36" s="353">
        <f t="shared" si="4"/>
        <v>0</v>
      </c>
      <c r="K36" s="326"/>
      <c r="L36" s="389">
        <v>0</v>
      </c>
      <c r="M36" s="326"/>
      <c r="N36" s="326"/>
      <c r="O36" s="326"/>
      <c r="S36" s="91"/>
    </row>
    <row r="37" spans="1:19" s="5" customFormat="1" ht="12">
      <c r="A37" s="240"/>
      <c r="B37" s="4" t="s">
        <v>25</v>
      </c>
      <c r="C37" s="4"/>
      <c r="D37" s="4"/>
      <c r="E37" s="246">
        <v>34</v>
      </c>
      <c r="F37" s="292"/>
      <c r="G37" s="326"/>
      <c r="H37" s="570"/>
      <c r="I37" s="407"/>
      <c r="J37" s="353">
        <f t="shared" si="4"/>
        <v>0</v>
      </c>
      <c r="K37" s="326"/>
      <c r="L37" s="389">
        <v>0</v>
      </c>
      <c r="M37" s="326"/>
      <c r="N37" s="326"/>
      <c r="O37" s="326"/>
      <c r="S37" s="91"/>
    </row>
    <row r="38" spans="1:19" s="5" customFormat="1" ht="12">
      <c r="A38" s="240"/>
      <c r="B38" s="4" t="s">
        <v>26</v>
      </c>
      <c r="C38" s="4"/>
      <c r="D38" s="4"/>
      <c r="E38" s="246">
        <v>35</v>
      </c>
      <c r="F38" s="292"/>
      <c r="G38" s="326"/>
      <c r="H38" s="570"/>
      <c r="I38" s="407"/>
      <c r="J38" s="353">
        <f t="shared" si="4"/>
        <v>0</v>
      </c>
      <c r="K38" s="326"/>
      <c r="L38" s="389">
        <v>0</v>
      </c>
      <c r="M38" s="326"/>
      <c r="N38" s="326"/>
      <c r="O38" s="326"/>
      <c r="S38" s="91"/>
    </row>
    <row r="39" spans="1:19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570"/>
      <c r="I39" s="407"/>
      <c r="J39" s="353">
        <f t="shared" si="4"/>
        <v>0</v>
      </c>
      <c r="K39" s="326"/>
      <c r="L39" s="389">
        <v>0</v>
      </c>
      <c r="M39" s="326"/>
      <c r="N39" s="326"/>
      <c r="O39" s="326"/>
      <c r="S39" s="91"/>
    </row>
    <row r="40" spans="1:19" s="5" customFormat="1" ht="13.5">
      <c r="A40" s="240"/>
      <c r="B40" s="4" t="s">
        <v>180</v>
      </c>
      <c r="C40" s="4"/>
      <c r="D40" s="4"/>
      <c r="E40" s="246">
        <v>37</v>
      </c>
      <c r="F40" s="292">
        <v>3704800</v>
      </c>
      <c r="G40" s="326"/>
      <c r="H40" s="570">
        <v>4758865.7</v>
      </c>
      <c r="I40" s="407">
        <f>H40/F40</f>
        <v>1.284513522997193</v>
      </c>
      <c r="J40" s="353">
        <f>(H40+0)/12*12</f>
        <v>4758865.7</v>
      </c>
      <c r="K40" s="326">
        <v>3271561.37</v>
      </c>
      <c r="L40" s="389">
        <v>1764207.75</v>
      </c>
      <c r="M40" s="326">
        <v>1924454.05</v>
      </c>
      <c r="N40" s="326">
        <v>1689000</v>
      </c>
      <c r="O40" s="326">
        <v>2001000</v>
      </c>
      <c r="S40" s="91"/>
    </row>
    <row r="41" spans="1:19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570"/>
      <c r="I41" s="407"/>
      <c r="J41" s="353">
        <f t="shared" si="4"/>
        <v>0</v>
      </c>
      <c r="K41" s="326"/>
      <c r="L41" s="389">
        <v>0</v>
      </c>
      <c r="M41" s="326"/>
      <c r="N41" s="326"/>
      <c r="O41" s="326"/>
      <c r="S41" s="91"/>
    </row>
    <row r="42" spans="1:19" s="5" customFormat="1" ht="12">
      <c r="A42" s="240"/>
      <c r="B42" s="4" t="s">
        <v>30</v>
      </c>
      <c r="C42" s="4"/>
      <c r="D42" s="4"/>
      <c r="E42" s="246">
        <v>39</v>
      </c>
      <c r="F42" s="292"/>
      <c r="G42" s="326"/>
      <c r="H42" s="570"/>
      <c r="I42" s="407"/>
      <c r="J42" s="353">
        <f>H42/12*12</f>
        <v>0</v>
      </c>
      <c r="K42" s="326"/>
      <c r="L42" s="389">
        <v>0</v>
      </c>
      <c r="M42" s="326"/>
      <c r="N42" s="326"/>
      <c r="O42" s="326"/>
      <c r="S42" s="91"/>
    </row>
    <row r="43" spans="1:19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689600</v>
      </c>
      <c r="G43" s="227"/>
      <c r="H43" s="592">
        <v>-85781.32</v>
      </c>
      <c r="I43" s="408"/>
      <c r="J43" s="211">
        <f>J28+J33+J36+J40+J41+J42-J5-J26</f>
        <v>491181.44999999925</v>
      </c>
      <c r="K43" s="227"/>
      <c r="L43" s="234"/>
      <c r="M43" s="227"/>
      <c r="N43" s="227">
        <f>N28+N33+N36+N40+N41+N42-N26-N5</f>
        <v>385000</v>
      </c>
      <c r="O43" s="227">
        <f>O28+O33+O36+O40+O41+O42-O26-O5</f>
        <v>544000</v>
      </c>
      <c r="S43" s="89"/>
    </row>
    <row r="44" spans="1:15" ht="12.75">
      <c r="A44" s="239" t="s">
        <v>165</v>
      </c>
      <c r="B44" s="171"/>
      <c r="C44" s="171"/>
      <c r="D44" s="171"/>
      <c r="E44" s="245">
        <v>40</v>
      </c>
      <c r="F44" s="255">
        <f>F27-F4</f>
        <v>689600</v>
      </c>
      <c r="G44" s="221"/>
      <c r="H44" s="590">
        <f>H27-H4</f>
        <v>491181.450000003</v>
      </c>
      <c r="I44" s="403">
        <f>H44/F44</f>
        <v>0.7122700841067329</v>
      </c>
      <c r="J44" s="380">
        <f aca="true" t="shared" si="6" ref="J44:O44">J27-J4</f>
        <v>491181.450000003</v>
      </c>
      <c r="K44" s="221">
        <f t="shared" si="6"/>
        <v>777749.8199999928</v>
      </c>
      <c r="L44" s="386">
        <f t="shared" si="6"/>
        <v>19537.37999999523</v>
      </c>
      <c r="M44" s="221">
        <f t="shared" si="6"/>
        <v>26687.369999997318</v>
      </c>
      <c r="N44" s="221">
        <f t="shared" si="6"/>
        <v>385000</v>
      </c>
      <c r="O44" s="221">
        <f t="shared" si="6"/>
        <v>544000</v>
      </c>
    </row>
    <row r="45" spans="1:9" s="90" customFormat="1" ht="11.25">
      <c r="A45" s="90" t="s">
        <v>167</v>
      </c>
      <c r="H45" s="593"/>
      <c r="I45" s="410"/>
    </row>
    <row r="46" spans="1:10" s="90" customFormat="1" ht="11.25">
      <c r="A46" s="210" t="s">
        <v>141</v>
      </c>
      <c r="F46" s="91">
        <f>SUM(F47:F48)</f>
        <v>74000</v>
      </c>
      <c r="G46" s="91"/>
      <c r="H46" s="569"/>
      <c r="I46" s="411"/>
      <c r="J46" s="91"/>
    </row>
    <row r="47" spans="1:11" s="90" customFormat="1" ht="11.25">
      <c r="A47" s="142" t="s">
        <v>142</v>
      </c>
      <c r="F47" s="91">
        <v>64000</v>
      </c>
      <c r="G47" s="91"/>
      <c r="H47" s="569"/>
      <c r="I47" s="411"/>
      <c r="J47" s="91"/>
      <c r="K47" s="91"/>
    </row>
    <row r="48" spans="1:11" s="90" customFormat="1" ht="11.25">
      <c r="A48" s="142" t="s">
        <v>143</v>
      </c>
      <c r="F48" s="91">
        <v>10000</v>
      </c>
      <c r="G48" s="91"/>
      <c r="H48" s="569"/>
      <c r="I48" s="411"/>
      <c r="J48" s="91"/>
      <c r="K48" s="91"/>
    </row>
    <row r="49" spans="1:11" s="90" customFormat="1" ht="11.25">
      <c r="A49" s="142" t="s">
        <v>145</v>
      </c>
      <c r="F49" s="91"/>
      <c r="G49" s="91"/>
      <c r="H49" s="569"/>
      <c r="I49" s="411"/>
      <c r="J49" s="91"/>
      <c r="K49" s="91"/>
    </row>
    <row r="50" spans="1:11" s="90" customFormat="1" ht="11.25">
      <c r="A50" s="90" t="s">
        <v>170</v>
      </c>
      <c r="F50" s="91">
        <v>7380000</v>
      </c>
      <c r="G50" s="91"/>
      <c r="H50" s="569"/>
      <c r="I50" s="411"/>
      <c r="J50" s="91"/>
      <c r="K50" s="91"/>
    </row>
    <row r="51" spans="1:9" s="90" customFormat="1" ht="11.25">
      <c r="A51" s="90" t="s">
        <v>146</v>
      </c>
      <c r="H51" s="593"/>
      <c r="I51" s="410"/>
    </row>
    <row r="52" spans="1:10" s="90" customFormat="1" ht="11.25">
      <c r="A52" s="90" t="s">
        <v>171</v>
      </c>
      <c r="F52" s="233">
        <f>F47</f>
        <v>64000</v>
      </c>
      <c r="G52" s="211"/>
      <c r="H52" s="594"/>
      <c r="I52" s="412"/>
      <c r="J52" s="211"/>
    </row>
    <row r="53" spans="1:10" s="90" customFormat="1" ht="11.25">
      <c r="A53" s="90" t="s">
        <v>169</v>
      </c>
      <c r="F53" s="91">
        <f>SUM(F50:F52)</f>
        <v>7444000</v>
      </c>
      <c r="G53" s="91"/>
      <c r="H53" s="569"/>
      <c r="I53" s="411"/>
      <c r="J53" s="91"/>
    </row>
    <row r="54" spans="8:9" s="90" customFormat="1" ht="11.25">
      <c r="H54" s="593"/>
      <c r="I54" s="410"/>
    </row>
  </sheetData>
  <mergeCells count="1">
    <mergeCell ref="A1:D1"/>
  </mergeCells>
  <printOptions horizontalCentered="1"/>
  <pageMargins left="0.54" right="0.26" top="0.38" bottom="0.33" header="0.1968503937007874" footer="0.19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indexed="43"/>
  </sheetPr>
  <dimension ref="A1:P53"/>
  <sheetViews>
    <sheetView workbookViewId="0" topLeftCell="A1">
      <selection activeCell="G49" sqref="G4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375" style="0" customWidth="1"/>
    <col min="5" max="5" width="3.75390625" style="0" customWidth="1"/>
    <col min="6" max="7" width="8.375" style="0" customWidth="1"/>
    <col min="8" max="8" width="7.375" style="0" customWidth="1"/>
    <col min="9" max="10" width="8.375" style="0" customWidth="1"/>
    <col min="11" max="11" width="8.00390625" style="0" customWidth="1"/>
    <col min="12" max="14" width="8.375" style="0" customWidth="1"/>
    <col min="15" max="15" width="9.125" style="310" customWidth="1"/>
    <col min="16" max="16" width="9.875" style="0" customWidth="1"/>
  </cols>
  <sheetData>
    <row r="1" spans="1:16" ht="12.75">
      <c r="A1" s="610" t="s">
        <v>202</v>
      </c>
      <c r="B1" s="611"/>
      <c r="C1" s="611"/>
      <c r="D1" s="612"/>
      <c r="E1" s="236"/>
      <c r="F1" s="269" t="s">
        <v>59</v>
      </c>
      <c r="G1" s="269" t="s">
        <v>60</v>
      </c>
      <c r="H1" s="269" t="s">
        <v>62</v>
      </c>
      <c r="I1" s="269" t="s">
        <v>61</v>
      </c>
      <c r="J1" s="269" t="s">
        <v>63</v>
      </c>
      <c r="K1" s="269" t="s">
        <v>64</v>
      </c>
      <c r="L1" s="269" t="s">
        <v>65</v>
      </c>
      <c r="M1" s="269" t="s">
        <v>66</v>
      </c>
      <c r="N1" s="270" t="s">
        <v>67</v>
      </c>
      <c r="O1" s="306" t="s">
        <v>72</v>
      </c>
      <c r="P1" s="199"/>
    </row>
    <row r="2" spans="1:15" s="7" customFormat="1" ht="12.75">
      <c r="A2" s="271" t="s">
        <v>38</v>
      </c>
      <c r="B2" s="137"/>
      <c r="C2" s="137"/>
      <c r="D2" s="138" t="s">
        <v>43</v>
      </c>
      <c r="E2" s="139" t="s">
        <v>21</v>
      </c>
      <c r="F2" s="272">
        <v>11</v>
      </c>
      <c r="G2" s="272">
        <v>21</v>
      </c>
      <c r="H2" s="272">
        <v>22</v>
      </c>
      <c r="I2" s="272">
        <v>23</v>
      </c>
      <c r="J2" s="272">
        <v>31</v>
      </c>
      <c r="K2" s="272">
        <v>33</v>
      </c>
      <c r="L2" s="272">
        <v>41</v>
      </c>
      <c r="M2" s="272">
        <v>51</v>
      </c>
      <c r="N2" s="273">
        <v>56</v>
      </c>
      <c r="O2" s="307" t="s">
        <v>68</v>
      </c>
    </row>
    <row r="3" spans="1:15" ht="12.75">
      <c r="A3" s="239" t="s">
        <v>157</v>
      </c>
      <c r="B3" s="171"/>
      <c r="C3" s="171"/>
      <c r="D3" s="171"/>
      <c r="E3" s="172">
        <v>1</v>
      </c>
      <c r="F3" s="179">
        <f aca="true" t="shared" si="0" ref="F3:O3">SUM(F5:F25)</f>
        <v>443868.03925</v>
      </c>
      <c r="G3" s="179">
        <f t="shared" si="0"/>
        <v>306553.69959000003</v>
      </c>
      <c r="H3" s="179">
        <f t="shared" si="0"/>
        <v>124360.78399000001</v>
      </c>
      <c r="I3" s="179">
        <f t="shared" si="0"/>
        <v>178617.58143000005</v>
      </c>
      <c r="J3" s="179">
        <f t="shared" si="0"/>
        <v>603171.4643400001</v>
      </c>
      <c r="K3" s="179">
        <f t="shared" si="0"/>
        <v>163600.51762</v>
      </c>
      <c r="L3" s="179">
        <f t="shared" si="0"/>
        <v>229129.80599999998</v>
      </c>
      <c r="M3" s="179">
        <f t="shared" si="0"/>
        <v>76775.51628000001</v>
      </c>
      <c r="N3" s="180">
        <f t="shared" si="0"/>
        <v>148165.91348999998</v>
      </c>
      <c r="O3" s="308">
        <f t="shared" si="0"/>
        <v>2274243.32199</v>
      </c>
    </row>
    <row r="4" spans="1:15" s="5" customFormat="1" ht="12">
      <c r="A4" s="240" t="s">
        <v>10</v>
      </c>
      <c r="B4" s="3" t="s">
        <v>91</v>
      </c>
      <c r="C4" s="3"/>
      <c r="D4" s="3"/>
      <c r="E4" s="8">
        <v>2</v>
      </c>
      <c r="F4" s="37">
        <f aca="true" t="shared" si="1" ref="F4:O4">SUM(F5:F15)</f>
        <v>304491.54439999996</v>
      </c>
      <c r="G4" s="37">
        <f t="shared" si="1"/>
        <v>225741.80105</v>
      </c>
      <c r="H4" s="37">
        <f t="shared" si="1"/>
        <v>112827.03846000001</v>
      </c>
      <c r="I4" s="37">
        <f t="shared" si="1"/>
        <v>99867.80500000001</v>
      </c>
      <c r="J4" s="37">
        <f t="shared" si="1"/>
        <v>282684.15371000004</v>
      </c>
      <c r="K4" s="37">
        <f t="shared" si="1"/>
        <v>104967.86909</v>
      </c>
      <c r="L4" s="37">
        <f t="shared" si="1"/>
        <v>187005.95036999998</v>
      </c>
      <c r="M4" s="37">
        <f t="shared" si="1"/>
        <v>68240.77258</v>
      </c>
      <c r="N4" s="135">
        <f t="shared" si="1"/>
        <v>107814.60772999999</v>
      </c>
      <c r="O4" s="289">
        <f t="shared" si="1"/>
        <v>1493641.54239</v>
      </c>
    </row>
    <row r="5" spans="1:16" s="29" customFormat="1" ht="12">
      <c r="A5" s="241"/>
      <c r="B5" s="27"/>
      <c r="C5" s="27" t="s">
        <v>13</v>
      </c>
      <c r="D5" s="28" t="s">
        <v>17</v>
      </c>
      <c r="E5" s="8">
        <v>3</v>
      </c>
      <c r="F5" s="38">
        <f>LF!H6/1000</f>
        <v>149038.222</v>
      </c>
      <c r="G5" s="38">
        <f>'FF'!H6/1000</f>
        <v>126382.776</v>
      </c>
      <c r="H5" s="38">
        <f>PrF!H6/1000</f>
        <v>55341.594</v>
      </c>
      <c r="I5" s="38">
        <f>FSS!H6/1000</f>
        <v>50635.99753</v>
      </c>
      <c r="J5" s="38">
        <f>PřF!H6/1000</f>
        <v>114784.0234</v>
      </c>
      <c r="K5" s="38">
        <f>'FI'!H6/1000</f>
        <v>41450.955</v>
      </c>
      <c r="L5" s="38">
        <f>PdF!H6/1000</f>
        <v>102027.101</v>
      </c>
      <c r="M5" s="38">
        <f>FSpS!H6/1000</f>
        <v>34695.744</v>
      </c>
      <c r="N5" s="134">
        <f>ESF!H6/1000</f>
        <v>55975.438</v>
      </c>
      <c r="O5" s="222">
        <f aca="true" t="shared" si="2" ref="O5:O25">SUM(F5:N5)</f>
        <v>730331.85093</v>
      </c>
      <c r="P5" s="36"/>
    </row>
    <row r="6" spans="1:15" s="29" customFormat="1" ht="12">
      <c r="A6" s="241"/>
      <c r="B6" s="27"/>
      <c r="C6" s="27"/>
      <c r="D6" s="28" t="s">
        <v>18</v>
      </c>
      <c r="E6" s="8">
        <v>4</v>
      </c>
      <c r="F6" s="38">
        <f>LF!H7/1000</f>
        <v>3518.824</v>
      </c>
      <c r="G6" s="38">
        <f>'FF'!H7/1000</f>
        <v>4130.603</v>
      </c>
      <c r="H6" s="38">
        <f>PrF!H7/1000</f>
        <v>1461.134</v>
      </c>
      <c r="I6" s="38">
        <f>FSS!H7/1000</f>
        <v>1812.88</v>
      </c>
      <c r="J6" s="38">
        <f>PřF!H7/1000</f>
        <v>1975.951</v>
      </c>
      <c r="K6" s="38">
        <f>'FI'!H7/1000</f>
        <v>1661.205</v>
      </c>
      <c r="L6" s="38">
        <f>PdF!H7/1000</f>
        <v>6300.487</v>
      </c>
      <c r="M6" s="38">
        <f>FSpS!H7/1000</f>
        <v>1441.708</v>
      </c>
      <c r="N6" s="134">
        <f>ESF!H7/1000</f>
        <v>2466.369</v>
      </c>
      <c r="O6" s="222">
        <f t="shared" si="2"/>
        <v>24769.160999999996</v>
      </c>
    </row>
    <row r="7" spans="1:15" s="29" customFormat="1" ht="12">
      <c r="A7" s="241"/>
      <c r="B7" s="27"/>
      <c r="C7" s="27"/>
      <c r="D7" s="28" t="s">
        <v>19</v>
      </c>
      <c r="E7" s="8">
        <v>5</v>
      </c>
      <c r="F7" s="38">
        <f>LF!H8/1000</f>
        <v>52496.431950000006</v>
      </c>
      <c r="G7" s="38">
        <f>'FF'!H8/1000</f>
        <v>44608.699</v>
      </c>
      <c r="H7" s="38">
        <f>PrF!H8/1000</f>
        <v>19632.682</v>
      </c>
      <c r="I7" s="38">
        <f>FSS!H8/1000</f>
        <v>17814.142920000002</v>
      </c>
      <c r="J7" s="38">
        <f>PřF!H8/1000</f>
        <v>40269.500700000004</v>
      </c>
      <c r="K7" s="38">
        <f>'FI'!H8/1000</f>
        <v>14722.34</v>
      </c>
      <c r="L7" s="38">
        <f>PdF!H8/1000</f>
        <v>36053.696</v>
      </c>
      <c r="M7" s="38">
        <f>FSpS!H8/1000</f>
        <v>12157.033</v>
      </c>
      <c r="N7" s="134">
        <f>ESF!H8/1000</f>
        <v>20001.109</v>
      </c>
      <c r="O7" s="222">
        <f t="shared" si="2"/>
        <v>257755.63457</v>
      </c>
    </row>
    <row r="8" spans="1:15" s="29" customFormat="1" ht="12">
      <c r="A8" s="241"/>
      <c r="B8" s="27"/>
      <c r="C8" s="27"/>
      <c r="D8" s="28" t="s">
        <v>0</v>
      </c>
      <c r="E8" s="8">
        <v>6</v>
      </c>
      <c r="F8" s="38">
        <f>LF!H9/1000</f>
        <v>8234.84102</v>
      </c>
      <c r="G8" s="38">
        <f>'FF'!H9/1000</f>
        <v>5220.27601</v>
      </c>
      <c r="H8" s="38">
        <f>PrF!H9/1000</f>
        <v>3439.09521</v>
      </c>
      <c r="I8" s="38">
        <f>FSS!H9/1000</f>
        <v>1988.5701999999999</v>
      </c>
      <c r="J8" s="38">
        <f>PřF!H9/1000</f>
        <v>15627.226869999999</v>
      </c>
      <c r="K8" s="38">
        <f>'FI'!H9/1000</f>
        <v>3197.0415</v>
      </c>
      <c r="L8" s="38">
        <f>PdF!H9/1000</f>
        <v>3714.04308</v>
      </c>
      <c r="M8" s="38">
        <f>FSpS!H9/1000</f>
        <v>3412.2544199999998</v>
      </c>
      <c r="N8" s="134">
        <f>ESF!H9/1000</f>
        <v>1466.25175</v>
      </c>
      <c r="O8" s="222">
        <f t="shared" si="2"/>
        <v>46299.60006</v>
      </c>
    </row>
    <row r="9" spans="1:15" s="29" customFormat="1" ht="12">
      <c r="A9" s="241"/>
      <c r="B9" s="27"/>
      <c r="C9" s="27"/>
      <c r="D9" s="28" t="s">
        <v>1</v>
      </c>
      <c r="E9" s="8">
        <v>7</v>
      </c>
      <c r="F9" s="38">
        <f>LF!H10/1000</f>
        <v>3283.50212</v>
      </c>
      <c r="G9" s="38">
        <f>'FF'!H10/1000</f>
        <v>1049.11323</v>
      </c>
      <c r="H9" s="38">
        <f>PrF!H10/1000</f>
        <v>2208.6691</v>
      </c>
      <c r="I9" s="38">
        <f>FSS!H10/1000</f>
        <v>983.76611</v>
      </c>
      <c r="J9" s="38">
        <f>PřF!H10/1000</f>
        <v>1402.28737</v>
      </c>
      <c r="K9" s="38">
        <f>'FI'!H10/1000</f>
        <v>2243.6539700000003</v>
      </c>
      <c r="L9" s="38">
        <f>PdF!H10/1000</f>
        <v>2319.46477</v>
      </c>
      <c r="M9" s="38">
        <f>FSpS!H10/1000</f>
        <v>241.93311</v>
      </c>
      <c r="N9" s="134">
        <f>ESF!H10/1000</f>
        <v>866.16225</v>
      </c>
      <c r="O9" s="222">
        <f t="shared" si="2"/>
        <v>14598.55203</v>
      </c>
    </row>
    <row r="10" spans="1:15" s="29" customFormat="1" ht="12">
      <c r="A10" s="241"/>
      <c r="B10" s="27"/>
      <c r="C10" s="27"/>
      <c r="D10" s="28" t="s">
        <v>2</v>
      </c>
      <c r="E10" s="8">
        <v>8</v>
      </c>
      <c r="F10" s="38">
        <f>LF!H11/1000</f>
        <v>15011.76597</v>
      </c>
      <c r="G10" s="38">
        <f>'FF'!H11/1000</f>
        <v>12471.967</v>
      </c>
      <c r="H10" s="38">
        <f>PrF!H11/1000</f>
        <v>12366.07123</v>
      </c>
      <c r="I10" s="38">
        <f>FSS!H11/1000</f>
        <v>6206.241940000001</v>
      </c>
      <c r="J10" s="38">
        <f>PřF!H11/1000</f>
        <v>15146.25382</v>
      </c>
      <c r="K10" s="38">
        <f>'FI'!H11/1000</f>
        <v>7528.88644</v>
      </c>
      <c r="L10" s="38">
        <f>PdF!H11/1000</f>
        <v>10742.12965</v>
      </c>
      <c r="M10" s="38">
        <f>FSpS!H11/1000</f>
        <v>3655.1673100000003</v>
      </c>
      <c r="N10" s="134">
        <f>ESF!H11/1000</f>
        <v>6322.12853</v>
      </c>
      <c r="O10" s="222">
        <f t="shared" si="2"/>
        <v>89450.61189</v>
      </c>
    </row>
    <row r="11" spans="1:15" s="29" customFormat="1" ht="12">
      <c r="A11" s="241"/>
      <c r="B11" s="27"/>
      <c r="C11" s="27"/>
      <c r="D11" s="28" t="s">
        <v>3</v>
      </c>
      <c r="E11" s="8">
        <v>9</v>
      </c>
      <c r="F11" s="38">
        <f>LF!H12/1000</f>
        <v>13399.729800000001</v>
      </c>
      <c r="G11" s="38">
        <f>'FF'!H12/1000</f>
        <v>9065.370630000001</v>
      </c>
      <c r="H11" s="38">
        <f>PrF!H12/1000</f>
        <v>8589.15949</v>
      </c>
      <c r="I11" s="38">
        <f>FSS!H12/1000</f>
        <v>5524.1399</v>
      </c>
      <c r="J11" s="38">
        <f>PřF!H12/1000</f>
        <v>12266.252</v>
      </c>
      <c r="K11" s="38">
        <f>'FI'!H12/1000</f>
        <v>4252.91866</v>
      </c>
      <c r="L11" s="38">
        <f>PdF!H12/1000</f>
        <v>10564.531140000001</v>
      </c>
      <c r="M11" s="38">
        <f>FSpS!H12/1000</f>
        <v>6759.1957</v>
      </c>
      <c r="N11" s="134">
        <f>ESF!H12/1000</f>
        <v>7294.96202</v>
      </c>
      <c r="O11" s="222">
        <f t="shared" si="2"/>
        <v>77716.25934000002</v>
      </c>
    </row>
    <row r="12" spans="1:15" s="29" customFormat="1" ht="12">
      <c r="A12" s="241"/>
      <c r="B12" s="27"/>
      <c r="C12" s="27"/>
      <c r="D12" s="28" t="s">
        <v>4</v>
      </c>
      <c r="E12" s="8">
        <v>10</v>
      </c>
      <c r="F12" s="38">
        <f>LF!H13/1000</f>
        <v>880.59392</v>
      </c>
      <c r="G12" s="38">
        <f>'FF'!H13/1000</f>
        <v>1457.36639</v>
      </c>
      <c r="H12" s="38">
        <f>PrF!H13/1000</f>
        <v>574.3606500000001</v>
      </c>
      <c r="I12" s="38">
        <f>FSS!H13/1000</f>
        <v>428.91189</v>
      </c>
      <c r="J12" s="38">
        <f>PřF!H13/1000</f>
        <v>2837.13522</v>
      </c>
      <c r="K12" s="38">
        <f>'FI'!H13/1000</f>
        <v>1204.4341000000002</v>
      </c>
      <c r="L12" s="38">
        <f>PdF!H13/1000</f>
        <v>2044.52709</v>
      </c>
      <c r="M12" s="38">
        <f>FSpS!H13/1000</f>
        <v>978.1946899999999</v>
      </c>
      <c r="N12" s="134">
        <f>ESF!H13/1000</f>
        <v>1041.33188</v>
      </c>
      <c r="O12" s="222">
        <f t="shared" si="2"/>
        <v>11446.85583</v>
      </c>
    </row>
    <row r="13" spans="1:15" s="29" customFormat="1" ht="13.5">
      <c r="A13" s="241"/>
      <c r="B13" s="27"/>
      <c r="C13" s="27"/>
      <c r="D13" s="28" t="s">
        <v>178</v>
      </c>
      <c r="E13" s="8">
        <v>11</v>
      </c>
      <c r="F13" s="38">
        <f>LF!H14/1000</f>
        <v>31532.0454</v>
      </c>
      <c r="G13" s="38">
        <f>'FF'!H14/1000</f>
        <v>7706.4435</v>
      </c>
      <c r="H13" s="38">
        <f>PrF!H14/1000</f>
        <v>2565.4644</v>
      </c>
      <c r="I13" s="38">
        <f>FSS!H14/1000</f>
        <v>7418.714120000001</v>
      </c>
      <c r="J13" s="38">
        <f>PřF!H14/1000</f>
        <v>64386.47083</v>
      </c>
      <c r="K13" s="38">
        <f>'FI'!H14/1000</f>
        <v>12466.54511</v>
      </c>
      <c r="L13" s="38">
        <f>PdF!H14/1000</f>
        <v>7461.4051</v>
      </c>
      <c r="M13" s="38">
        <f>FSpS!H14/1000</f>
        <v>1212.3313600000001</v>
      </c>
      <c r="N13" s="134">
        <f>ESF!H14/1000</f>
        <v>6397.32784</v>
      </c>
      <c r="O13" s="222">
        <f t="shared" si="2"/>
        <v>141146.74766000002</v>
      </c>
    </row>
    <row r="14" spans="1:15" s="29" customFormat="1" ht="12">
      <c r="A14" s="241"/>
      <c r="B14" s="27"/>
      <c r="C14" s="27"/>
      <c r="D14" s="28" t="s">
        <v>6</v>
      </c>
      <c r="E14" s="8">
        <v>12</v>
      </c>
      <c r="F14" s="38">
        <f>LF!H15/1000</f>
        <v>811.572</v>
      </c>
      <c r="G14" s="38">
        <f>'FF'!H15/1000</f>
        <v>6350.757</v>
      </c>
      <c r="H14" s="38">
        <f>PrF!H15/1000</f>
        <v>1308.791</v>
      </c>
      <c r="I14" s="38">
        <f>FSS!H15/1000</f>
        <v>1701.57</v>
      </c>
      <c r="J14" s="38">
        <f>PřF!H15/1000</f>
        <v>3295.4625</v>
      </c>
      <c r="K14" s="38">
        <f>'FI'!H15/1000</f>
        <v>3415</v>
      </c>
      <c r="L14" s="38">
        <f>PdF!H15/1000</f>
        <v>834.975</v>
      </c>
      <c r="M14" s="38">
        <f>FSpS!H15/1000</f>
        <v>460.231</v>
      </c>
      <c r="N14" s="134">
        <f>ESF!H15/1000</f>
        <v>2605.5696000000003</v>
      </c>
      <c r="O14" s="222">
        <f t="shared" si="2"/>
        <v>20783.928099999994</v>
      </c>
    </row>
    <row r="15" spans="1:15" s="29" customFormat="1" ht="12">
      <c r="A15" s="241"/>
      <c r="B15" s="28"/>
      <c r="C15" s="28"/>
      <c r="D15" s="28" t="s">
        <v>9</v>
      </c>
      <c r="E15" s="8">
        <v>13</v>
      </c>
      <c r="F15" s="38">
        <f>LF!H16/1000</f>
        <v>26284.016219999998</v>
      </c>
      <c r="G15" s="38">
        <f>'FF'!H16/1000</f>
        <v>7298.42929</v>
      </c>
      <c r="H15" s="38">
        <f>PrF!H16/1000</f>
        <v>5340.01738</v>
      </c>
      <c r="I15" s="38">
        <f>FSS!H16/1000</f>
        <v>5352.87039</v>
      </c>
      <c r="J15" s="38">
        <f>PřF!H16/1000</f>
        <v>10693.59</v>
      </c>
      <c r="K15" s="38">
        <f>'FI'!H16/1000</f>
        <v>12824.88931</v>
      </c>
      <c r="L15" s="38">
        <f>PdF!H16/1000</f>
        <v>4943.59054</v>
      </c>
      <c r="M15" s="38">
        <f>FSpS!H16/1000</f>
        <v>3226.9799900000003</v>
      </c>
      <c r="N15" s="134">
        <f>ESF!H16/1000</f>
        <v>3377.95786</v>
      </c>
      <c r="O15" s="222">
        <f t="shared" si="2"/>
        <v>79342.34098</v>
      </c>
    </row>
    <row r="16" spans="1:15" s="5" customFormat="1" ht="12">
      <c r="A16" s="240"/>
      <c r="B16" s="4" t="s">
        <v>14</v>
      </c>
      <c r="C16" s="3"/>
      <c r="D16" s="3"/>
      <c r="E16" s="8">
        <v>14</v>
      </c>
      <c r="F16" s="224">
        <f>LF!H17/1000</f>
        <v>16731</v>
      </c>
      <c r="G16" s="224">
        <f>'FF'!H17/1000</f>
        <v>18780</v>
      </c>
      <c r="H16" s="224">
        <f>PrF!H17/1000</f>
        <v>3063</v>
      </c>
      <c r="I16" s="224">
        <f>FSS!H17/1000</f>
        <v>12041</v>
      </c>
      <c r="J16" s="224">
        <f>PřF!H17/1000</f>
        <v>30357</v>
      </c>
      <c r="K16" s="224">
        <f>'FI'!H17/1000</f>
        <v>4035</v>
      </c>
      <c r="L16" s="224">
        <f>PdF!H17/1000</f>
        <v>5767</v>
      </c>
      <c r="M16" s="224">
        <f>FSpS!H17/1000</f>
        <v>1500</v>
      </c>
      <c r="N16" s="284">
        <f>ESF!H17/1000</f>
        <v>5746</v>
      </c>
      <c r="O16" s="289">
        <f t="shared" si="2"/>
        <v>98020</v>
      </c>
    </row>
    <row r="17" spans="1:15" s="5" customFormat="1" ht="12">
      <c r="A17" s="240"/>
      <c r="B17" s="4" t="s">
        <v>15</v>
      </c>
      <c r="C17" s="3"/>
      <c r="D17" s="3"/>
      <c r="E17" s="8">
        <v>15</v>
      </c>
      <c r="F17" s="224">
        <f>LF!H18/1000</f>
        <v>1108</v>
      </c>
      <c r="G17" s="224">
        <f>'FF'!H18/1000</f>
        <v>5036.10924</v>
      </c>
      <c r="H17" s="224">
        <f>PrF!H18/1000</f>
        <v>24</v>
      </c>
      <c r="I17" s="224">
        <f>FSS!H18/1000</f>
        <v>1154</v>
      </c>
      <c r="J17" s="224">
        <f>PřF!H18/1000</f>
        <v>1137</v>
      </c>
      <c r="K17" s="224">
        <f>'FI'!H18/1000</f>
        <v>513</v>
      </c>
      <c r="L17" s="224">
        <f>PdF!H18/1000</f>
        <v>241.95497</v>
      </c>
      <c r="M17" s="224">
        <f>FSpS!H18/1000</f>
        <v>81</v>
      </c>
      <c r="N17" s="284">
        <f>ESF!H18/1000</f>
        <v>500</v>
      </c>
      <c r="O17" s="289">
        <f t="shared" si="2"/>
        <v>9795.06421</v>
      </c>
    </row>
    <row r="18" spans="1:15" s="5" customFormat="1" ht="12">
      <c r="A18" s="240"/>
      <c r="B18" s="4" t="s">
        <v>20</v>
      </c>
      <c r="C18" s="3"/>
      <c r="D18" s="3"/>
      <c r="E18" s="8">
        <v>16</v>
      </c>
      <c r="F18" s="224">
        <f>LF!H19/1000</f>
        <v>11411.849</v>
      </c>
      <c r="G18" s="224">
        <f>'FF'!H19/1000</f>
        <v>4767.9</v>
      </c>
      <c r="H18" s="224">
        <f>PrF!H19/1000</f>
        <v>1060.8</v>
      </c>
      <c r="I18" s="224">
        <f>FSS!H19/1000</f>
        <v>9147.951130000001</v>
      </c>
      <c r="J18" s="224">
        <f>PřF!H19/1000</f>
        <v>3159.4995</v>
      </c>
      <c r="K18" s="224">
        <f>'FI'!H19/1000</f>
        <v>7464.815259999999</v>
      </c>
      <c r="L18" s="224">
        <f>PdF!H19/1000</f>
        <v>8166</v>
      </c>
      <c r="M18" s="224">
        <f>FSpS!H19/1000</f>
        <v>1391.7</v>
      </c>
      <c r="N18" s="284">
        <f>ESF!H19/1000</f>
        <v>2862</v>
      </c>
      <c r="O18" s="289">
        <f t="shared" si="2"/>
        <v>49432.51488999999</v>
      </c>
    </row>
    <row r="19" spans="1:15" s="5" customFormat="1" ht="12">
      <c r="A19" s="240"/>
      <c r="B19" s="4" t="s">
        <v>16</v>
      </c>
      <c r="C19" s="3"/>
      <c r="D19" s="3"/>
      <c r="E19" s="8">
        <v>17</v>
      </c>
      <c r="F19" s="224">
        <f>LF!H20/1000</f>
        <v>461</v>
      </c>
      <c r="G19" s="224">
        <f>'FF'!H20/1000</f>
        <v>2276</v>
      </c>
      <c r="H19" s="224">
        <f>PrF!H20/1000</f>
        <v>0</v>
      </c>
      <c r="I19" s="224">
        <f>FSS!H20/1000</f>
        <v>419</v>
      </c>
      <c r="J19" s="224">
        <f>PřF!H20/1000</f>
        <v>3622</v>
      </c>
      <c r="K19" s="224">
        <f>'FI'!H20/1000</f>
        <v>95</v>
      </c>
      <c r="L19" s="224">
        <f>PdF!H20/1000</f>
        <v>820.333</v>
      </c>
      <c r="M19" s="224">
        <f>FSpS!H20/1000</f>
        <v>1070</v>
      </c>
      <c r="N19" s="284">
        <f>ESF!H20/1000</f>
        <v>0</v>
      </c>
      <c r="O19" s="289">
        <f t="shared" si="2"/>
        <v>8763.332999999999</v>
      </c>
    </row>
    <row r="20" spans="1:15" s="5" customFormat="1" ht="12">
      <c r="A20" s="240"/>
      <c r="B20" s="4" t="s">
        <v>24</v>
      </c>
      <c r="C20" s="4"/>
      <c r="D20" s="4"/>
      <c r="E20" s="8">
        <v>18</v>
      </c>
      <c r="F20" s="224">
        <f>LF!H21/1000</f>
        <v>128</v>
      </c>
      <c r="G20" s="224">
        <f>'FF'!H21/1000</f>
        <v>729.4659499999999</v>
      </c>
      <c r="H20" s="224">
        <f>PrF!H21/1000</f>
        <v>0</v>
      </c>
      <c r="I20" s="224">
        <f>FSS!H21/1000</f>
        <v>1310.3</v>
      </c>
      <c r="J20" s="224">
        <f>PřF!H21/1000</f>
        <v>138</v>
      </c>
      <c r="K20" s="224">
        <f>'FI'!H21/1000</f>
        <v>0</v>
      </c>
      <c r="L20" s="224">
        <f>PdF!H21/1000</f>
        <v>839</v>
      </c>
      <c r="M20" s="224">
        <f>FSpS!H21/1000</f>
        <v>0</v>
      </c>
      <c r="N20" s="284">
        <f>ESF!H21/1000</f>
        <v>249.824</v>
      </c>
      <c r="O20" s="289">
        <f t="shared" si="2"/>
        <v>3394.58995</v>
      </c>
    </row>
    <row r="21" spans="1:15" s="5" customFormat="1" ht="12">
      <c r="A21" s="240"/>
      <c r="B21" s="4" t="s">
        <v>31</v>
      </c>
      <c r="C21" s="4"/>
      <c r="D21" s="4"/>
      <c r="E21" s="8">
        <v>19</v>
      </c>
      <c r="F21" s="224">
        <f>LF!H22/1000</f>
        <v>30</v>
      </c>
      <c r="G21" s="224">
        <f>'FF'!H22/1000</f>
        <v>7321.762019999999</v>
      </c>
      <c r="H21" s="224">
        <f>PrF!H22/1000</f>
        <v>0</v>
      </c>
      <c r="I21" s="224">
        <f>FSS!H22/1000</f>
        <v>11432.89816</v>
      </c>
      <c r="J21" s="224">
        <f>PřF!H22/1000</f>
        <v>3546.39328</v>
      </c>
      <c r="K21" s="224">
        <f>'FI'!H22/1000</f>
        <v>2002.0231</v>
      </c>
      <c r="L21" s="224">
        <f>PdF!H22/1000</f>
        <v>10182.97916</v>
      </c>
      <c r="M21" s="224">
        <f>FSpS!H22/1000</f>
        <v>2999.227</v>
      </c>
      <c r="N21" s="284">
        <f>ESF!H22/1000</f>
        <v>1718.0641</v>
      </c>
      <c r="O21" s="289">
        <f t="shared" si="2"/>
        <v>39233.34682</v>
      </c>
    </row>
    <row r="22" spans="1:15" s="5" customFormat="1" ht="12">
      <c r="A22" s="240"/>
      <c r="B22" s="4" t="s">
        <v>25</v>
      </c>
      <c r="C22" s="4"/>
      <c r="D22" s="4"/>
      <c r="E22" s="8">
        <v>20</v>
      </c>
      <c r="F22" s="224">
        <f>LF!H23/1000</f>
        <v>30504.28984</v>
      </c>
      <c r="G22" s="224">
        <f>'FF'!H23/1000</f>
        <v>19230.2</v>
      </c>
      <c r="H22" s="224">
        <f>PrF!H23/1000</f>
        <v>6267</v>
      </c>
      <c r="I22" s="224">
        <f>FSS!H23/1000</f>
        <v>27255.9415</v>
      </c>
      <c r="J22" s="224">
        <f>PřF!H23/1000</f>
        <v>153303.30080000003</v>
      </c>
      <c r="K22" s="224">
        <f>'FI'!H23/1000</f>
        <v>11219.86339</v>
      </c>
      <c r="L22" s="224">
        <f>PdF!H23/1000</f>
        <v>8860</v>
      </c>
      <c r="M22" s="224">
        <f>FSpS!H23/1000</f>
        <v>0</v>
      </c>
      <c r="N22" s="284">
        <f>ESF!H23/1000</f>
        <v>884</v>
      </c>
      <c r="O22" s="289">
        <f t="shared" si="2"/>
        <v>257524.59553000005</v>
      </c>
    </row>
    <row r="23" spans="1:15" s="5" customFormat="1" ht="12">
      <c r="A23" s="240"/>
      <c r="B23" s="4" t="s">
        <v>26</v>
      </c>
      <c r="C23" s="4"/>
      <c r="D23" s="4"/>
      <c r="E23" s="8">
        <v>21</v>
      </c>
      <c r="F23" s="224">
        <f>LF!H24/1000</f>
        <v>67018.02103</v>
      </c>
      <c r="G23" s="224">
        <f>'FF'!H24/1000</f>
        <v>22106.88856</v>
      </c>
      <c r="H23" s="224">
        <f>PrF!H24/1000</f>
        <v>823</v>
      </c>
      <c r="I23" s="224">
        <f>FSS!H24/1000</f>
        <v>11450.23844</v>
      </c>
      <c r="J23" s="224">
        <f>PřF!H24/1000</f>
        <v>70390.83728</v>
      </c>
      <c r="K23" s="224">
        <f>'FI'!H24/1000</f>
        <v>23481.918</v>
      </c>
      <c r="L23" s="224">
        <f>PdF!H24/1000</f>
        <v>5591.43</v>
      </c>
      <c r="M23" s="224">
        <f>FSpS!H24/1000</f>
        <v>0</v>
      </c>
      <c r="N23" s="284">
        <f>ESF!H24/1000</f>
        <v>22095.646109999998</v>
      </c>
      <c r="O23" s="289">
        <f t="shared" si="2"/>
        <v>222957.97942000002</v>
      </c>
    </row>
    <row r="24" spans="1:15" s="5" customFormat="1" ht="12">
      <c r="A24" s="240"/>
      <c r="B24" s="4" t="s">
        <v>27</v>
      </c>
      <c r="C24" s="4"/>
      <c r="D24" s="4"/>
      <c r="E24" s="8">
        <v>22</v>
      </c>
      <c r="F24" s="224">
        <f>LF!H25/1000</f>
        <v>9487.01942</v>
      </c>
      <c r="G24" s="224">
        <f>'FF'!H25/1000</f>
        <v>210.82277</v>
      </c>
      <c r="H24" s="224">
        <f>PrF!H25/1000</f>
        <v>15.30903</v>
      </c>
      <c r="I24" s="224">
        <f>FSS!H25/1000</f>
        <v>3962.93225</v>
      </c>
      <c r="J24" s="224">
        <f>PřF!H25/1000</f>
        <v>37760.37606</v>
      </c>
      <c r="K24" s="224">
        <f>'FI'!H25/1000</f>
        <v>9809.29978</v>
      </c>
      <c r="L24" s="224">
        <f>PdF!H25/1000</f>
        <v>1643.271</v>
      </c>
      <c r="M24" s="224">
        <f>FSpS!H25/1000</f>
        <v>247.11319</v>
      </c>
      <c r="N24" s="284">
        <f>ESF!H25/1000</f>
        <v>417.739</v>
      </c>
      <c r="O24" s="289">
        <f t="shared" si="2"/>
        <v>63553.88250000001</v>
      </c>
    </row>
    <row r="25" spans="1:15" s="5" customFormat="1" ht="12">
      <c r="A25" s="240"/>
      <c r="B25" s="95" t="s">
        <v>30</v>
      </c>
      <c r="C25" s="95"/>
      <c r="D25" s="95"/>
      <c r="E25" s="9">
        <v>23</v>
      </c>
      <c r="F25" s="224">
        <f>LF!H26/1000</f>
        <v>2497.31556</v>
      </c>
      <c r="G25" s="224">
        <f>'FF'!H26/1000</f>
        <v>352.75</v>
      </c>
      <c r="H25" s="224">
        <f>PrF!H26/1000</f>
        <v>280.6365</v>
      </c>
      <c r="I25" s="224">
        <f>FSS!H26/1000</f>
        <v>575.51495</v>
      </c>
      <c r="J25" s="224">
        <f>PřF!H26/1000</f>
        <v>17072.903710000002</v>
      </c>
      <c r="K25" s="224">
        <f>'FI'!H26/1000</f>
        <v>11.729</v>
      </c>
      <c r="L25" s="224">
        <f>PdF!H26/1000</f>
        <v>11.8875</v>
      </c>
      <c r="M25" s="224">
        <f>FSpS!H26/1000</f>
        <v>1245.70351</v>
      </c>
      <c r="N25" s="284">
        <f>ESF!H26/1000</f>
        <v>5878.03255</v>
      </c>
      <c r="O25" s="291">
        <f t="shared" si="2"/>
        <v>27926.473280000002</v>
      </c>
    </row>
    <row r="26" spans="1:15" ht="12.75">
      <c r="A26" s="239" t="s">
        <v>158</v>
      </c>
      <c r="B26" s="171"/>
      <c r="C26" s="171"/>
      <c r="D26" s="171"/>
      <c r="E26" s="172">
        <v>24</v>
      </c>
      <c r="F26" s="308">
        <f aca="true" t="shared" si="3" ref="F26:O26">SUM(F27:F41)</f>
        <v>454393.5109</v>
      </c>
      <c r="G26" s="308">
        <f t="shared" si="3"/>
        <v>311744.84053</v>
      </c>
      <c r="H26" s="308">
        <f t="shared" si="3"/>
        <v>129096.82281000001</v>
      </c>
      <c r="I26" s="308">
        <f t="shared" si="3"/>
        <v>181494.64356</v>
      </c>
      <c r="J26" s="308">
        <f t="shared" si="3"/>
        <v>606386.0103900001</v>
      </c>
      <c r="K26" s="308">
        <f t="shared" si="3"/>
        <v>165677.47176999997</v>
      </c>
      <c r="L26" s="308">
        <f t="shared" si="3"/>
        <v>232649.31693000003</v>
      </c>
      <c r="M26" s="308">
        <f t="shared" si="3"/>
        <v>77537.97125</v>
      </c>
      <c r="N26" s="308">
        <f t="shared" si="3"/>
        <v>149923.99610999998</v>
      </c>
      <c r="O26" s="308">
        <f t="shared" si="3"/>
        <v>2308904.58425</v>
      </c>
    </row>
    <row r="27" spans="1:16" s="5" customFormat="1" ht="13.5">
      <c r="A27" s="240" t="s">
        <v>10</v>
      </c>
      <c r="B27" s="3" t="s">
        <v>179</v>
      </c>
      <c r="C27" s="3"/>
      <c r="D27" s="3"/>
      <c r="E27" s="8">
        <v>25</v>
      </c>
      <c r="F27" s="224">
        <f>LF!H28/1000</f>
        <v>227574.986</v>
      </c>
      <c r="G27" s="224">
        <f>'FF'!H28/1000</f>
        <v>193872.459</v>
      </c>
      <c r="H27" s="224">
        <f>PrF!H28/1000</f>
        <v>83371.464</v>
      </c>
      <c r="I27" s="224">
        <f>FSS!H28/1000</f>
        <v>75928.243</v>
      </c>
      <c r="J27" s="224">
        <f>PřF!H28/1000</f>
        <v>174413.5292</v>
      </c>
      <c r="K27" s="224">
        <f>'FI'!H28/1000</f>
        <v>79935.96865000001</v>
      </c>
      <c r="L27" s="224">
        <f>PdF!H28/1000</f>
        <v>159561.718</v>
      </c>
      <c r="M27" s="224">
        <f>FSpS!H28/1000</f>
        <v>60671.504</v>
      </c>
      <c r="N27" s="284">
        <f>ESF!H28/1000</f>
        <v>85657.703</v>
      </c>
      <c r="O27" s="289">
        <f aca="true" t="shared" si="4" ref="O27:O41">SUM(F27:N27)</f>
        <v>1140987.57485</v>
      </c>
      <c r="P27" s="10"/>
    </row>
    <row r="28" spans="1:16" s="5" customFormat="1" ht="12">
      <c r="A28" s="240"/>
      <c r="B28" s="4" t="s">
        <v>14</v>
      </c>
      <c r="C28" s="4"/>
      <c r="D28" s="4"/>
      <c r="E28" s="8">
        <v>26</v>
      </c>
      <c r="F28" s="224">
        <f>LF!H29/1000</f>
        <v>16731</v>
      </c>
      <c r="G28" s="224">
        <f>'FF'!H29/1000</f>
        <v>18780</v>
      </c>
      <c r="H28" s="224">
        <f>PrF!H29/1000</f>
        <v>3063</v>
      </c>
      <c r="I28" s="224">
        <f>FSS!H29/1000</f>
        <v>12041</v>
      </c>
      <c r="J28" s="224">
        <f>PřF!H29/1000</f>
        <v>30357</v>
      </c>
      <c r="K28" s="224">
        <f>'FI'!H29/1000</f>
        <v>4035</v>
      </c>
      <c r="L28" s="224">
        <f>PdF!H29/1000</f>
        <v>5767</v>
      </c>
      <c r="M28" s="224">
        <f>FSpS!H29/1000</f>
        <v>1500</v>
      </c>
      <c r="N28" s="284">
        <f>ESF!H29/1000</f>
        <v>5746</v>
      </c>
      <c r="O28" s="289">
        <f t="shared" si="4"/>
        <v>98020</v>
      </c>
      <c r="P28" s="10"/>
    </row>
    <row r="29" spans="1:16" s="5" customFormat="1" ht="12">
      <c r="A29" s="240"/>
      <c r="B29" s="4" t="s">
        <v>15</v>
      </c>
      <c r="C29" s="4"/>
      <c r="D29" s="4"/>
      <c r="E29" s="8">
        <v>27</v>
      </c>
      <c r="F29" s="224">
        <f>LF!H30/1000</f>
        <v>1108</v>
      </c>
      <c r="G29" s="224">
        <f>'FF'!H30/1000</f>
        <v>5036.10924</v>
      </c>
      <c r="H29" s="224">
        <f>PrF!H30/1000</f>
        <v>24</v>
      </c>
      <c r="I29" s="224">
        <f>FSS!H30/1000</f>
        <v>1154</v>
      </c>
      <c r="J29" s="224">
        <f>PřF!H30/1000</f>
        <v>1137</v>
      </c>
      <c r="K29" s="224">
        <f>'FI'!H30/1000</f>
        <v>513</v>
      </c>
      <c r="L29" s="224">
        <f>PdF!H30/1000</f>
        <v>241.95497</v>
      </c>
      <c r="M29" s="224">
        <f>FSpS!H30/1000</f>
        <v>81</v>
      </c>
      <c r="N29" s="284">
        <f>ESF!H30/1000</f>
        <v>500</v>
      </c>
      <c r="O29" s="289">
        <f t="shared" si="4"/>
        <v>9795.06421</v>
      </c>
      <c r="P29" s="10"/>
    </row>
    <row r="30" spans="1:16" s="5" customFormat="1" ht="12">
      <c r="A30" s="240"/>
      <c r="B30" s="4" t="s">
        <v>20</v>
      </c>
      <c r="C30" s="3"/>
      <c r="D30" s="3"/>
      <c r="E30" s="8">
        <v>28</v>
      </c>
      <c r="F30" s="224">
        <f>LF!H31/1000</f>
        <v>11411.849</v>
      </c>
      <c r="G30" s="224">
        <f>'FF'!H31/1000</f>
        <v>4767.9</v>
      </c>
      <c r="H30" s="224">
        <f>PrF!H31/1000</f>
        <v>1060.8</v>
      </c>
      <c r="I30" s="224">
        <f>FSS!H31/1000</f>
        <v>9147.951130000001</v>
      </c>
      <c r="J30" s="224">
        <f>PřF!H31/1000</f>
        <v>3159.4995</v>
      </c>
      <c r="K30" s="224">
        <f>'FI'!H31/1000</f>
        <v>7464.815259999999</v>
      </c>
      <c r="L30" s="224">
        <f>PdF!H31/1000</f>
        <v>8166</v>
      </c>
      <c r="M30" s="224">
        <f>FSpS!H31/1000</f>
        <v>1391.7</v>
      </c>
      <c r="N30" s="284">
        <f>ESF!H31/1000</f>
        <v>2862</v>
      </c>
      <c r="O30" s="289">
        <f t="shared" si="4"/>
        <v>49432.51488999999</v>
      </c>
      <c r="P30" s="10"/>
    </row>
    <row r="31" spans="1:16" s="5" customFormat="1" ht="12">
      <c r="A31" s="240"/>
      <c r="B31" s="4" t="s">
        <v>16</v>
      </c>
      <c r="C31" s="4"/>
      <c r="D31" s="4"/>
      <c r="E31" s="8">
        <v>29</v>
      </c>
      <c r="F31" s="224">
        <f>LF!H32/1000</f>
        <v>461</v>
      </c>
      <c r="G31" s="224">
        <f>'FF'!H32/1000</f>
        <v>2276</v>
      </c>
      <c r="H31" s="224">
        <f>PrF!H32/1000</f>
        <v>0</v>
      </c>
      <c r="I31" s="224">
        <f>FSS!H32/1000</f>
        <v>419</v>
      </c>
      <c r="J31" s="224">
        <f>PřF!H32/1000</f>
        <v>3622</v>
      </c>
      <c r="K31" s="224">
        <f>'FI'!H32/1000</f>
        <v>95</v>
      </c>
      <c r="L31" s="224">
        <f>PdF!H32/1000</f>
        <v>820.333</v>
      </c>
      <c r="M31" s="224">
        <f>FSpS!H32/1000</f>
        <v>1070</v>
      </c>
      <c r="N31" s="284">
        <f>ESF!H32/1000</f>
        <v>0</v>
      </c>
      <c r="O31" s="289">
        <f t="shared" si="4"/>
        <v>8763.332999999999</v>
      </c>
      <c r="P31" s="10"/>
    </row>
    <row r="32" spans="1:16" s="5" customFormat="1" ht="12">
      <c r="A32" s="240"/>
      <c r="B32" s="4" t="s">
        <v>173</v>
      </c>
      <c r="C32" s="4"/>
      <c r="D32" s="4"/>
      <c r="E32" s="8">
        <v>30</v>
      </c>
      <c r="F32" s="224">
        <f>LF!H33/1000</f>
        <v>0</v>
      </c>
      <c r="G32" s="224">
        <f>'FF'!H33/1000</f>
        <v>0</v>
      </c>
      <c r="H32" s="224">
        <f>PrF!H33/1000</f>
        <v>0</v>
      </c>
      <c r="I32" s="224">
        <f>FSS!H33/1000</f>
        <v>0</v>
      </c>
      <c r="J32" s="224">
        <f>PřF!H33/1000</f>
        <v>0</v>
      </c>
      <c r="K32" s="224">
        <f>'FI'!H33/1000</f>
        <v>0</v>
      </c>
      <c r="L32" s="224">
        <f>PdF!H33/1000</f>
        <v>0</v>
      </c>
      <c r="M32" s="224">
        <f>FSpS!H33/1000</f>
        <v>0</v>
      </c>
      <c r="N32" s="284">
        <f>ESF!H33/1000</f>
        <v>0</v>
      </c>
      <c r="O32" s="289">
        <f t="shared" si="4"/>
        <v>0</v>
      </c>
      <c r="P32" s="10"/>
    </row>
    <row r="33" spans="1:16" s="5" customFormat="1" ht="12">
      <c r="A33" s="240"/>
      <c r="B33" s="4" t="s">
        <v>24</v>
      </c>
      <c r="C33" s="4"/>
      <c r="D33" s="4"/>
      <c r="E33" s="8">
        <v>31</v>
      </c>
      <c r="F33" s="224">
        <f>LF!H34/1000</f>
        <v>128</v>
      </c>
      <c r="G33" s="224">
        <f>'FF'!H34/1000</f>
        <v>729.4659499999999</v>
      </c>
      <c r="H33" s="224">
        <f>PrF!H34/1000</f>
        <v>0</v>
      </c>
      <c r="I33" s="224">
        <f>FSS!H34/1000</f>
        <v>1310.3</v>
      </c>
      <c r="J33" s="224">
        <f>PřF!H34/1000</f>
        <v>138</v>
      </c>
      <c r="K33" s="224">
        <f>'FI'!H34/1000</f>
        <v>0</v>
      </c>
      <c r="L33" s="224">
        <f>PdF!H34/1000</f>
        <v>839</v>
      </c>
      <c r="M33" s="224">
        <f>FSpS!H34/1000</f>
        <v>0</v>
      </c>
      <c r="N33" s="284">
        <f>ESF!H34/1000</f>
        <v>249.824</v>
      </c>
      <c r="O33" s="289">
        <f t="shared" si="4"/>
        <v>3394.58995</v>
      </c>
      <c r="P33" s="10"/>
    </row>
    <row r="34" spans="1:16" s="5" customFormat="1" ht="12">
      <c r="A34" s="240"/>
      <c r="B34" s="4" t="s">
        <v>31</v>
      </c>
      <c r="C34" s="4"/>
      <c r="D34" s="4"/>
      <c r="E34" s="8">
        <v>32</v>
      </c>
      <c r="F34" s="224">
        <f>LF!H35/1000</f>
        <v>30</v>
      </c>
      <c r="G34" s="224">
        <f>'FF'!H35/1000</f>
        <v>7321.762019999999</v>
      </c>
      <c r="H34" s="224">
        <f>PrF!H35/1000</f>
        <v>0</v>
      </c>
      <c r="I34" s="224">
        <f>FSS!H35/1000</f>
        <v>11437.41266</v>
      </c>
      <c r="J34" s="224">
        <f>PřF!H35/1000</f>
        <v>3569.57813</v>
      </c>
      <c r="K34" s="224">
        <f>'FI'!H35/1000</f>
        <v>2351.6972400000004</v>
      </c>
      <c r="L34" s="224">
        <f>PdF!H35/1000</f>
        <v>10205.025720000001</v>
      </c>
      <c r="M34" s="224">
        <f>FSpS!H35/1000</f>
        <v>2999.227</v>
      </c>
      <c r="N34" s="284">
        <f>ESF!H35/1000</f>
        <v>1693.35844</v>
      </c>
      <c r="O34" s="289">
        <f t="shared" si="4"/>
        <v>39608.06121</v>
      </c>
      <c r="P34" s="10"/>
    </row>
    <row r="35" spans="1:16" s="5" customFormat="1" ht="12">
      <c r="A35" s="240"/>
      <c r="B35" s="4" t="s">
        <v>85</v>
      </c>
      <c r="C35" s="4"/>
      <c r="D35" s="4"/>
      <c r="E35" s="8">
        <v>33</v>
      </c>
      <c r="F35" s="224">
        <f>LF!H36/1000</f>
        <v>24126</v>
      </c>
      <c r="G35" s="224">
        <f>'FF'!H36/1000</f>
        <v>13132</v>
      </c>
      <c r="H35" s="224">
        <f>PrF!H36/1000</f>
        <v>1619</v>
      </c>
      <c r="I35" s="224">
        <f>FSS!H36/1000</f>
        <v>9892</v>
      </c>
      <c r="J35" s="224">
        <f>PřF!H36/1000</f>
        <v>49027</v>
      </c>
      <c r="K35" s="224">
        <f>'FI'!H36/1000</f>
        <v>6980</v>
      </c>
      <c r="L35" s="224">
        <f>PdF!H36/1000</f>
        <v>3134</v>
      </c>
      <c r="M35" s="224">
        <f>FSpS!H36/1000</f>
        <v>297</v>
      </c>
      <c r="N35" s="284">
        <f>ESF!H36/1000</f>
        <v>4708</v>
      </c>
      <c r="O35" s="289">
        <f t="shared" si="4"/>
        <v>112915</v>
      </c>
      <c r="P35" s="10"/>
    </row>
    <row r="36" spans="1:16" s="5" customFormat="1" ht="12">
      <c r="A36" s="240"/>
      <c r="B36" s="4" t="s">
        <v>25</v>
      </c>
      <c r="C36" s="4"/>
      <c r="D36" s="4"/>
      <c r="E36" s="8">
        <v>34</v>
      </c>
      <c r="F36" s="224">
        <f>LF!H37/1000</f>
        <v>30504.28984</v>
      </c>
      <c r="G36" s="224">
        <f>'FF'!H37/1000</f>
        <v>19230.2</v>
      </c>
      <c r="H36" s="224">
        <f>PrF!H37/1000</f>
        <v>6267</v>
      </c>
      <c r="I36" s="224">
        <f>FSS!H37/1000</f>
        <v>27255.9415</v>
      </c>
      <c r="J36" s="224">
        <f>PřF!H37/1000</f>
        <v>153303.30080000003</v>
      </c>
      <c r="K36" s="224">
        <f>'FI'!H37/1000</f>
        <v>11219.86339</v>
      </c>
      <c r="L36" s="224">
        <f>PdF!H37/1000</f>
        <v>8860</v>
      </c>
      <c r="M36" s="224">
        <f>FSpS!H37/1000</f>
        <v>0</v>
      </c>
      <c r="N36" s="284">
        <f>ESF!H37/1000</f>
        <v>884</v>
      </c>
      <c r="O36" s="289">
        <f t="shared" si="4"/>
        <v>257524.59553000005</v>
      </c>
      <c r="P36" s="10"/>
    </row>
    <row r="37" spans="1:16" s="5" customFormat="1" ht="12">
      <c r="A37" s="240"/>
      <c r="B37" s="4" t="s">
        <v>26</v>
      </c>
      <c r="C37" s="4"/>
      <c r="D37" s="4"/>
      <c r="E37" s="8">
        <v>35</v>
      </c>
      <c r="F37" s="224">
        <f>LF!H38/1000</f>
        <v>67018.02103</v>
      </c>
      <c r="G37" s="224">
        <f>'FF'!H38/1000</f>
        <v>22106.88856</v>
      </c>
      <c r="H37" s="224">
        <f>PrF!H38/1000</f>
        <v>823</v>
      </c>
      <c r="I37" s="224">
        <f>FSS!H38/1000</f>
        <v>11450.23844</v>
      </c>
      <c r="J37" s="224">
        <f>PřF!H38/1000</f>
        <v>70390.83728</v>
      </c>
      <c r="K37" s="224">
        <f>'FI'!H38/1000</f>
        <v>23481.918</v>
      </c>
      <c r="L37" s="224">
        <f>PdF!H38/1000</f>
        <v>5591.43</v>
      </c>
      <c r="M37" s="224">
        <f>FSpS!H38/1000</f>
        <v>0</v>
      </c>
      <c r="N37" s="284">
        <f>ESF!H38/1000</f>
        <v>22095.646109999998</v>
      </c>
      <c r="O37" s="289">
        <f t="shared" si="4"/>
        <v>222957.97942000002</v>
      </c>
      <c r="P37" s="10"/>
    </row>
    <row r="38" spans="1:16" s="5" customFormat="1" ht="12">
      <c r="A38" s="240"/>
      <c r="B38" s="4" t="s">
        <v>27</v>
      </c>
      <c r="C38" s="4"/>
      <c r="D38" s="4"/>
      <c r="E38" s="8">
        <v>36</v>
      </c>
      <c r="F38" s="224">
        <f>LF!H39/1000</f>
        <v>9487.01942</v>
      </c>
      <c r="G38" s="224">
        <f>'FF'!H39/1000</f>
        <v>210.82277</v>
      </c>
      <c r="H38" s="224">
        <f>PrF!H39/1000</f>
        <v>15.30903</v>
      </c>
      <c r="I38" s="224">
        <f>FSS!H39/1000</f>
        <v>3962.93225</v>
      </c>
      <c r="J38" s="224">
        <f>PřF!H39/1000</f>
        <v>37760.37606</v>
      </c>
      <c r="K38" s="224">
        <f>'FI'!H39/1000</f>
        <v>9809.29978</v>
      </c>
      <c r="L38" s="224">
        <f>PdF!H39/1000</f>
        <v>1643.271</v>
      </c>
      <c r="M38" s="224">
        <f>FSpS!H39/1000</f>
        <v>247.11319</v>
      </c>
      <c r="N38" s="284">
        <f>ESF!H39/1000</f>
        <v>417.739</v>
      </c>
      <c r="O38" s="289">
        <f t="shared" si="4"/>
        <v>63553.88250000001</v>
      </c>
      <c r="P38" s="10"/>
    </row>
    <row r="39" spans="1:16" s="5" customFormat="1" ht="13.5">
      <c r="A39" s="240"/>
      <c r="B39" s="4" t="s">
        <v>180</v>
      </c>
      <c r="C39" s="4"/>
      <c r="D39" s="4"/>
      <c r="E39" s="8">
        <v>37</v>
      </c>
      <c r="F39" s="224">
        <f>LF!H40/1000</f>
        <v>62563.34472</v>
      </c>
      <c r="G39" s="224">
        <f>'FF'!H40/1000</f>
        <v>21633.80099</v>
      </c>
      <c r="H39" s="224">
        <f>PrF!H40/1000</f>
        <v>31325.79278</v>
      </c>
      <c r="I39" s="224">
        <f>FSS!H40/1000</f>
        <v>15405.1852</v>
      </c>
      <c r="J39" s="224">
        <f>PřF!H40/1000</f>
        <v>60641.34225</v>
      </c>
      <c r="K39" s="224">
        <f>'FI'!H40/1000</f>
        <v>16911.60945</v>
      </c>
      <c r="L39" s="224">
        <f>PdF!H40/1000</f>
        <v>27267.94674</v>
      </c>
      <c r="M39" s="224">
        <f>FSpS!H40/1000</f>
        <v>7588.80378</v>
      </c>
      <c r="N39" s="284">
        <f>ESF!H40/1000</f>
        <v>17134.2573</v>
      </c>
      <c r="O39" s="289">
        <f t="shared" si="4"/>
        <v>260472.08320999998</v>
      </c>
      <c r="P39" s="10"/>
    </row>
    <row r="40" spans="1:16" s="5" customFormat="1" ht="12">
      <c r="A40" s="240"/>
      <c r="B40" s="4" t="s">
        <v>29</v>
      </c>
      <c r="C40" s="4"/>
      <c r="D40" s="4"/>
      <c r="E40" s="8">
        <v>38</v>
      </c>
      <c r="F40" s="224">
        <f>LF!H41/1000</f>
        <v>599.184</v>
      </c>
      <c r="G40" s="224">
        <f>'FF'!H41/1000</f>
        <v>2232.432</v>
      </c>
      <c r="H40" s="224">
        <f>PrF!H41/1000</f>
        <v>1213.257</v>
      </c>
      <c r="I40" s="224">
        <f>FSS!H41/1000</f>
        <v>1380.93</v>
      </c>
      <c r="J40" s="224">
        <f>PřF!H41/1000</f>
        <v>875</v>
      </c>
      <c r="K40" s="224">
        <f>'FI'!H41/1000</f>
        <v>2856.3</v>
      </c>
      <c r="L40" s="224">
        <f>PdF!H41/1000</f>
        <v>539.75</v>
      </c>
      <c r="M40" s="224">
        <f>FSpS!H41/1000</f>
        <v>398.2</v>
      </c>
      <c r="N40" s="284">
        <f>ESF!H41/1000</f>
        <v>923.6</v>
      </c>
      <c r="O40" s="289">
        <f t="shared" si="4"/>
        <v>11018.653</v>
      </c>
      <c r="P40" s="10"/>
    </row>
    <row r="41" spans="1:16" s="5" customFormat="1" ht="12">
      <c r="A41" s="240"/>
      <c r="B41" s="4" t="s">
        <v>30</v>
      </c>
      <c r="C41" s="4"/>
      <c r="D41" s="4"/>
      <c r="E41" s="8">
        <v>39</v>
      </c>
      <c r="F41" s="224">
        <f>LF!H42/1000</f>
        <v>2650.81689</v>
      </c>
      <c r="G41" s="224">
        <f>'FF'!H42/1000</f>
        <v>415</v>
      </c>
      <c r="H41" s="224">
        <f>PrF!H42/1000</f>
        <v>314.2</v>
      </c>
      <c r="I41" s="224">
        <f>FSS!H42/1000</f>
        <v>709.50938</v>
      </c>
      <c r="J41" s="224">
        <f>PřF!H42/1000</f>
        <v>17991.54717</v>
      </c>
      <c r="K41" s="224">
        <f>'FI'!H42/1000</f>
        <v>23</v>
      </c>
      <c r="L41" s="224">
        <f>PdF!H42/1000</f>
        <v>11.8875</v>
      </c>
      <c r="M41" s="224">
        <f>FSpS!H42/1000</f>
        <v>1293.42328</v>
      </c>
      <c r="N41" s="284">
        <f>ESF!H42/1000</f>
        <v>7051.86826</v>
      </c>
      <c r="O41" s="289">
        <f t="shared" si="4"/>
        <v>30461.25248</v>
      </c>
      <c r="P41" s="10"/>
    </row>
    <row r="42" spans="1:15" s="29" customFormat="1" ht="12" hidden="1">
      <c r="A42" s="241" t="s">
        <v>32</v>
      </c>
      <c r="B42" s="27"/>
      <c r="C42" s="27"/>
      <c r="D42" s="27"/>
      <c r="E42" s="9">
        <v>42</v>
      </c>
      <c r="F42" s="280">
        <f>LF!F43/1000</f>
        <v>0</v>
      </c>
      <c r="G42" s="181">
        <f>'FF'!F43/1000</f>
        <v>0</v>
      </c>
      <c r="H42" s="181">
        <f>PrF!F43/1000</f>
        <v>1362</v>
      </c>
      <c r="I42" s="181">
        <f>FSS!F43/1000</f>
        <v>418.675</v>
      </c>
      <c r="J42" s="181">
        <f>PřF!F43/1000</f>
        <v>0</v>
      </c>
      <c r="K42" s="181">
        <f>'FI'!F43/1000</f>
        <v>20</v>
      </c>
      <c r="L42" s="181">
        <f>PdF!F43/1000</f>
        <v>3134</v>
      </c>
      <c r="M42" s="181">
        <f>FSpS!F43/1000</f>
        <v>1195</v>
      </c>
      <c r="N42" s="182">
        <f>ESF!F43/1000</f>
        <v>2117</v>
      </c>
      <c r="O42" s="300">
        <f>O27+O32+O35+O39+O40+O41-O4-O25</f>
        <v>34286.54786999992</v>
      </c>
    </row>
    <row r="43" spans="1:15" ht="12.75">
      <c r="A43" s="239" t="s">
        <v>165</v>
      </c>
      <c r="B43" s="171"/>
      <c r="C43" s="171"/>
      <c r="D43" s="171"/>
      <c r="E43" s="172">
        <v>40</v>
      </c>
      <c r="F43" s="308">
        <f aca="true" t="shared" si="5" ref="F43:O43">F26-F3</f>
        <v>10525.471650000021</v>
      </c>
      <c r="G43" s="179">
        <f t="shared" si="5"/>
        <v>5191.140939999954</v>
      </c>
      <c r="H43" s="179">
        <f t="shared" si="5"/>
        <v>4736.038820000002</v>
      </c>
      <c r="I43" s="179">
        <f t="shared" si="5"/>
        <v>2877.0621299999475</v>
      </c>
      <c r="J43" s="179">
        <f t="shared" si="5"/>
        <v>3214.5460500000045</v>
      </c>
      <c r="K43" s="179">
        <f t="shared" si="5"/>
        <v>2076.954149999976</v>
      </c>
      <c r="L43" s="179">
        <f t="shared" si="5"/>
        <v>3519.5109300000477</v>
      </c>
      <c r="M43" s="179">
        <f t="shared" si="5"/>
        <v>762.4549699999916</v>
      </c>
      <c r="N43" s="180">
        <f t="shared" si="5"/>
        <v>1758.082620000001</v>
      </c>
      <c r="O43" s="308">
        <f t="shared" si="5"/>
        <v>34661.262259999756</v>
      </c>
    </row>
    <row r="44" spans="1:15" s="89" customFormat="1" ht="11.25">
      <c r="A44" s="210"/>
      <c r="B44" s="90"/>
      <c r="C44" s="90"/>
      <c r="D44" s="90"/>
      <c r="E44" s="90"/>
      <c r="F44" s="91"/>
      <c r="G44" s="217"/>
      <c r="H44" s="217"/>
      <c r="I44" s="217"/>
      <c r="J44" s="217"/>
      <c r="K44" s="217"/>
      <c r="L44" s="217"/>
      <c r="M44" s="217"/>
      <c r="N44" s="217"/>
      <c r="O44" s="309"/>
    </row>
    <row r="45" spans="1:15" s="89" customFormat="1" ht="11.25">
      <c r="A45" s="210" t="s">
        <v>141</v>
      </c>
      <c r="B45" s="90"/>
      <c r="C45" s="90"/>
      <c r="D45" s="90"/>
      <c r="E45" s="90"/>
      <c r="F45" s="91">
        <f>LF!F46/1000</f>
        <v>29113</v>
      </c>
      <c r="G45" s="91">
        <f>'FF'!F46/1000</f>
        <v>7179</v>
      </c>
      <c r="H45" s="91">
        <f>PrF!F46/1000</f>
        <v>2165</v>
      </c>
      <c r="I45" s="91">
        <f>FSS!F46/1000</f>
        <v>6963</v>
      </c>
      <c r="J45" s="91">
        <f>PřF!F46/1000</f>
        <v>57203</v>
      </c>
      <c r="K45" s="91">
        <f>'FI'!F46/1000</f>
        <v>11960</v>
      </c>
      <c r="L45" s="91">
        <f>PdF!F46/1000</f>
        <v>5477</v>
      </c>
      <c r="M45" s="91">
        <f>FSpS!F46/1000</f>
        <v>2093</v>
      </c>
      <c r="N45" s="91">
        <f>ESF!F46/1000</f>
        <v>5698</v>
      </c>
      <c r="O45" s="234">
        <f aca="true" t="shared" si="6" ref="O45:O52">SUM(F45:N45)</f>
        <v>127851</v>
      </c>
    </row>
    <row r="46" spans="1:16" s="89" customFormat="1" ht="11.25">
      <c r="A46" s="142" t="s">
        <v>142</v>
      </c>
      <c r="B46" s="90"/>
      <c r="C46" s="90"/>
      <c r="D46" s="90"/>
      <c r="E46" s="90"/>
      <c r="F46" s="91">
        <f>LF!F47/1000</f>
        <v>10108</v>
      </c>
      <c r="G46" s="91">
        <f>'FF'!F47/1000</f>
        <v>1956</v>
      </c>
      <c r="H46" s="91">
        <f>PrF!F47/1000</f>
        <v>1085</v>
      </c>
      <c r="I46" s="91">
        <f>FSS!F47/1000</f>
        <v>1527</v>
      </c>
      <c r="J46" s="91">
        <f>PřF!F47/1000</f>
        <v>16985</v>
      </c>
      <c r="K46" s="91">
        <f>'FI'!F47/1000</f>
        <v>2039</v>
      </c>
      <c r="L46" s="91">
        <f>PdF!F47/1000</f>
        <v>1414</v>
      </c>
      <c r="M46" s="91">
        <f>FSpS!F47/1000</f>
        <v>1833</v>
      </c>
      <c r="N46" s="91">
        <f>ESF!F47/1000</f>
        <v>1229</v>
      </c>
      <c r="O46" s="235">
        <f t="shared" si="6"/>
        <v>38176</v>
      </c>
      <c r="P46" s="217"/>
    </row>
    <row r="47" spans="1:15" s="89" customFormat="1" ht="11.25">
      <c r="A47" s="142" t="s">
        <v>143</v>
      </c>
      <c r="B47" s="90"/>
      <c r="C47" s="90"/>
      <c r="D47" s="90"/>
      <c r="E47" s="90"/>
      <c r="F47" s="91">
        <f>LF!F48/1000</f>
        <v>19005</v>
      </c>
      <c r="G47" s="91">
        <f>'FF'!F48/1000</f>
        <v>5223</v>
      </c>
      <c r="H47" s="91">
        <f>PrF!F48/1000</f>
        <v>1080</v>
      </c>
      <c r="I47" s="91">
        <f>FSS!F48/1000</f>
        <v>5436</v>
      </c>
      <c r="J47" s="91">
        <f>PřF!F48/1000</f>
        <v>40218</v>
      </c>
      <c r="K47" s="91">
        <f>'FI'!F48/1000</f>
        <v>9921</v>
      </c>
      <c r="L47" s="91">
        <f>PdF!F48/1000</f>
        <v>4063</v>
      </c>
      <c r="M47" s="91">
        <f>FSpS!F48/1000</f>
        <v>260</v>
      </c>
      <c r="N47" s="91">
        <f>ESF!F48/1000</f>
        <v>4469</v>
      </c>
      <c r="O47" s="234">
        <f t="shared" si="6"/>
        <v>89675</v>
      </c>
    </row>
    <row r="48" spans="1:15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234">
        <f t="shared" si="6"/>
        <v>0</v>
      </c>
    </row>
    <row r="49" spans="1:15" s="89" customFormat="1" ht="11.25">
      <c r="A49" s="90" t="s">
        <v>170</v>
      </c>
      <c r="B49" s="90"/>
      <c r="C49" s="90"/>
      <c r="D49" s="90"/>
      <c r="E49" s="90"/>
      <c r="F49" s="91">
        <v>215980</v>
      </c>
      <c r="G49" s="91">
        <v>190688</v>
      </c>
      <c r="H49" s="91">
        <v>82178</v>
      </c>
      <c r="I49" s="91">
        <v>73401</v>
      </c>
      <c r="J49" s="91">
        <v>148057</v>
      </c>
      <c r="K49" s="91">
        <v>78471</v>
      </c>
      <c r="L49" s="91">
        <v>159187</v>
      </c>
      <c r="M49" s="91">
        <v>41005</v>
      </c>
      <c r="N49" s="91">
        <v>83932</v>
      </c>
      <c r="O49" s="234">
        <f t="shared" si="6"/>
        <v>1072899</v>
      </c>
    </row>
    <row r="50" spans="1:15" s="89" customFormat="1" ht="11.25">
      <c r="A50" s="90" t="s">
        <v>146</v>
      </c>
      <c r="B50" s="90"/>
      <c r="C50" s="90"/>
      <c r="D50" s="90"/>
      <c r="F50" s="91"/>
      <c r="G50" s="91"/>
      <c r="H50" s="91"/>
      <c r="I50" s="91"/>
      <c r="J50" s="91"/>
      <c r="K50" s="91">
        <v>4500</v>
      </c>
      <c r="L50" s="91"/>
      <c r="M50" s="91">
        <v>18820</v>
      </c>
      <c r="N50" s="91"/>
      <c r="O50" s="234">
        <f t="shared" si="6"/>
        <v>23320</v>
      </c>
    </row>
    <row r="51" spans="1:15" s="89" customFormat="1" ht="11.25">
      <c r="A51" s="90" t="s">
        <v>171</v>
      </c>
      <c r="B51" s="90"/>
      <c r="C51" s="90"/>
      <c r="D51" s="90"/>
      <c r="F51" s="91">
        <f aca="true" t="shared" si="7" ref="F51:N51">F46</f>
        <v>10108</v>
      </c>
      <c r="G51" s="91">
        <f t="shared" si="7"/>
        <v>1956</v>
      </c>
      <c r="H51" s="91">
        <f t="shared" si="7"/>
        <v>1085</v>
      </c>
      <c r="I51" s="91">
        <f t="shared" si="7"/>
        <v>1527</v>
      </c>
      <c r="J51" s="91">
        <f t="shared" si="7"/>
        <v>16985</v>
      </c>
      <c r="K51" s="91">
        <f t="shared" si="7"/>
        <v>2039</v>
      </c>
      <c r="L51" s="91">
        <f t="shared" si="7"/>
        <v>1414</v>
      </c>
      <c r="M51" s="91">
        <f t="shared" si="7"/>
        <v>1833</v>
      </c>
      <c r="N51" s="91">
        <f t="shared" si="7"/>
        <v>1229</v>
      </c>
      <c r="O51" s="234">
        <f t="shared" si="6"/>
        <v>38176</v>
      </c>
    </row>
    <row r="52" spans="1:15" s="89" customFormat="1" ht="11.25">
      <c r="A52" s="90" t="s">
        <v>169</v>
      </c>
      <c r="B52" s="90"/>
      <c r="C52" s="90"/>
      <c r="D52" s="90"/>
      <c r="F52" s="91">
        <f aca="true" t="shared" si="8" ref="F52:N52">SUM(F49:F51)</f>
        <v>226088</v>
      </c>
      <c r="G52" s="91">
        <f t="shared" si="8"/>
        <v>192644</v>
      </c>
      <c r="H52" s="91">
        <f t="shared" si="8"/>
        <v>83263</v>
      </c>
      <c r="I52" s="91">
        <f t="shared" si="8"/>
        <v>74928</v>
      </c>
      <c r="J52" s="91">
        <f t="shared" si="8"/>
        <v>165042</v>
      </c>
      <c r="K52" s="91">
        <f t="shared" si="8"/>
        <v>85010</v>
      </c>
      <c r="L52" s="91">
        <f t="shared" si="8"/>
        <v>160601</v>
      </c>
      <c r="M52" s="91">
        <f t="shared" si="8"/>
        <v>61658</v>
      </c>
      <c r="N52" s="91">
        <f t="shared" si="8"/>
        <v>85161</v>
      </c>
      <c r="O52" s="234">
        <f t="shared" si="6"/>
        <v>1134395</v>
      </c>
    </row>
    <row r="53" spans="1:15" s="313" customFormat="1" ht="11.25">
      <c r="A53" s="312"/>
      <c r="B53" s="312"/>
      <c r="C53" s="312"/>
      <c r="D53" s="312"/>
      <c r="F53" s="206">
        <f aca="true" t="shared" si="9" ref="F53:O53">F27-F52</f>
        <v>1486.9860000000044</v>
      </c>
      <c r="G53" s="206">
        <f t="shared" si="9"/>
        <v>1228.4590000000026</v>
      </c>
      <c r="H53" s="206">
        <f t="shared" si="9"/>
        <v>108.46400000000722</v>
      </c>
      <c r="I53" s="206">
        <f t="shared" si="9"/>
        <v>1000.2430000000022</v>
      </c>
      <c r="J53" s="206">
        <f t="shared" si="9"/>
        <v>9371.52919999999</v>
      </c>
      <c r="K53" s="206">
        <f t="shared" si="9"/>
        <v>-5074.03134999999</v>
      </c>
      <c r="L53" s="206">
        <f t="shared" si="9"/>
        <v>-1039.2820000000065</v>
      </c>
      <c r="M53" s="206">
        <f t="shared" si="9"/>
        <v>-986.4959999999992</v>
      </c>
      <c r="N53" s="206">
        <f t="shared" si="9"/>
        <v>496.70299999999406</v>
      </c>
      <c r="O53" s="314">
        <f t="shared" si="9"/>
        <v>6592.574849999975</v>
      </c>
    </row>
  </sheetData>
  <mergeCells count="1">
    <mergeCell ref="A1:D1"/>
  </mergeCells>
  <printOptions/>
  <pageMargins left="0.42" right="0.31" top="0.35" bottom="0.32" header="0.2" footer="0.19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4"/>
  <dimension ref="A1:AC54"/>
  <sheetViews>
    <sheetView workbookViewId="0" topLeftCell="D1">
      <selection activeCell="Q14" sqref="Q14"/>
    </sheetView>
  </sheetViews>
  <sheetFormatPr defaultColWidth="9.00390625" defaultRowHeight="12.75"/>
  <cols>
    <col min="1" max="1" width="7.125" style="0" customWidth="1"/>
    <col min="2" max="2" width="5.625" style="0" customWidth="1"/>
    <col min="3" max="3" width="6.25390625" style="0" customWidth="1"/>
    <col min="4" max="4" width="27.25390625" style="0" customWidth="1"/>
    <col min="5" max="5" width="3.75390625" style="0" customWidth="1"/>
    <col min="6" max="6" width="10.75390625" style="2" customWidth="1"/>
    <col min="7" max="7" width="9.625" style="89" bestFit="1" customWidth="1"/>
    <col min="8" max="8" width="10.875" style="2" bestFit="1" customWidth="1"/>
    <col min="9" max="9" width="4.75390625" style="413" customWidth="1"/>
    <col min="10" max="10" width="9.625" style="0" hidden="1" customWidth="1"/>
    <col min="11" max="15" width="9.625" style="0" bestFit="1" customWidth="1"/>
    <col min="16" max="16" width="1.625" style="0" customWidth="1"/>
    <col min="17" max="17" width="9.875" style="89" customWidth="1"/>
    <col min="18" max="18" width="8.75390625" style="89" bestFit="1" customWidth="1"/>
    <col min="19" max="19" width="10.125" style="89" bestFit="1" customWidth="1"/>
    <col min="20" max="20" width="1.25" style="0" customWidth="1"/>
    <col min="21" max="21" width="10.625" style="0" hidden="1" customWidth="1"/>
    <col min="22" max="22" width="8.75390625" style="0" hidden="1" customWidth="1"/>
    <col min="23" max="23" width="9.625" style="0" hidden="1" customWidth="1"/>
    <col min="24" max="24" width="9.75390625" style="470" hidden="1" customWidth="1"/>
    <col min="25" max="25" width="6.375" style="458" customWidth="1"/>
    <col min="26" max="26" width="2.875" style="458" customWidth="1"/>
    <col min="27" max="27" width="2.25390625" style="458" customWidth="1"/>
    <col min="28" max="28" width="5.00390625" style="0" customWidth="1"/>
    <col min="29" max="29" width="9.125" style="463" customWidth="1"/>
  </cols>
  <sheetData>
    <row r="1" spans="1:28" ht="15.75">
      <c r="A1" s="613" t="s">
        <v>138</v>
      </c>
      <c r="B1" s="614"/>
      <c r="C1" s="614"/>
      <c r="D1" s="615"/>
      <c r="E1" s="242"/>
      <c r="F1" s="253" t="s">
        <v>7</v>
      </c>
      <c r="G1" s="483" t="s">
        <v>198</v>
      </c>
      <c r="H1" s="434" t="s">
        <v>8</v>
      </c>
      <c r="I1" s="218" t="s">
        <v>196</v>
      </c>
      <c r="J1" s="218" t="s">
        <v>197</v>
      </c>
      <c r="K1" s="218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Q1" s="619" t="s">
        <v>206</v>
      </c>
      <c r="R1" s="620"/>
      <c r="S1" s="621"/>
      <c r="U1" s="619" t="s">
        <v>210</v>
      </c>
      <c r="V1" s="620"/>
      <c r="W1" s="621"/>
      <c r="X1" s="469"/>
      <c r="Y1" s="468" t="s">
        <v>212</v>
      </c>
      <c r="Z1" s="468"/>
      <c r="AA1" s="468"/>
      <c r="AB1" s="468"/>
    </row>
    <row r="2" spans="1:29" s="7" customFormat="1" ht="12.75">
      <c r="A2" s="237" t="s">
        <v>39</v>
      </c>
      <c r="B2" s="44"/>
      <c r="C2" s="44"/>
      <c r="D2" s="45" t="s">
        <v>58</v>
      </c>
      <c r="E2" s="243" t="s">
        <v>21</v>
      </c>
      <c r="F2" s="254">
        <v>2006</v>
      </c>
      <c r="G2" s="484" t="s">
        <v>213</v>
      </c>
      <c r="H2" s="340" t="s">
        <v>223</v>
      </c>
      <c r="I2" s="219" t="s">
        <v>199</v>
      </c>
      <c r="J2" s="219">
        <v>2006</v>
      </c>
      <c r="K2" s="219">
        <v>2005</v>
      </c>
      <c r="L2" s="219">
        <v>2004</v>
      </c>
      <c r="M2" s="219">
        <v>2003</v>
      </c>
      <c r="N2" s="219">
        <v>2002</v>
      </c>
      <c r="O2" s="219">
        <v>2001</v>
      </c>
      <c r="Q2" s="219" t="s">
        <v>207</v>
      </c>
      <c r="R2" s="219" t="s">
        <v>208</v>
      </c>
      <c r="S2" s="219" t="s">
        <v>209</v>
      </c>
      <c r="U2" s="219" t="s">
        <v>207</v>
      </c>
      <c r="V2" s="219" t="s">
        <v>208</v>
      </c>
      <c r="W2" s="219" t="s">
        <v>209</v>
      </c>
      <c r="X2" s="469"/>
      <c r="Y2" s="468">
        <v>2005</v>
      </c>
      <c r="Z2" s="468"/>
      <c r="AA2" s="468"/>
      <c r="AC2" s="463"/>
    </row>
    <row r="3" spans="1:29" s="7" customFormat="1" ht="12.75" customHeight="1" hidden="1">
      <c r="A3" s="238"/>
      <c r="B3" s="137"/>
      <c r="C3" s="137"/>
      <c r="D3" s="138"/>
      <c r="E3" s="244"/>
      <c r="F3" s="299">
        <v>1</v>
      </c>
      <c r="G3" s="220" t="s">
        <v>200</v>
      </c>
      <c r="H3" s="341">
        <v>2</v>
      </c>
      <c r="I3" s="220" t="s">
        <v>201</v>
      </c>
      <c r="J3" s="381">
        <v>3</v>
      </c>
      <c r="K3" s="381">
        <v>4</v>
      </c>
      <c r="L3" s="381"/>
      <c r="M3" s="381"/>
      <c r="N3" s="381"/>
      <c r="O3" s="381"/>
      <c r="Q3" s="381"/>
      <c r="R3" s="381"/>
      <c r="S3" s="381"/>
      <c r="U3" s="381"/>
      <c r="V3" s="381"/>
      <c r="W3" s="381"/>
      <c r="X3" s="470"/>
      <c r="Y3" s="458"/>
      <c r="Z3" s="458"/>
      <c r="AA3" s="458"/>
      <c r="AC3" s="463"/>
    </row>
    <row r="4" spans="1:24" ht="12.75">
      <c r="A4" s="239" t="s">
        <v>157</v>
      </c>
      <c r="B4" s="171"/>
      <c r="C4" s="171"/>
      <c r="D4" s="171"/>
      <c r="E4" s="245">
        <v>1</v>
      </c>
      <c r="F4" s="255">
        <f>SUM(F6:F26)</f>
        <v>286333215</v>
      </c>
      <c r="G4" s="221">
        <f>SUM(G6:G26)</f>
        <v>13679241</v>
      </c>
      <c r="H4" s="342">
        <f>SUM(H6:H26)</f>
        <v>342606267.27000004</v>
      </c>
      <c r="I4" s="403">
        <f aca="true" t="shared" si="0" ref="I4:I16">H4/F4</f>
        <v>1.1965299494506778</v>
      </c>
      <c r="J4" s="221">
        <f aca="true" t="shared" si="1" ref="J4:O4">SUM(J6:J26)</f>
        <v>345345271.30545455</v>
      </c>
      <c r="K4" s="221">
        <f t="shared" si="1"/>
        <v>211017603.5</v>
      </c>
      <c r="L4" s="221">
        <f t="shared" si="1"/>
        <v>187386668.26000002</v>
      </c>
      <c r="M4" s="221">
        <f t="shared" si="1"/>
        <v>226141404.66999996</v>
      </c>
      <c r="N4" s="221">
        <f t="shared" si="1"/>
        <v>241993000</v>
      </c>
      <c r="O4" s="221">
        <f t="shared" si="1"/>
        <v>233485000</v>
      </c>
      <c r="Q4" s="221">
        <f>SUM(Q6:Q26)</f>
        <v>224754117.26999998</v>
      </c>
      <c r="R4" s="221">
        <f>SUM(R6:R26)</f>
        <v>15049750</v>
      </c>
      <c r="S4" s="221">
        <f>SUM(S6:S26)</f>
        <v>102802400</v>
      </c>
      <c r="U4" s="221">
        <f>SUM(U6:U26)</f>
        <v>227920112.85154152</v>
      </c>
      <c r="V4" s="221">
        <f>SUM(V6:V26)</f>
        <v>15049750</v>
      </c>
      <c r="W4" s="221">
        <f>SUM(W6:W26)</f>
        <v>102802400</v>
      </c>
      <c r="X4" s="471">
        <f>SUM(U4:W4)</f>
        <v>345772262.8515415</v>
      </c>
    </row>
    <row r="5" spans="1:29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275645265</v>
      </c>
      <c r="G5" s="192">
        <f>SUM(G6:G16)</f>
        <v>0</v>
      </c>
      <c r="H5" s="266">
        <f>SUM(H6:H16)</f>
        <v>322553921.20000005</v>
      </c>
      <c r="I5" s="404">
        <f t="shared" si="0"/>
        <v>1.170177623765821</v>
      </c>
      <c r="J5" s="192">
        <f aca="true" t="shared" si="2" ref="J5:O5">SUM(J6:J16)</f>
        <v>324769921.20000005</v>
      </c>
      <c r="K5" s="192">
        <f t="shared" si="2"/>
        <v>204208282.52</v>
      </c>
      <c r="L5" s="192">
        <f t="shared" si="2"/>
        <v>177727074.43</v>
      </c>
      <c r="M5" s="192">
        <f t="shared" si="2"/>
        <v>220016902.96999997</v>
      </c>
      <c r="N5" s="192">
        <f t="shared" si="2"/>
        <v>222112000</v>
      </c>
      <c r="O5" s="192">
        <f t="shared" si="2"/>
        <v>204766000</v>
      </c>
      <c r="Q5" s="192">
        <f>SUM(Q6:Q16)</f>
        <v>204701771.2</v>
      </c>
      <c r="R5" s="192">
        <f>SUM(R6:R16)</f>
        <v>15049750</v>
      </c>
      <c r="S5" s="192">
        <f>SUM(S6:S16)</f>
        <v>102802400</v>
      </c>
      <c r="U5" s="192">
        <f>SUM(U6:U16)</f>
        <v>207344762.74608696</v>
      </c>
      <c r="V5" s="192">
        <f>SUM(V6:V16)</f>
        <v>15049750</v>
      </c>
      <c r="W5" s="192">
        <f>SUM(W6:W16)</f>
        <v>102802400</v>
      </c>
      <c r="X5" s="472"/>
      <c r="Y5" s="458"/>
      <c r="Z5" s="458"/>
      <c r="AA5" s="458"/>
      <c r="AC5" s="463"/>
    </row>
    <row r="6" spans="1:29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v>48649229</v>
      </c>
      <c r="G6" s="174"/>
      <c r="H6" s="343">
        <v>56725278.33</v>
      </c>
      <c r="I6" s="404">
        <f t="shared" si="0"/>
        <v>1.1660057003164428</v>
      </c>
      <c r="J6" s="174">
        <f>U6+V6+W6</f>
        <v>56725278.33</v>
      </c>
      <c r="K6" s="174">
        <v>45905523</v>
      </c>
      <c r="L6" s="174">
        <v>44318203</v>
      </c>
      <c r="M6" s="174">
        <v>36443480</v>
      </c>
      <c r="N6" s="174">
        <v>28405000</v>
      </c>
      <c r="O6" s="174">
        <v>19145000</v>
      </c>
      <c r="Q6" s="174">
        <f>H6-R6-S6</f>
        <v>47985391.33</v>
      </c>
      <c r="R6" s="174">
        <v>7802773</v>
      </c>
      <c r="S6" s="174">
        <f>8739887-R6</f>
        <v>937114</v>
      </c>
      <c r="U6" s="174">
        <f>Q6/12*12</f>
        <v>47985391.33</v>
      </c>
      <c r="V6" s="558">
        <f>R6/12*12</f>
        <v>7802773</v>
      </c>
      <c r="W6" s="174">
        <f>S6/12*12</f>
        <v>937114</v>
      </c>
      <c r="X6" s="473"/>
      <c r="Y6" s="459"/>
      <c r="Z6" s="459"/>
      <c r="AA6" s="459"/>
      <c r="AC6" s="569"/>
    </row>
    <row r="7" spans="1:29" s="29" customFormat="1" ht="12">
      <c r="A7" s="241"/>
      <c r="B7" s="27"/>
      <c r="C7" s="27"/>
      <c r="D7" s="28" t="s">
        <v>18</v>
      </c>
      <c r="E7" s="246">
        <v>4</v>
      </c>
      <c r="F7" s="222">
        <v>2071567</v>
      </c>
      <c r="G7" s="174"/>
      <c r="H7" s="343">
        <v>2294996</v>
      </c>
      <c r="I7" s="404">
        <f t="shared" si="0"/>
        <v>1.1078550681682031</v>
      </c>
      <c r="J7" s="174">
        <f aca="true" t="shared" si="3" ref="J7:J42">U7+V7+W7</f>
        <v>2294996</v>
      </c>
      <c r="K7" s="174">
        <v>1342855</v>
      </c>
      <c r="L7" s="174">
        <v>1241872</v>
      </c>
      <c r="M7" s="174">
        <v>1746105</v>
      </c>
      <c r="N7" s="174">
        <v>680000</v>
      </c>
      <c r="O7" s="174">
        <v>1037000</v>
      </c>
      <c r="Q7" s="174">
        <f aca="true" t="shared" si="4" ref="Q7:Q16">H7-R7-S7</f>
        <v>1818919</v>
      </c>
      <c r="R7" s="174"/>
      <c r="S7" s="174">
        <v>476077</v>
      </c>
      <c r="U7" s="174">
        <f aca="true" t="shared" si="5" ref="U7:U14">Q7/12*12</f>
        <v>1818919</v>
      </c>
      <c r="V7" s="558">
        <f aca="true" t="shared" si="6" ref="V7:V16">R7/12*12</f>
        <v>0</v>
      </c>
      <c r="W7" s="174">
        <f aca="true" t="shared" si="7" ref="W7:W16">S7/12*12</f>
        <v>476077</v>
      </c>
      <c r="X7" s="473"/>
      <c r="Y7" s="459"/>
      <c r="Z7" s="459"/>
      <c r="AA7" s="459"/>
      <c r="AC7" s="569"/>
    </row>
    <row r="8" spans="1:29" s="29" customFormat="1" ht="12">
      <c r="A8" s="241"/>
      <c r="B8" s="27"/>
      <c r="C8" s="27"/>
      <c r="D8" s="28" t="s">
        <v>19</v>
      </c>
      <c r="E8" s="246">
        <v>5</v>
      </c>
      <c r="F8" s="222">
        <v>18205443</v>
      </c>
      <c r="G8" s="174"/>
      <c r="H8" s="343">
        <v>20787044.67</v>
      </c>
      <c r="I8" s="404">
        <f t="shared" si="0"/>
        <v>1.1418038369074568</v>
      </c>
      <c r="J8" s="174">
        <f t="shared" si="3"/>
        <v>20787044.67</v>
      </c>
      <c r="K8" s="174">
        <v>16365039</v>
      </c>
      <c r="L8" s="174">
        <v>15781805</v>
      </c>
      <c r="M8" s="174">
        <v>12928613.3</v>
      </c>
      <c r="N8" s="174">
        <v>10108000</v>
      </c>
      <c r="O8" s="174">
        <v>6826000</v>
      </c>
      <c r="Q8" s="174">
        <f t="shared" si="4"/>
        <v>17694305.67</v>
      </c>
      <c r="R8" s="174">
        <v>2730969</v>
      </c>
      <c r="S8" s="174">
        <f>3092739-R8</f>
        <v>361770</v>
      </c>
      <c r="U8" s="174">
        <f t="shared" si="5"/>
        <v>17694305.67</v>
      </c>
      <c r="V8" s="558">
        <f t="shared" si="6"/>
        <v>2730969</v>
      </c>
      <c r="W8" s="174">
        <f t="shared" si="7"/>
        <v>361770</v>
      </c>
      <c r="X8" s="473"/>
      <c r="Y8" s="459"/>
      <c r="Z8" s="459"/>
      <c r="AA8" s="459"/>
      <c r="AC8" s="569"/>
    </row>
    <row r="9" spans="1:29" s="29" customFormat="1" ht="12">
      <c r="A9" s="241"/>
      <c r="B9" s="27"/>
      <c r="C9" s="27"/>
      <c r="D9" s="28" t="s">
        <v>0</v>
      </c>
      <c r="E9" s="246">
        <v>6</v>
      </c>
      <c r="F9" s="222">
        <v>2760061</v>
      </c>
      <c r="G9" s="174"/>
      <c r="H9" s="343">
        <v>3525214.01</v>
      </c>
      <c r="I9" s="404">
        <f t="shared" si="0"/>
        <v>1.277223224414243</v>
      </c>
      <c r="J9" s="174">
        <f t="shared" si="3"/>
        <v>3525214.01</v>
      </c>
      <c r="K9" s="174">
        <v>5407768.45</v>
      </c>
      <c r="L9" s="174">
        <v>2627814.77</v>
      </c>
      <c r="M9" s="174">
        <v>2430603.29</v>
      </c>
      <c r="N9" s="174">
        <v>2191000</v>
      </c>
      <c r="O9" s="174">
        <v>2008000</v>
      </c>
      <c r="Q9" s="174">
        <f t="shared" si="4"/>
        <v>2103995.03</v>
      </c>
      <c r="R9" s="174"/>
      <c r="S9" s="174">
        <v>1421218.98</v>
      </c>
      <c r="U9" s="174">
        <f t="shared" si="5"/>
        <v>2103995.03</v>
      </c>
      <c r="V9" s="558">
        <f t="shared" si="6"/>
        <v>0</v>
      </c>
      <c r="W9" s="174">
        <f t="shared" si="7"/>
        <v>1421218.98</v>
      </c>
      <c r="X9" s="473"/>
      <c r="Y9" s="459"/>
      <c r="Z9" s="459"/>
      <c r="AA9" s="459"/>
      <c r="AC9" s="569"/>
    </row>
    <row r="10" spans="1:29" s="29" customFormat="1" ht="12">
      <c r="A10" s="241"/>
      <c r="B10" s="27"/>
      <c r="C10" s="27"/>
      <c r="D10" s="28" t="s">
        <v>1</v>
      </c>
      <c r="E10" s="246">
        <v>7</v>
      </c>
      <c r="F10" s="222">
        <v>25196100</v>
      </c>
      <c r="G10" s="174"/>
      <c r="H10" s="343">
        <v>14562361.85</v>
      </c>
      <c r="I10" s="404">
        <f t="shared" si="0"/>
        <v>0.5779609483213671</v>
      </c>
      <c r="J10" s="174">
        <f t="shared" si="3"/>
        <v>14562361.850000001</v>
      </c>
      <c r="K10" s="174">
        <v>15659996.75</v>
      </c>
      <c r="L10" s="174">
        <v>15387379.79</v>
      </c>
      <c r="M10" s="174">
        <v>17221151.26</v>
      </c>
      <c r="N10" s="174">
        <v>20881000</v>
      </c>
      <c r="O10" s="174">
        <v>12617000</v>
      </c>
      <c r="Q10" s="174">
        <f t="shared" si="4"/>
        <v>1264782.3599999994</v>
      </c>
      <c r="R10" s="174"/>
      <c r="S10" s="174">
        <v>13297579.49</v>
      </c>
      <c r="U10" s="174">
        <f t="shared" si="5"/>
        <v>1264782.3599999994</v>
      </c>
      <c r="V10" s="558">
        <f t="shared" si="6"/>
        <v>0</v>
      </c>
      <c r="W10" s="174">
        <f t="shared" si="7"/>
        <v>13297579.490000002</v>
      </c>
      <c r="X10" s="473"/>
      <c r="Y10" s="459"/>
      <c r="Z10" s="459"/>
      <c r="AA10" s="459"/>
      <c r="AC10" s="569"/>
    </row>
    <row r="11" spans="1:29" s="29" customFormat="1" ht="12">
      <c r="A11" s="241"/>
      <c r="B11" s="27"/>
      <c r="C11" s="27"/>
      <c r="D11" s="28" t="s">
        <v>2</v>
      </c>
      <c r="E11" s="246">
        <v>8</v>
      </c>
      <c r="F11" s="222">
        <v>8947093</v>
      </c>
      <c r="G11" s="174"/>
      <c r="H11" s="343">
        <v>10586590.83</v>
      </c>
      <c r="I11" s="404">
        <f t="shared" si="0"/>
        <v>1.1832436334349046</v>
      </c>
      <c r="J11" s="174">
        <f t="shared" si="3"/>
        <v>10586590.83</v>
      </c>
      <c r="K11" s="174">
        <v>55967286.42</v>
      </c>
      <c r="L11" s="174">
        <v>9763061.7</v>
      </c>
      <c r="M11" s="174">
        <v>28276871.79</v>
      </c>
      <c r="N11" s="174">
        <v>7097000</v>
      </c>
      <c r="O11" s="174">
        <v>10852000</v>
      </c>
      <c r="Q11" s="174">
        <f t="shared" si="4"/>
        <v>4946312.95</v>
      </c>
      <c r="R11" s="174"/>
      <c r="S11" s="174">
        <v>5640277.88</v>
      </c>
      <c r="U11" s="174">
        <f t="shared" si="5"/>
        <v>4946312.95</v>
      </c>
      <c r="V11" s="558">
        <f t="shared" si="6"/>
        <v>0</v>
      </c>
      <c r="W11" s="174">
        <f t="shared" si="7"/>
        <v>5640277.88</v>
      </c>
      <c r="X11" s="473"/>
      <c r="Y11" s="459"/>
      <c r="Z11" s="459"/>
      <c r="AA11" s="459"/>
      <c r="AC11" s="569"/>
    </row>
    <row r="12" spans="1:29" s="29" customFormat="1" ht="12">
      <c r="A12" s="241"/>
      <c r="B12" s="27"/>
      <c r="C12" s="27"/>
      <c r="D12" s="28" t="s">
        <v>3</v>
      </c>
      <c r="E12" s="246">
        <v>9</v>
      </c>
      <c r="F12" s="222">
        <v>35629714</v>
      </c>
      <c r="G12" s="379"/>
      <c r="H12" s="374">
        <v>28402609.05</v>
      </c>
      <c r="I12" s="404">
        <f t="shared" si="0"/>
        <v>0.7971607364010836</v>
      </c>
      <c r="J12" s="174">
        <f>H12/12*12</f>
        <v>28402609.049999997</v>
      </c>
      <c r="K12" s="174">
        <v>23467637.75</v>
      </c>
      <c r="L12" s="174">
        <v>25122605.52</v>
      </c>
      <c r="M12" s="174">
        <v>15675525.15</v>
      </c>
      <c r="N12" s="174">
        <v>56097000</v>
      </c>
      <c r="O12" s="174">
        <v>53637000</v>
      </c>
      <c r="Q12" s="174">
        <f t="shared" si="4"/>
        <v>9820805.560000002</v>
      </c>
      <c r="R12" s="174">
        <v>246146.1</v>
      </c>
      <c r="S12" s="174">
        <f>18581803.49-R12</f>
        <v>18335657.389999997</v>
      </c>
      <c r="U12" s="174">
        <f>Q12/11.5*12</f>
        <v>10247797.106086958</v>
      </c>
      <c r="V12" s="558">
        <f t="shared" si="6"/>
        <v>246146.09999999998</v>
      </c>
      <c r="W12" s="174">
        <f t="shared" si="7"/>
        <v>18335657.389999997</v>
      </c>
      <c r="X12" s="473"/>
      <c r="Y12" s="459"/>
      <c r="Z12" s="459"/>
      <c r="AA12" s="459"/>
      <c r="AC12" s="569"/>
    </row>
    <row r="13" spans="1:29" s="29" customFormat="1" ht="12">
      <c r="A13" s="241"/>
      <c r="B13" s="27"/>
      <c r="C13" s="27"/>
      <c r="D13" s="28" t="s">
        <v>4</v>
      </c>
      <c r="E13" s="246">
        <v>10</v>
      </c>
      <c r="F13" s="222">
        <v>1805103</v>
      </c>
      <c r="G13" s="174"/>
      <c r="H13" s="343">
        <v>1910481.08</v>
      </c>
      <c r="I13" s="404">
        <f t="shared" si="0"/>
        <v>1.0583778764979062</v>
      </c>
      <c r="J13" s="174">
        <f t="shared" si="3"/>
        <v>1910481.0800000003</v>
      </c>
      <c r="K13" s="174">
        <v>1432099.43</v>
      </c>
      <c r="L13" s="174">
        <v>1160653.58</v>
      </c>
      <c r="M13" s="174">
        <v>963745.69</v>
      </c>
      <c r="N13" s="174">
        <v>1124000</v>
      </c>
      <c r="O13" s="174">
        <v>1212000</v>
      </c>
      <c r="Q13" s="174">
        <f t="shared" si="4"/>
        <v>1781847.28</v>
      </c>
      <c r="R13" s="174"/>
      <c r="S13" s="174">
        <v>128633.8</v>
      </c>
      <c r="U13" s="174">
        <f t="shared" si="5"/>
        <v>1781847.2800000003</v>
      </c>
      <c r="V13" s="558">
        <f t="shared" si="6"/>
        <v>0</v>
      </c>
      <c r="W13" s="174">
        <f t="shared" si="7"/>
        <v>128633.8</v>
      </c>
      <c r="X13" s="473"/>
      <c r="Y13" s="459"/>
      <c r="Z13" s="459"/>
      <c r="AA13" s="459"/>
      <c r="AC13" s="569"/>
    </row>
    <row r="14" spans="1:29" s="29" customFormat="1" ht="13.5">
      <c r="A14" s="241"/>
      <c r="B14" s="27"/>
      <c r="C14" s="27"/>
      <c r="D14" s="28" t="s">
        <v>178</v>
      </c>
      <c r="E14" s="246">
        <v>11</v>
      </c>
      <c r="F14" s="222">
        <v>10197000</v>
      </c>
      <c r="G14" s="174"/>
      <c r="H14" s="343">
        <v>3895956.48</v>
      </c>
      <c r="I14" s="404">
        <f t="shared" si="0"/>
        <v>0.3820688908502501</v>
      </c>
      <c r="J14" s="174">
        <f t="shared" si="3"/>
        <v>3895956.48</v>
      </c>
      <c r="K14" s="174">
        <v>3558924</v>
      </c>
      <c r="L14" s="174">
        <v>3143760.62</v>
      </c>
      <c r="M14" s="174">
        <v>90740319.23</v>
      </c>
      <c r="N14" s="174">
        <v>88739000</v>
      </c>
      <c r="O14" s="174">
        <v>88916000</v>
      </c>
      <c r="Q14" s="174">
        <f t="shared" si="4"/>
        <v>2270254</v>
      </c>
      <c r="R14" s="174"/>
      <c r="S14" s="174">
        <v>1625702.48</v>
      </c>
      <c r="U14" s="174">
        <f t="shared" si="5"/>
        <v>2270254</v>
      </c>
      <c r="V14" s="558">
        <f t="shared" si="6"/>
        <v>0</v>
      </c>
      <c r="W14" s="174">
        <f t="shared" si="7"/>
        <v>1625702.48</v>
      </c>
      <c r="X14" s="473"/>
      <c r="Y14" s="459"/>
      <c r="Z14" s="459"/>
      <c r="AA14" s="459"/>
      <c r="AC14" s="569"/>
    </row>
    <row r="15" spans="1:29" s="29" customFormat="1" ht="12">
      <c r="A15" s="241"/>
      <c r="B15" s="27"/>
      <c r="C15" s="27"/>
      <c r="D15" s="28" t="s">
        <v>6</v>
      </c>
      <c r="E15" s="246">
        <v>12</v>
      </c>
      <c r="F15" s="222">
        <v>91204000</v>
      </c>
      <c r="G15" s="174"/>
      <c r="H15" s="451">
        <v>1214423</v>
      </c>
      <c r="I15" s="404">
        <f t="shared" si="0"/>
        <v>0.013315457655365993</v>
      </c>
      <c r="J15" s="174">
        <f t="shared" si="3"/>
        <v>3430423</v>
      </c>
      <c r="K15" s="174">
        <v>169700</v>
      </c>
      <c r="L15" s="174">
        <v>269145</v>
      </c>
      <c r="M15" s="174">
        <v>460631</v>
      </c>
      <c r="N15" s="174">
        <v>170000</v>
      </c>
      <c r="O15" s="174">
        <v>177000</v>
      </c>
      <c r="Q15" s="174">
        <f t="shared" si="4"/>
        <v>10500</v>
      </c>
      <c r="R15" s="174">
        <v>814403</v>
      </c>
      <c r="S15" s="174">
        <f>1203923-R15</f>
        <v>389520</v>
      </c>
      <c r="U15" s="550">
        <f>Q15/12*12+2216000</f>
        <v>2226500</v>
      </c>
      <c r="V15" s="558">
        <f t="shared" si="6"/>
        <v>814403</v>
      </c>
      <c r="W15" s="550">
        <f>S15/12*12</f>
        <v>389520</v>
      </c>
      <c r="X15" s="473"/>
      <c r="Y15" s="459"/>
      <c r="Z15" s="459"/>
      <c r="AA15" s="459"/>
      <c r="AC15" s="569"/>
    </row>
    <row r="16" spans="1:29" s="29" customFormat="1" ht="12">
      <c r="A16" s="241"/>
      <c r="B16" s="28"/>
      <c r="C16" s="28"/>
      <c r="D16" s="455" t="s">
        <v>211</v>
      </c>
      <c r="E16" s="246">
        <v>13</v>
      </c>
      <c r="F16" s="222">
        <v>30979955</v>
      </c>
      <c r="G16" s="174"/>
      <c r="H16" s="451">
        <v>178648965.9</v>
      </c>
      <c r="I16" s="404">
        <f t="shared" si="0"/>
        <v>5.766598624820468</v>
      </c>
      <c r="J16" s="174">
        <f>H16/12*12</f>
        <v>178648965.9</v>
      </c>
      <c r="K16" s="174">
        <v>34931452.72</v>
      </c>
      <c r="L16" s="174">
        <v>58910773.45</v>
      </c>
      <c r="M16" s="174">
        <v>13129857.26</v>
      </c>
      <c r="N16" s="174">
        <v>6620000</v>
      </c>
      <c r="O16" s="174">
        <v>8339000</v>
      </c>
      <c r="Q16" s="174">
        <f t="shared" si="4"/>
        <v>115004658.02</v>
      </c>
      <c r="R16" s="174">
        <v>3455458.9</v>
      </c>
      <c r="S16" s="174">
        <f>63644307.88-R16</f>
        <v>60188848.980000004</v>
      </c>
      <c r="U16" s="174">
        <f>Q16/12*12</f>
        <v>115004658.02000001</v>
      </c>
      <c r="V16" s="558">
        <f t="shared" si="6"/>
        <v>3455458.9</v>
      </c>
      <c r="W16" s="174">
        <f t="shared" si="7"/>
        <v>60188848.980000004</v>
      </c>
      <c r="X16" s="473"/>
      <c r="Y16" s="459"/>
      <c r="Z16" s="459"/>
      <c r="AA16" s="459"/>
      <c r="AC16" s="569"/>
    </row>
    <row r="17" spans="1:29" s="5" customFormat="1" ht="12">
      <c r="A17" s="240"/>
      <c r="B17" s="4" t="s">
        <v>14</v>
      </c>
      <c r="C17" s="3"/>
      <c r="D17" s="3"/>
      <c r="E17" s="246">
        <v>14</v>
      </c>
      <c r="F17" s="289"/>
      <c r="G17" s="192"/>
      <c r="H17" s="274"/>
      <c r="I17" s="407"/>
      <c r="J17" s="192">
        <f t="shared" si="3"/>
        <v>0</v>
      </c>
      <c r="K17" s="192"/>
      <c r="L17" s="192">
        <v>0</v>
      </c>
      <c r="M17" s="192"/>
      <c r="N17" s="192"/>
      <c r="O17" s="192"/>
      <c r="Q17" s="192"/>
      <c r="R17" s="192"/>
      <c r="S17" s="192"/>
      <c r="U17" s="192"/>
      <c r="V17" s="192"/>
      <c r="W17" s="192"/>
      <c r="X17" s="472"/>
      <c r="Y17" s="458"/>
      <c r="Z17" s="458"/>
      <c r="AA17" s="458"/>
      <c r="AC17" s="569"/>
    </row>
    <row r="18" spans="1:29" s="5" customFormat="1" ht="12">
      <c r="A18" s="240"/>
      <c r="B18" s="4" t="s">
        <v>15</v>
      </c>
      <c r="C18" s="3"/>
      <c r="D18" s="3"/>
      <c r="E18" s="246">
        <v>15</v>
      </c>
      <c r="F18" s="289"/>
      <c r="G18" s="192"/>
      <c r="H18" s="274"/>
      <c r="I18" s="407"/>
      <c r="J18" s="192">
        <f t="shared" si="3"/>
        <v>0</v>
      </c>
      <c r="K18" s="192"/>
      <c r="L18" s="192">
        <v>0</v>
      </c>
      <c r="M18" s="192"/>
      <c r="N18" s="192"/>
      <c r="O18" s="192"/>
      <c r="Q18" s="192"/>
      <c r="R18" s="192"/>
      <c r="S18" s="192"/>
      <c r="U18" s="192"/>
      <c r="V18" s="192"/>
      <c r="W18" s="192"/>
      <c r="X18" s="472"/>
      <c r="Y18" s="458"/>
      <c r="Z18" s="458"/>
      <c r="AA18" s="458"/>
      <c r="AC18" s="569"/>
    </row>
    <row r="19" spans="1:29" s="5" customFormat="1" ht="12">
      <c r="A19" s="240"/>
      <c r="B19" s="4" t="s">
        <v>20</v>
      </c>
      <c r="C19" s="3"/>
      <c r="D19" s="3"/>
      <c r="E19" s="246">
        <v>16</v>
      </c>
      <c r="F19" s="289">
        <v>5761000</v>
      </c>
      <c r="G19" s="192">
        <f>J19</f>
        <v>10725241</v>
      </c>
      <c r="H19" s="274">
        <v>10613468.67</v>
      </c>
      <c r="I19" s="407"/>
      <c r="J19" s="192">
        <f t="shared" si="3"/>
        <v>10725241</v>
      </c>
      <c r="K19" s="192">
        <v>1618251.64</v>
      </c>
      <c r="L19" s="192">
        <v>6049500</v>
      </c>
      <c r="M19" s="192">
        <v>3470000</v>
      </c>
      <c r="N19" s="192">
        <v>16385000</v>
      </c>
      <c r="O19" s="192">
        <v>26422000</v>
      </c>
      <c r="Q19" s="192">
        <f>H19</f>
        <v>10613468.67</v>
      </c>
      <c r="R19" s="192"/>
      <c r="S19" s="192"/>
      <c r="U19" s="192">
        <f>G31</f>
        <v>10725241</v>
      </c>
      <c r="V19" s="192"/>
      <c r="W19" s="192"/>
      <c r="X19" s="472"/>
      <c r="Y19" s="458"/>
      <c r="Z19" s="458"/>
      <c r="AA19" s="458"/>
      <c r="AC19" s="569"/>
    </row>
    <row r="20" spans="1:29" s="5" customFormat="1" ht="12">
      <c r="A20" s="240"/>
      <c r="B20" s="4" t="s">
        <v>16</v>
      </c>
      <c r="C20" s="3"/>
      <c r="D20" s="3"/>
      <c r="E20" s="246">
        <v>17</v>
      </c>
      <c r="F20" s="289"/>
      <c r="G20" s="192">
        <f>J20</f>
        <v>0</v>
      </c>
      <c r="H20" s="274"/>
      <c r="I20" s="407"/>
      <c r="J20" s="192">
        <f t="shared" si="3"/>
        <v>0</v>
      </c>
      <c r="K20" s="192">
        <v>224000</v>
      </c>
      <c r="L20" s="192">
        <v>0</v>
      </c>
      <c r="M20" s="192"/>
      <c r="N20" s="192">
        <v>179000</v>
      </c>
      <c r="O20" s="192">
        <v>167000</v>
      </c>
      <c r="Q20" s="192">
        <f aca="true" t="shared" si="8" ref="Q20:Q26">H20</f>
        <v>0</v>
      </c>
      <c r="R20" s="192"/>
      <c r="S20" s="192"/>
      <c r="U20" s="192"/>
      <c r="V20" s="192"/>
      <c r="W20" s="192"/>
      <c r="X20" s="472"/>
      <c r="Y20" s="458"/>
      <c r="Z20" s="458"/>
      <c r="AA20" s="458"/>
      <c r="AC20" s="569"/>
    </row>
    <row r="21" spans="1:29" s="5" customFormat="1" ht="12">
      <c r="A21" s="240"/>
      <c r="B21" s="4" t="s">
        <v>24</v>
      </c>
      <c r="C21" s="4"/>
      <c r="D21" s="4"/>
      <c r="E21" s="246">
        <v>18</v>
      </c>
      <c r="F21" s="289">
        <v>3888750</v>
      </c>
      <c r="G21" s="192">
        <f>G34</f>
        <v>2854000</v>
      </c>
      <c r="H21" s="274">
        <v>4523548.76</v>
      </c>
      <c r="I21" s="407"/>
      <c r="J21" s="192">
        <f t="shared" si="3"/>
        <v>4934780.465454545</v>
      </c>
      <c r="K21" s="192">
        <v>1481747.25</v>
      </c>
      <c r="L21" s="192">
        <v>0</v>
      </c>
      <c r="M21" s="192"/>
      <c r="N21" s="192"/>
      <c r="O21" s="192"/>
      <c r="Q21" s="192">
        <f t="shared" si="8"/>
        <v>4523548.76</v>
      </c>
      <c r="R21" s="192"/>
      <c r="S21" s="192"/>
      <c r="U21" s="560">
        <f>H21/11*12</f>
        <v>4934780.465454545</v>
      </c>
      <c r="V21" s="192"/>
      <c r="W21" s="192"/>
      <c r="X21" s="472"/>
      <c r="Y21" s="458"/>
      <c r="Z21" s="458"/>
      <c r="AA21" s="458"/>
      <c r="AC21" s="569"/>
    </row>
    <row r="22" spans="1:29" s="5" customFormat="1" ht="12">
      <c r="A22" s="240"/>
      <c r="B22" s="4" t="s">
        <v>31</v>
      </c>
      <c r="C22" s="4"/>
      <c r="D22" s="4"/>
      <c r="E22" s="246">
        <v>19</v>
      </c>
      <c r="F22" s="289"/>
      <c r="G22" s="192"/>
      <c r="H22" s="274">
        <v>3297253.86</v>
      </c>
      <c r="I22" s="407"/>
      <c r="J22" s="192">
        <f t="shared" si="3"/>
        <v>3297253.86</v>
      </c>
      <c r="K22" s="192">
        <v>1335339.58</v>
      </c>
      <c r="L22" s="192">
        <v>1102643</v>
      </c>
      <c r="M22" s="192">
        <v>1122457</v>
      </c>
      <c r="N22" s="192">
        <v>1145000</v>
      </c>
      <c r="O22" s="192">
        <v>310000</v>
      </c>
      <c r="Q22" s="192">
        <f t="shared" si="8"/>
        <v>3297253.86</v>
      </c>
      <c r="R22" s="192"/>
      <c r="S22" s="192"/>
      <c r="U22" s="192">
        <f>H22</f>
        <v>3297253.86</v>
      </c>
      <c r="V22" s="192"/>
      <c r="W22" s="192"/>
      <c r="X22" s="472"/>
      <c r="Y22" s="458"/>
      <c r="Z22" s="458"/>
      <c r="AA22" s="458"/>
      <c r="AC22" s="569"/>
    </row>
    <row r="23" spans="1:29" s="5" customFormat="1" ht="12">
      <c r="A23" s="240"/>
      <c r="B23" s="4" t="s">
        <v>25</v>
      </c>
      <c r="C23" s="4"/>
      <c r="D23" s="4"/>
      <c r="E23" s="246">
        <v>20</v>
      </c>
      <c r="F23" s="289">
        <v>0</v>
      </c>
      <c r="G23" s="192">
        <f>J23</f>
        <v>0</v>
      </c>
      <c r="H23" s="274"/>
      <c r="I23" s="407"/>
      <c r="J23" s="192">
        <f t="shared" si="3"/>
        <v>0</v>
      </c>
      <c r="K23" s="192"/>
      <c r="L23" s="192">
        <v>0</v>
      </c>
      <c r="M23" s="192"/>
      <c r="N23" s="192"/>
      <c r="O23" s="192"/>
      <c r="Q23" s="192">
        <f t="shared" si="8"/>
        <v>0</v>
      </c>
      <c r="R23" s="192"/>
      <c r="S23" s="192"/>
      <c r="U23" s="192"/>
      <c r="V23" s="192"/>
      <c r="W23" s="192"/>
      <c r="X23" s="472"/>
      <c r="Y23" s="458"/>
      <c r="Z23" s="458"/>
      <c r="AA23" s="458"/>
      <c r="AC23" s="569"/>
    </row>
    <row r="24" spans="1:29" s="5" customFormat="1" ht="12">
      <c r="A24" s="240"/>
      <c r="B24" s="4" t="s">
        <v>26</v>
      </c>
      <c r="C24" s="4"/>
      <c r="D24" s="4"/>
      <c r="E24" s="246">
        <v>21</v>
      </c>
      <c r="F24" s="289">
        <v>100000</v>
      </c>
      <c r="G24" s="192">
        <f>G38</f>
        <v>100000</v>
      </c>
      <c r="H24" s="274">
        <v>100000</v>
      </c>
      <c r="I24" s="407"/>
      <c r="J24" s="192">
        <f t="shared" si="3"/>
        <v>100000</v>
      </c>
      <c r="K24" s="192">
        <v>400000</v>
      </c>
      <c r="L24" s="192">
        <v>700000</v>
      </c>
      <c r="M24" s="192"/>
      <c r="N24" s="192">
        <v>343000</v>
      </c>
      <c r="O24" s="192">
        <v>377000</v>
      </c>
      <c r="Q24" s="192">
        <f t="shared" si="8"/>
        <v>100000</v>
      </c>
      <c r="R24" s="192"/>
      <c r="S24" s="192"/>
      <c r="U24" s="192">
        <f>G38</f>
        <v>100000</v>
      </c>
      <c r="V24" s="192"/>
      <c r="W24" s="192"/>
      <c r="X24" s="472"/>
      <c r="Y24" s="458"/>
      <c r="Z24" s="458"/>
      <c r="AA24" s="458"/>
      <c r="AC24" s="569"/>
    </row>
    <row r="25" spans="1:29" s="5" customFormat="1" ht="12">
      <c r="A25" s="240"/>
      <c r="B25" s="4" t="s">
        <v>27</v>
      </c>
      <c r="C25" s="4"/>
      <c r="D25" s="4"/>
      <c r="E25" s="246">
        <v>22</v>
      </c>
      <c r="F25" s="289">
        <v>0</v>
      </c>
      <c r="G25" s="192"/>
      <c r="H25" s="274"/>
      <c r="I25" s="407"/>
      <c r="J25" s="192">
        <f t="shared" si="3"/>
        <v>0</v>
      </c>
      <c r="K25" s="192"/>
      <c r="L25" s="192">
        <v>0</v>
      </c>
      <c r="M25" s="192"/>
      <c r="N25" s="192"/>
      <c r="O25" s="192"/>
      <c r="Q25" s="192">
        <f t="shared" si="8"/>
        <v>0</v>
      </c>
      <c r="R25" s="192"/>
      <c r="S25" s="192"/>
      <c r="U25" s="192"/>
      <c r="V25" s="192"/>
      <c r="W25" s="192"/>
      <c r="X25" s="472"/>
      <c r="Y25" s="458"/>
      <c r="Z25" s="458"/>
      <c r="AA25" s="458"/>
      <c r="AC25" s="569"/>
    </row>
    <row r="26" spans="1:29" s="5" customFormat="1" ht="12">
      <c r="A26" s="240"/>
      <c r="B26" s="95" t="s">
        <v>30</v>
      </c>
      <c r="C26" s="95"/>
      <c r="D26" s="95"/>
      <c r="E26" s="246">
        <v>23</v>
      </c>
      <c r="F26" s="289">
        <v>938200</v>
      </c>
      <c r="G26" s="192"/>
      <c r="H26" s="274">
        <v>1518074.78</v>
      </c>
      <c r="I26" s="407"/>
      <c r="J26" s="192">
        <f t="shared" si="3"/>
        <v>1518074.78</v>
      </c>
      <c r="K26" s="192">
        <v>1749982.51</v>
      </c>
      <c r="L26" s="192">
        <v>1807450.83</v>
      </c>
      <c r="M26" s="192">
        <v>1532044.7</v>
      </c>
      <c r="N26" s="192">
        <v>1829000</v>
      </c>
      <c r="O26" s="192">
        <v>1443000</v>
      </c>
      <c r="Q26" s="192">
        <f t="shared" si="8"/>
        <v>1518074.78</v>
      </c>
      <c r="R26" s="192"/>
      <c r="S26" s="192"/>
      <c r="U26" s="192">
        <f>H26</f>
        <v>1518074.78</v>
      </c>
      <c r="V26" s="192"/>
      <c r="W26" s="192"/>
      <c r="X26" s="472"/>
      <c r="Y26" s="458"/>
      <c r="Z26" s="458"/>
      <c r="AA26" s="458"/>
      <c r="AC26" s="569"/>
    </row>
    <row r="27" spans="1:29" ht="12.75">
      <c r="A27" s="239" t="s">
        <v>158</v>
      </c>
      <c r="B27" s="171"/>
      <c r="C27" s="171"/>
      <c r="D27" s="171"/>
      <c r="E27" s="245">
        <v>24</v>
      </c>
      <c r="F27" s="255">
        <f>SUM(F28:F42)</f>
        <v>294390351</v>
      </c>
      <c r="G27" s="221">
        <f>SUM(G28:G42)</f>
        <v>297190943</v>
      </c>
      <c r="H27" s="342">
        <f>SUM(H28:H42)</f>
        <v>360836696.76</v>
      </c>
      <c r="I27" s="403">
        <f>H27/F27</f>
        <v>1.2257083003376017</v>
      </c>
      <c r="J27" s="221">
        <f aca="true" t="shared" si="9" ref="J27:O27">SUM(J28:J42)</f>
        <v>359278920.83000004</v>
      </c>
      <c r="K27" s="221">
        <f t="shared" si="9"/>
        <v>221237855.98000002</v>
      </c>
      <c r="L27" s="221">
        <f t="shared" si="9"/>
        <v>196879711.72</v>
      </c>
      <c r="M27" s="221">
        <f t="shared" si="9"/>
        <v>228443737.63000003</v>
      </c>
      <c r="N27" s="221">
        <f t="shared" si="9"/>
        <v>251552000</v>
      </c>
      <c r="O27" s="221">
        <f t="shared" si="9"/>
        <v>266743000</v>
      </c>
      <c r="Q27" s="221">
        <f>SUM(Q28:Q42)</f>
        <v>242984546.76000002</v>
      </c>
      <c r="R27" s="221">
        <f>SUM(R28:R42)</f>
        <v>15049750</v>
      </c>
      <c r="S27" s="221">
        <f>SUM(S28:S42)</f>
        <v>102802400</v>
      </c>
      <c r="U27" s="221">
        <f>SUM(U28:U42)</f>
        <v>241426770.83</v>
      </c>
      <c r="V27" s="221">
        <f>SUM(V28:V42)</f>
        <v>15049750</v>
      </c>
      <c r="W27" s="221">
        <f>SUM(W28:W42)</f>
        <v>102802400</v>
      </c>
      <c r="AC27" s="569"/>
    </row>
    <row r="28" spans="1:29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v>167025000</v>
      </c>
      <c r="G28" s="457">
        <f>X28</f>
        <v>196978665</v>
      </c>
      <c r="H28" s="375">
        <v>196978664.5</v>
      </c>
      <c r="I28" s="407">
        <f>H28/G28</f>
        <v>0.999999997461654</v>
      </c>
      <c r="J28" s="192">
        <f t="shared" si="3"/>
        <v>196978665</v>
      </c>
      <c r="K28" s="192">
        <v>167807447.07</v>
      </c>
      <c r="L28" s="192">
        <v>114857000</v>
      </c>
      <c r="M28" s="192">
        <v>198834939</v>
      </c>
      <c r="N28" s="192">
        <v>177632000</v>
      </c>
      <c r="O28" s="192">
        <v>133702000</v>
      </c>
      <c r="Q28" s="192">
        <f>H28-R28-S28</f>
        <v>79126514.5</v>
      </c>
      <c r="R28" s="192">
        <v>15049750</v>
      </c>
      <c r="S28" s="192">
        <f>117852150-R28</f>
        <v>102802400</v>
      </c>
      <c r="U28" s="480">
        <f>U46+U47</f>
        <v>79126515</v>
      </c>
      <c r="V28" s="454">
        <f>V50</f>
        <v>15049750</v>
      </c>
      <c r="W28" s="454">
        <f>W50</f>
        <v>102802400</v>
      </c>
      <c r="X28" s="471">
        <f>SUM(U28:W28)</f>
        <v>196978665</v>
      </c>
      <c r="Y28" s="467">
        <v>998515</v>
      </c>
      <c r="Z28" s="467">
        <v>0</v>
      </c>
      <c r="AA28" s="467">
        <v>0</v>
      </c>
      <c r="AC28" s="569"/>
    </row>
    <row r="29" spans="1:29" s="5" customFormat="1" ht="12">
      <c r="A29" s="240"/>
      <c r="B29" s="4" t="s">
        <v>14</v>
      </c>
      <c r="C29" s="4"/>
      <c r="D29" s="4"/>
      <c r="E29" s="246">
        <v>26</v>
      </c>
      <c r="F29" s="292"/>
      <c r="G29" s="326"/>
      <c r="H29" s="364"/>
      <c r="I29" s="407"/>
      <c r="J29" s="326">
        <f t="shared" si="3"/>
        <v>0</v>
      </c>
      <c r="K29" s="326"/>
      <c r="L29" s="326">
        <v>0</v>
      </c>
      <c r="M29" s="326"/>
      <c r="N29" s="326"/>
      <c r="O29" s="326"/>
      <c r="Q29" s="326"/>
      <c r="R29" s="326"/>
      <c r="S29" s="326"/>
      <c r="U29" s="326">
        <f>G29</f>
        <v>0</v>
      </c>
      <c r="V29" s="326"/>
      <c r="W29" s="326"/>
      <c r="X29" s="472"/>
      <c r="Y29" s="467"/>
      <c r="Z29" s="467"/>
      <c r="AA29" s="467"/>
      <c r="AC29" s="569"/>
    </row>
    <row r="30" spans="1:29" s="5" customFormat="1" ht="12">
      <c r="A30" s="240"/>
      <c r="B30" s="4" t="s">
        <v>15</v>
      </c>
      <c r="C30" s="4"/>
      <c r="D30" s="4"/>
      <c r="E30" s="246">
        <v>27</v>
      </c>
      <c r="F30" s="292"/>
      <c r="G30" s="326"/>
      <c r="H30" s="364"/>
      <c r="I30" s="407"/>
      <c r="J30" s="326">
        <f t="shared" si="3"/>
        <v>0</v>
      </c>
      <c r="K30" s="326"/>
      <c r="L30" s="326">
        <v>0</v>
      </c>
      <c r="M30" s="326"/>
      <c r="N30" s="326"/>
      <c r="O30" s="326"/>
      <c r="Q30" s="326"/>
      <c r="R30" s="326"/>
      <c r="S30" s="326"/>
      <c r="U30" s="326">
        <f>G30</f>
        <v>0</v>
      </c>
      <c r="V30" s="326"/>
      <c r="W30" s="326"/>
      <c r="X30" s="472"/>
      <c r="Y30" s="467"/>
      <c r="Z30" s="467"/>
      <c r="AA30" s="467"/>
      <c r="AC30" s="569"/>
    </row>
    <row r="31" spans="1:29" s="5" customFormat="1" ht="12">
      <c r="A31" s="240"/>
      <c r="B31" s="4" t="s">
        <v>20</v>
      </c>
      <c r="C31" s="3"/>
      <c r="D31" s="3"/>
      <c r="E31" s="246">
        <v>28</v>
      </c>
      <c r="F31" s="292">
        <v>5761000</v>
      </c>
      <c r="G31" s="326">
        <f>7939241+570000+2216000</f>
        <v>10725241</v>
      </c>
      <c r="H31" s="364">
        <v>10613468.67</v>
      </c>
      <c r="I31" s="407"/>
      <c r="J31" s="326">
        <f t="shared" si="3"/>
        <v>10725241</v>
      </c>
      <c r="K31" s="326">
        <v>1618251.64</v>
      </c>
      <c r="L31" s="326">
        <v>6049500</v>
      </c>
      <c r="M31" s="326">
        <v>3470000</v>
      </c>
      <c r="N31" s="326">
        <v>16385000</v>
      </c>
      <c r="O31" s="326">
        <v>28032000</v>
      </c>
      <c r="Q31" s="326">
        <f>H31</f>
        <v>10613468.67</v>
      </c>
      <c r="R31" s="326"/>
      <c r="S31" s="326"/>
      <c r="U31" s="326">
        <f>G31</f>
        <v>10725241</v>
      </c>
      <c r="V31" s="326"/>
      <c r="W31" s="326"/>
      <c r="X31" s="472"/>
      <c r="Y31" s="467"/>
      <c r="Z31" s="467"/>
      <c r="AA31" s="467"/>
      <c r="AC31" s="569"/>
    </row>
    <row r="32" spans="1:29" s="5" customFormat="1" ht="12">
      <c r="A32" s="240"/>
      <c r="B32" s="4" t="s">
        <v>16</v>
      </c>
      <c r="C32" s="4"/>
      <c r="D32" s="4"/>
      <c r="E32" s="246">
        <v>29</v>
      </c>
      <c r="F32" s="292"/>
      <c r="G32" s="326"/>
      <c r="H32" s="364"/>
      <c r="I32" s="407"/>
      <c r="J32" s="326">
        <f t="shared" si="3"/>
        <v>0</v>
      </c>
      <c r="K32" s="326">
        <v>224000</v>
      </c>
      <c r="L32" s="326">
        <v>0</v>
      </c>
      <c r="M32" s="326"/>
      <c r="N32" s="326">
        <v>179000</v>
      </c>
      <c r="O32" s="326">
        <v>167000</v>
      </c>
      <c r="Q32" s="326"/>
      <c r="R32" s="326"/>
      <c r="S32" s="326"/>
      <c r="U32" s="326"/>
      <c r="V32" s="326"/>
      <c r="W32" s="326"/>
      <c r="X32" s="472"/>
      <c r="Y32" s="467"/>
      <c r="Z32" s="467"/>
      <c r="AA32" s="467"/>
      <c r="AC32" s="569"/>
    </row>
    <row r="33" spans="1:29" s="5" customFormat="1" ht="12">
      <c r="A33" s="240"/>
      <c r="B33" s="4" t="s">
        <v>173</v>
      </c>
      <c r="C33" s="4"/>
      <c r="D33" s="4"/>
      <c r="E33" s="246">
        <v>30</v>
      </c>
      <c r="F33" s="292">
        <v>90000000</v>
      </c>
      <c r="G33" s="482">
        <f>86513000+Y33</f>
        <v>86533037</v>
      </c>
      <c r="H33" s="364">
        <v>86533037</v>
      </c>
      <c r="I33" s="407"/>
      <c r="J33" s="326">
        <f t="shared" si="3"/>
        <v>86533037</v>
      </c>
      <c r="K33" s="326">
        <v>19470000</v>
      </c>
      <c r="L33" s="326">
        <v>0</v>
      </c>
      <c r="M33" s="326"/>
      <c r="N33" s="326"/>
      <c r="O33" s="326"/>
      <c r="Q33" s="326">
        <f>H33</f>
        <v>86533037</v>
      </c>
      <c r="R33" s="326"/>
      <c r="S33" s="326"/>
      <c r="U33" s="559">
        <f>G33</f>
        <v>86533037</v>
      </c>
      <c r="V33" s="326"/>
      <c r="W33" s="326"/>
      <c r="X33" s="472"/>
      <c r="Y33" s="467">
        <v>20037</v>
      </c>
      <c r="Z33" s="467">
        <v>0</v>
      </c>
      <c r="AA33" s="467">
        <v>0</v>
      </c>
      <c r="AC33" s="569"/>
    </row>
    <row r="34" spans="1:29" s="5" customFormat="1" ht="12">
      <c r="A34" s="240"/>
      <c r="B34" s="4" t="s">
        <v>24</v>
      </c>
      <c r="C34" s="4"/>
      <c r="D34" s="4"/>
      <c r="E34" s="246">
        <v>31</v>
      </c>
      <c r="F34" s="292">
        <v>3888750</v>
      </c>
      <c r="G34" s="546">
        <f>1104000+1750000</f>
        <v>2854000</v>
      </c>
      <c r="H34" s="364">
        <v>4523548.76</v>
      </c>
      <c r="I34" s="407"/>
      <c r="J34" s="326">
        <f t="shared" si="3"/>
        <v>2854000</v>
      </c>
      <c r="K34" s="326">
        <v>1481747.25</v>
      </c>
      <c r="L34" s="326">
        <v>0</v>
      </c>
      <c r="M34" s="326"/>
      <c r="N34" s="326"/>
      <c r="O34" s="326"/>
      <c r="Q34" s="326">
        <f>H34</f>
        <v>4523548.76</v>
      </c>
      <c r="R34" s="326"/>
      <c r="S34" s="326"/>
      <c r="U34" s="326">
        <f aca="true" t="shared" si="10" ref="U34:U39">G34</f>
        <v>2854000</v>
      </c>
      <c r="V34" s="326"/>
      <c r="W34" s="326"/>
      <c r="X34" s="472"/>
      <c r="Y34" s="467"/>
      <c r="Z34" s="467"/>
      <c r="AA34" s="467"/>
      <c r="AC34" s="569"/>
    </row>
    <row r="35" spans="1:29" s="5" customFormat="1" ht="12">
      <c r="A35" s="240"/>
      <c r="B35" s="4" t="s">
        <v>31</v>
      </c>
      <c r="C35" s="4"/>
      <c r="D35" s="4"/>
      <c r="E35" s="246">
        <v>32</v>
      </c>
      <c r="F35" s="292"/>
      <c r="G35" s="326"/>
      <c r="H35" s="364">
        <v>3297253.86</v>
      </c>
      <c r="I35" s="407"/>
      <c r="J35" s="326">
        <f t="shared" si="3"/>
        <v>3297253.86</v>
      </c>
      <c r="K35" s="326">
        <v>1335339.58</v>
      </c>
      <c r="L35" s="326">
        <v>1102643</v>
      </c>
      <c r="M35" s="326">
        <v>1122457</v>
      </c>
      <c r="N35" s="326">
        <v>1145000</v>
      </c>
      <c r="O35" s="326">
        <v>310000</v>
      </c>
      <c r="Q35" s="326">
        <f>H35</f>
        <v>3297253.86</v>
      </c>
      <c r="R35" s="326"/>
      <c r="S35" s="326"/>
      <c r="U35" s="326">
        <f>H35</f>
        <v>3297253.86</v>
      </c>
      <c r="V35" s="326"/>
      <c r="W35" s="326"/>
      <c r="X35" s="472"/>
      <c r="Y35" s="467"/>
      <c r="Z35" s="467"/>
      <c r="AA35" s="467"/>
      <c r="AC35" s="569"/>
    </row>
    <row r="36" spans="1:29" s="5" customFormat="1" ht="12">
      <c r="A36" s="240"/>
      <c r="B36" s="4" t="s">
        <v>85</v>
      </c>
      <c r="C36" s="4"/>
      <c r="D36" s="4"/>
      <c r="E36" s="246">
        <v>33</v>
      </c>
      <c r="F36" s="292"/>
      <c r="G36" s="326"/>
      <c r="H36" s="364"/>
      <c r="I36" s="407"/>
      <c r="J36" s="326">
        <f t="shared" si="3"/>
        <v>0</v>
      </c>
      <c r="K36" s="326"/>
      <c r="L36" s="326">
        <v>0</v>
      </c>
      <c r="M36" s="326"/>
      <c r="N36" s="326">
        <v>34096000</v>
      </c>
      <c r="O36" s="326">
        <v>61062000</v>
      </c>
      <c r="Q36" s="326"/>
      <c r="R36" s="326"/>
      <c r="S36" s="326"/>
      <c r="U36" s="326">
        <f t="shared" si="10"/>
        <v>0</v>
      </c>
      <c r="V36" s="326"/>
      <c r="W36" s="326"/>
      <c r="X36" s="472"/>
      <c r="Y36" s="467"/>
      <c r="Z36" s="467"/>
      <c r="AA36" s="467"/>
      <c r="AC36" s="569"/>
    </row>
    <row r="37" spans="1:29" s="5" customFormat="1" ht="12">
      <c r="A37" s="240"/>
      <c r="B37" s="4" t="s">
        <v>25</v>
      </c>
      <c r="C37" s="4"/>
      <c r="D37" s="4"/>
      <c r="E37" s="246">
        <v>34</v>
      </c>
      <c r="F37" s="292"/>
      <c r="G37" s="326"/>
      <c r="H37" s="364"/>
      <c r="I37" s="407"/>
      <c r="J37" s="326">
        <f t="shared" si="3"/>
        <v>0</v>
      </c>
      <c r="K37" s="326"/>
      <c r="L37" s="326">
        <v>0</v>
      </c>
      <c r="M37" s="326"/>
      <c r="N37" s="326"/>
      <c r="O37" s="326"/>
      <c r="Q37" s="326"/>
      <c r="R37" s="326"/>
      <c r="S37" s="326"/>
      <c r="U37" s="326">
        <f t="shared" si="10"/>
        <v>0</v>
      </c>
      <c r="V37" s="326"/>
      <c r="W37" s="326"/>
      <c r="X37" s="472"/>
      <c r="Y37" s="467"/>
      <c r="Z37" s="467"/>
      <c r="AA37" s="467"/>
      <c r="AC37" s="569"/>
    </row>
    <row r="38" spans="1:29" s="5" customFormat="1" ht="12">
      <c r="A38" s="240"/>
      <c r="B38" s="4" t="s">
        <v>26</v>
      </c>
      <c r="C38" s="4"/>
      <c r="D38" s="4"/>
      <c r="E38" s="246">
        <v>35</v>
      </c>
      <c r="F38" s="292">
        <v>100000</v>
      </c>
      <c r="G38" s="549">
        <v>100000</v>
      </c>
      <c r="H38" s="364">
        <v>100000</v>
      </c>
      <c r="I38" s="407"/>
      <c r="J38" s="326">
        <f t="shared" si="3"/>
        <v>100000</v>
      </c>
      <c r="K38" s="326">
        <v>400000</v>
      </c>
      <c r="L38" s="326">
        <v>700000</v>
      </c>
      <c r="M38" s="326"/>
      <c r="N38" s="326">
        <v>343000</v>
      </c>
      <c r="O38" s="326">
        <v>377000</v>
      </c>
      <c r="Q38" s="326">
        <f>H38</f>
        <v>100000</v>
      </c>
      <c r="R38" s="326"/>
      <c r="S38" s="326"/>
      <c r="U38" s="326">
        <f t="shared" si="10"/>
        <v>100000</v>
      </c>
      <c r="V38" s="326"/>
      <c r="W38" s="326"/>
      <c r="X38" s="472"/>
      <c r="Y38" s="467"/>
      <c r="Z38" s="467"/>
      <c r="AA38" s="467"/>
      <c r="AC38" s="569"/>
    </row>
    <row r="39" spans="1:29" s="5" customFormat="1" ht="12">
      <c r="A39" s="240"/>
      <c r="B39" s="4" t="s">
        <v>27</v>
      </c>
      <c r="C39" s="4"/>
      <c r="D39" s="4"/>
      <c r="E39" s="246">
        <v>36</v>
      </c>
      <c r="F39" s="292"/>
      <c r="G39" s="326"/>
      <c r="H39" s="364"/>
      <c r="I39" s="407"/>
      <c r="J39" s="326">
        <f t="shared" si="3"/>
        <v>0</v>
      </c>
      <c r="K39" s="326"/>
      <c r="L39" s="326">
        <v>0</v>
      </c>
      <c r="M39" s="326"/>
      <c r="N39" s="326"/>
      <c r="O39" s="326"/>
      <c r="Q39" s="326"/>
      <c r="R39" s="326"/>
      <c r="S39" s="326"/>
      <c r="U39" s="326">
        <f t="shared" si="10"/>
        <v>0</v>
      </c>
      <c r="V39" s="326"/>
      <c r="W39" s="326"/>
      <c r="X39" s="472"/>
      <c r="Y39" s="467"/>
      <c r="Z39" s="467"/>
      <c r="AA39" s="467"/>
      <c r="AC39" s="569"/>
    </row>
    <row r="40" spans="1:29" s="5" customFormat="1" ht="13.5">
      <c r="A40" s="240"/>
      <c r="B40" s="4" t="s">
        <v>180</v>
      </c>
      <c r="C40" s="4"/>
      <c r="D40" s="4"/>
      <c r="E40" s="246">
        <v>37</v>
      </c>
      <c r="F40" s="292">
        <v>26677401</v>
      </c>
      <c r="G40" s="326"/>
      <c r="H40" s="364">
        <v>39314629.74</v>
      </c>
      <c r="I40" s="407">
        <f>H40/F40</f>
        <v>1.4737053935651379</v>
      </c>
      <c r="J40" s="326">
        <f t="shared" si="3"/>
        <v>39314629.74</v>
      </c>
      <c r="K40" s="326">
        <v>22740850.64</v>
      </c>
      <c r="L40" s="326">
        <v>67958291.35</v>
      </c>
      <c r="M40" s="326">
        <v>18417336.52</v>
      </c>
      <c r="N40" s="326">
        <v>17539000</v>
      </c>
      <c r="O40" s="326">
        <v>40641000</v>
      </c>
      <c r="Q40" s="326">
        <f>H40</f>
        <v>39314629.74</v>
      </c>
      <c r="R40" s="326"/>
      <c r="S40" s="326"/>
      <c r="U40" s="486">
        <f>H40/12*12</f>
        <v>39314629.74</v>
      </c>
      <c r="V40" s="326"/>
      <c r="W40" s="326"/>
      <c r="X40" s="472"/>
      <c r="Y40" s="467"/>
      <c r="Z40" s="467"/>
      <c r="AA40" s="467"/>
      <c r="AC40" s="569"/>
    </row>
    <row r="41" spans="1:29" s="5" customFormat="1" ht="12">
      <c r="A41" s="240"/>
      <c r="B41" s="4" t="s">
        <v>29</v>
      </c>
      <c r="C41" s="4"/>
      <c r="D41" s="4"/>
      <c r="E41" s="246">
        <v>38</v>
      </c>
      <c r="F41" s="292"/>
      <c r="G41" s="326"/>
      <c r="H41" s="364">
        <v>17682936</v>
      </c>
      <c r="I41" s="407"/>
      <c r="J41" s="326">
        <f t="shared" si="3"/>
        <v>17682936</v>
      </c>
      <c r="K41" s="326">
        <v>4468500</v>
      </c>
      <c r="L41" s="326">
        <v>4197784</v>
      </c>
      <c r="M41" s="326">
        <v>4744332</v>
      </c>
      <c r="N41" s="326">
        <v>2090000</v>
      </c>
      <c r="O41" s="326"/>
      <c r="Q41" s="326">
        <f>H41</f>
        <v>17682936</v>
      </c>
      <c r="R41" s="326"/>
      <c r="S41" s="326"/>
      <c r="U41" s="326">
        <f>H41</f>
        <v>17682936</v>
      </c>
      <c r="V41" s="326"/>
      <c r="W41" s="326"/>
      <c r="X41" s="472"/>
      <c r="Y41" s="467"/>
      <c r="Z41" s="467"/>
      <c r="AA41" s="467"/>
      <c r="AC41" s="569"/>
    </row>
    <row r="42" spans="1:29" s="5" customFormat="1" ht="12">
      <c r="A42" s="240"/>
      <c r="B42" s="4" t="s">
        <v>30</v>
      </c>
      <c r="C42" s="4"/>
      <c r="D42" s="4"/>
      <c r="E42" s="246">
        <v>39</v>
      </c>
      <c r="F42" s="292">
        <v>938200</v>
      </c>
      <c r="G42" s="326"/>
      <c r="H42" s="364">
        <v>1793158.23</v>
      </c>
      <c r="I42" s="407"/>
      <c r="J42" s="326">
        <f t="shared" si="3"/>
        <v>1793158.23</v>
      </c>
      <c r="K42" s="326">
        <v>1691719.8</v>
      </c>
      <c r="L42" s="326">
        <v>2014493.37</v>
      </c>
      <c r="M42" s="326">
        <v>1854673.11</v>
      </c>
      <c r="N42" s="326">
        <v>2143000</v>
      </c>
      <c r="O42" s="326">
        <v>2452000</v>
      </c>
      <c r="Q42" s="326">
        <f>H42</f>
        <v>1793158.23</v>
      </c>
      <c r="R42" s="326"/>
      <c r="S42" s="326"/>
      <c r="U42" s="326">
        <f>H42/12*12</f>
        <v>1793158.23</v>
      </c>
      <c r="V42" s="326"/>
      <c r="W42" s="326"/>
      <c r="X42" s="472"/>
      <c r="Y42" s="467"/>
      <c r="Z42" s="467"/>
      <c r="AA42" s="467"/>
      <c r="AC42" s="569"/>
    </row>
    <row r="43" spans="1:29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>
        <f>F28+F33+F36+F40+F41+F42-F26-F5</f>
        <v>8057136</v>
      </c>
      <c r="G43" s="227"/>
      <c r="H43" s="347">
        <v>-85781.32</v>
      </c>
      <c r="I43" s="408"/>
      <c r="J43" s="227">
        <f>J28+J33+J36+J40+J41+J42-J5-J26</f>
        <v>16014429.989999982</v>
      </c>
      <c r="K43" s="227"/>
      <c r="L43" s="227"/>
      <c r="M43" s="227"/>
      <c r="N43" s="227">
        <f>N28+N33+N36+N40+N41+N42-N26-N5</f>
        <v>9559000</v>
      </c>
      <c r="O43" s="227">
        <f>O28+O33+O36+O40+O41+O42-O26-O5</f>
        <v>31648000</v>
      </c>
      <c r="Q43" s="227"/>
      <c r="R43" s="227"/>
      <c r="S43" s="227"/>
      <c r="U43" s="227"/>
      <c r="V43" s="227"/>
      <c r="W43" s="227"/>
      <c r="X43" s="472"/>
      <c r="Y43" s="467"/>
      <c r="Z43" s="467"/>
      <c r="AA43" s="467"/>
      <c r="AC43" s="463"/>
    </row>
    <row r="44" spans="1:27" ht="12.75">
      <c r="A44" s="239" t="s">
        <v>165</v>
      </c>
      <c r="B44" s="171"/>
      <c r="C44" s="171"/>
      <c r="D44" s="171"/>
      <c r="E44" s="245">
        <v>40</v>
      </c>
      <c r="F44" s="255">
        <f>F27-F4</f>
        <v>8057136</v>
      </c>
      <c r="G44" s="221"/>
      <c r="H44" s="342">
        <f>H27-H4</f>
        <v>18230429.48999995</v>
      </c>
      <c r="I44" s="403">
        <f>H44/F44</f>
        <v>2.2626438836330864</v>
      </c>
      <c r="J44" s="221">
        <f aca="true" t="shared" si="11" ref="J44:O44">J27-J4</f>
        <v>13933649.52454549</v>
      </c>
      <c r="K44" s="221">
        <f t="shared" si="11"/>
        <v>10220252.48000002</v>
      </c>
      <c r="L44" s="221">
        <f t="shared" si="11"/>
        <v>9493043.459999979</v>
      </c>
      <c r="M44" s="221">
        <f t="shared" si="11"/>
        <v>2302332.960000068</v>
      </c>
      <c r="N44" s="221">
        <f t="shared" si="11"/>
        <v>9559000</v>
      </c>
      <c r="O44" s="221">
        <f t="shared" si="11"/>
        <v>33258000</v>
      </c>
      <c r="Q44" s="221">
        <f>Q27-Q4</f>
        <v>18230429.49000004</v>
      </c>
      <c r="R44" s="221">
        <f>R27-R4</f>
        <v>0</v>
      </c>
      <c r="S44" s="221">
        <f>S27-S4</f>
        <v>0</v>
      </c>
      <c r="U44" s="481">
        <f>U27-U4</f>
        <v>13506657.978458494</v>
      </c>
      <c r="V44" s="221">
        <f>V27-V4</f>
        <v>0</v>
      </c>
      <c r="W44" s="221">
        <f>W27-W4</f>
        <v>0</v>
      </c>
      <c r="X44" s="471">
        <f>SUM(U44:W44)</f>
        <v>13506657.978458494</v>
      </c>
      <c r="Y44" s="467"/>
      <c r="Z44" s="467"/>
      <c r="AA44" s="467"/>
    </row>
    <row r="45" spans="1:29" s="89" customFormat="1" ht="11.25">
      <c r="A45" s="90" t="s">
        <v>167</v>
      </c>
      <c r="F45" s="90"/>
      <c r="G45" s="459" t="s">
        <v>203</v>
      </c>
      <c r="H45" s="554">
        <v>3152918.55</v>
      </c>
      <c r="I45" s="410"/>
      <c r="Q45" s="217">
        <f>SUM(Q44:S44)</f>
        <v>18230429.49000004</v>
      </c>
      <c r="S45" s="217">
        <f>R44+S44</f>
        <v>0</v>
      </c>
      <c r="W45" s="217">
        <f>SUM(V44:W44)</f>
        <v>0</v>
      </c>
      <c r="X45" s="474"/>
      <c r="Y45" s="458"/>
      <c r="Z45" s="458"/>
      <c r="AA45" s="458"/>
      <c r="AC45" s="463"/>
    </row>
    <row r="46" spans="1:29" s="89" customFormat="1" ht="11.25">
      <c r="A46" s="210" t="s">
        <v>141</v>
      </c>
      <c r="B46" s="90"/>
      <c r="C46" s="90"/>
      <c r="D46" s="90"/>
      <c r="E46" s="90"/>
      <c r="F46" s="91">
        <f>SUM(F47:F48)</f>
        <v>10197000</v>
      </c>
      <c r="G46" s="91"/>
      <c r="H46" s="91"/>
      <c r="I46" s="411"/>
      <c r="T46" s="463"/>
      <c r="U46" s="464">
        <f>78128000</f>
        <v>78128000</v>
      </c>
      <c r="V46" s="463"/>
      <c r="W46" s="463"/>
      <c r="X46" s="596"/>
      <c r="Y46" s="597"/>
      <c r="Z46" s="458"/>
      <c r="AA46" s="458"/>
      <c r="AC46" s="463"/>
    </row>
    <row r="47" spans="1:29" s="89" customFormat="1" ht="11.25">
      <c r="A47" s="142" t="s">
        <v>142</v>
      </c>
      <c r="B47" s="90"/>
      <c r="C47" s="90"/>
      <c r="D47" s="90"/>
      <c r="E47" s="90"/>
      <c r="F47" s="91">
        <v>1807000</v>
      </c>
      <c r="G47" s="91"/>
      <c r="H47" s="91"/>
      <c r="I47" s="411"/>
      <c r="M47" s="217"/>
      <c r="T47" s="597"/>
      <c r="U47" s="574">
        <v>998515</v>
      </c>
      <c r="V47" s="463"/>
      <c r="W47" s="463"/>
      <c r="X47" s="596"/>
      <c r="Y47" s="597"/>
      <c r="Z47" s="458"/>
      <c r="AA47" s="458"/>
      <c r="AC47" s="463"/>
    </row>
    <row r="48" spans="1:29" s="89" customFormat="1" ht="11.25">
      <c r="A48" s="142" t="s">
        <v>143</v>
      </c>
      <c r="B48" s="90"/>
      <c r="C48" s="90"/>
      <c r="D48" s="90"/>
      <c r="E48" s="90"/>
      <c r="F48" s="91">
        <v>8390000</v>
      </c>
      <c r="G48" s="91"/>
      <c r="H48" s="91"/>
      <c r="I48" s="411"/>
      <c r="M48" s="217"/>
      <c r="T48" s="463"/>
      <c r="U48" s="463"/>
      <c r="V48" s="463" t="s">
        <v>208</v>
      </c>
      <c r="W48" s="463" t="s">
        <v>219</v>
      </c>
      <c r="X48" s="596"/>
      <c r="Y48" s="597"/>
      <c r="Z48" s="458"/>
      <c r="AA48" s="458"/>
      <c r="AC48" s="463"/>
    </row>
    <row r="49" spans="1:29" s="89" customFormat="1" ht="11.25">
      <c r="A49" s="142" t="s">
        <v>145</v>
      </c>
      <c r="B49" s="90"/>
      <c r="C49" s="90"/>
      <c r="D49" s="90"/>
      <c r="E49" s="90"/>
      <c r="F49" s="91"/>
      <c r="G49" s="91"/>
      <c r="H49" s="91"/>
      <c r="I49" s="411"/>
      <c r="M49" s="217"/>
      <c r="T49" s="463"/>
      <c r="U49" s="463"/>
      <c r="V49" s="464">
        <v>15550000</v>
      </c>
      <c r="W49" s="464">
        <v>76917000</v>
      </c>
      <c r="X49" s="598">
        <f>SUM(V49:W49)</f>
        <v>92467000</v>
      </c>
      <c r="Y49" s="597"/>
      <c r="Z49" s="458"/>
      <c r="AA49" s="458"/>
      <c r="AC49" s="463"/>
    </row>
    <row r="50" spans="1:29" s="89" customFormat="1" ht="11.25">
      <c r="A50" s="90" t="s">
        <v>170</v>
      </c>
      <c r="B50" s="90"/>
      <c r="C50" s="90"/>
      <c r="D50" s="90"/>
      <c r="E50" s="90"/>
      <c r="F50" s="91">
        <v>74128000</v>
      </c>
      <c r="G50" s="91"/>
      <c r="H50" s="91"/>
      <c r="I50" s="411"/>
      <c r="T50" s="463"/>
      <c r="U50" s="463"/>
      <c r="V50" s="464">
        <v>15049750</v>
      </c>
      <c r="W50" s="464">
        <f>117852150-V50</f>
        <v>102802400</v>
      </c>
      <c r="X50" s="598">
        <f>SUM(V50:W50)</f>
        <v>117852150</v>
      </c>
      <c r="Y50" s="597"/>
      <c r="Z50" s="458"/>
      <c r="AA50" s="458"/>
      <c r="AC50" s="463"/>
    </row>
    <row r="51" spans="1:29" s="89" customFormat="1" ht="11.25">
      <c r="A51" s="90" t="s">
        <v>146</v>
      </c>
      <c r="B51" s="90"/>
      <c r="C51" s="90"/>
      <c r="D51" s="90"/>
      <c r="E51" s="90"/>
      <c r="F51" s="91">
        <v>91090000</v>
      </c>
      <c r="G51" s="91"/>
      <c r="H51" s="91"/>
      <c r="I51" s="411"/>
      <c r="W51" s="89">
        <v>15172000</v>
      </c>
      <c r="X51" s="474"/>
      <c r="Y51" s="458"/>
      <c r="Z51" s="458"/>
      <c r="AA51" s="458"/>
      <c r="AC51" s="463"/>
    </row>
    <row r="52" spans="1:29" s="89" customFormat="1" ht="11.25">
      <c r="A52" s="90" t="s">
        <v>171</v>
      </c>
      <c r="B52" s="90"/>
      <c r="C52" s="90"/>
      <c r="D52" s="90"/>
      <c r="E52" s="90"/>
      <c r="F52" s="91">
        <v>1807000</v>
      </c>
      <c r="G52" s="91"/>
      <c r="H52" s="91"/>
      <c r="I52" s="411"/>
      <c r="X52" s="474"/>
      <c r="Y52" s="458"/>
      <c r="Z52" s="458"/>
      <c r="AA52" s="458"/>
      <c r="AC52" s="463"/>
    </row>
    <row r="53" spans="1:29" s="89" customFormat="1" ht="11.25">
      <c r="A53" s="90" t="s">
        <v>169</v>
      </c>
      <c r="B53" s="90"/>
      <c r="C53" s="90"/>
      <c r="D53" s="90"/>
      <c r="E53" s="90"/>
      <c r="F53" s="91">
        <v>167025000</v>
      </c>
      <c r="G53" s="91"/>
      <c r="H53" s="91"/>
      <c r="I53" s="411"/>
      <c r="X53" s="474"/>
      <c r="Y53" s="458"/>
      <c r="Z53" s="458"/>
      <c r="AA53" s="458"/>
      <c r="AC53" s="463"/>
    </row>
    <row r="54" spans="1:29" s="89" customFormat="1" ht="11.25">
      <c r="A54" s="90"/>
      <c r="B54" s="90"/>
      <c r="C54" s="90"/>
      <c r="D54" s="90"/>
      <c r="E54" s="90"/>
      <c r="F54" s="91"/>
      <c r="G54" s="91"/>
      <c r="H54" s="91"/>
      <c r="I54" s="411"/>
      <c r="X54" s="474"/>
      <c r="Y54" s="458"/>
      <c r="Z54" s="458"/>
      <c r="AA54" s="458"/>
      <c r="AC54" s="463"/>
    </row>
  </sheetData>
  <mergeCells count="3">
    <mergeCell ref="A1:D1"/>
    <mergeCell ref="Q1:S1"/>
    <mergeCell ref="U1:W1"/>
  </mergeCells>
  <printOptions horizontalCentered="1"/>
  <pageMargins left="0.38" right="0.21" top="0.3" bottom="0.35" header="0.1968503937007874" footer="0.16"/>
  <pageSetup horizontalDpi="600" verticalDpi="600" orientation="landscape" paperSize="9" scale="80" r:id="rId1"/>
  <headerFooter alignWithMargins="0">
    <oddHeader>&amp;L&amp;"Arial CE,kurzíva\&amp;11Osnova rozpočtu</oddHeader>
    <oddFooter>&amp;L&amp;8&amp;D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5"/>
  <dimension ref="A1:Q54"/>
  <sheetViews>
    <sheetView workbookViewId="0" topLeftCell="E1">
      <selection activeCell="U28" sqref="U28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1.375" style="2" bestFit="1" customWidth="1"/>
    <col min="7" max="7" width="10.125" style="89" bestFit="1" customWidth="1"/>
    <col min="8" max="8" width="11.375" style="2" bestFit="1" customWidth="1"/>
    <col min="9" max="9" width="5.125" style="89" customWidth="1"/>
    <col min="10" max="10" width="10.125" style="89" bestFit="1" customWidth="1"/>
    <col min="11" max="11" width="10.25390625" style="89" bestFit="1" customWidth="1"/>
    <col min="12" max="15" width="10.125" style="89" bestFit="1" customWidth="1"/>
    <col min="16" max="16" width="6.625" style="460" customWidth="1"/>
  </cols>
  <sheetData>
    <row r="1" spans="1:16" ht="15.75">
      <c r="A1" s="613" t="s">
        <v>138</v>
      </c>
      <c r="B1" s="614"/>
      <c r="C1" s="614"/>
      <c r="D1" s="615"/>
      <c r="E1" s="242"/>
      <c r="F1" s="253" t="s">
        <v>7</v>
      </c>
      <c r="G1" s="218"/>
      <c r="H1" s="339" t="s">
        <v>8</v>
      </c>
      <c r="I1" s="218" t="s">
        <v>196</v>
      </c>
      <c r="J1" s="319" t="s">
        <v>197</v>
      </c>
      <c r="K1" s="319" t="s">
        <v>8</v>
      </c>
      <c r="L1" s="218" t="s">
        <v>8</v>
      </c>
      <c r="M1" s="218" t="s">
        <v>8</v>
      </c>
      <c r="N1" s="218" t="s">
        <v>8</v>
      </c>
      <c r="O1" s="218" t="s">
        <v>8</v>
      </c>
      <c r="P1" s="468" t="s">
        <v>212</v>
      </c>
    </row>
    <row r="2" spans="1:16" s="7" customFormat="1" ht="12.75">
      <c r="A2" s="237" t="s">
        <v>39</v>
      </c>
      <c r="B2" s="44"/>
      <c r="C2" s="44"/>
      <c r="D2" s="45" t="s">
        <v>44</v>
      </c>
      <c r="E2" s="243" t="s">
        <v>21</v>
      </c>
      <c r="F2" s="254">
        <v>2006</v>
      </c>
      <c r="G2" s="219" t="s">
        <v>198</v>
      </c>
      <c r="H2" s="340" t="s">
        <v>223</v>
      </c>
      <c r="I2" s="219" t="s">
        <v>199</v>
      </c>
      <c r="J2" s="320">
        <v>2006</v>
      </c>
      <c r="K2" s="320" t="s">
        <v>166</v>
      </c>
      <c r="L2" s="219">
        <v>2004</v>
      </c>
      <c r="M2" s="219">
        <v>2003</v>
      </c>
      <c r="N2" s="219">
        <v>2002</v>
      </c>
      <c r="O2" s="219">
        <v>2001</v>
      </c>
      <c r="P2" s="468">
        <v>2005</v>
      </c>
    </row>
    <row r="3" spans="1:16" s="7" customFormat="1" ht="12.75" customHeight="1" hidden="1">
      <c r="A3" s="238"/>
      <c r="B3" s="137"/>
      <c r="C3" s="137"/>
      <c r="D3" s="138"/>
      <c r="E3" s="244"/>
      <c r="F3" s="299">
        <v>1</v>
      </c>
      <c r="G3" s="390"/>
      <c r="H3" s="317"/>
      <c r="I3" s="321"/>
      <c r="J3" s="321"/>
      <c r="K3" s="321">
        <v>4</v>
      </c>
      <c r="L3" s="89"/>
      <c r="M3" s="89"/>
      <c r="N3" s="89"/>
      <c r="O3" s="89"/>
      <c r="P3" s="460"/>
    </row>
    <row r="4" spans="1:15" ht="12.75">
      <c r="A4" s="239" t="s">
        <v>157</v>
      </c>
      <c r="B4" s="171"/>
      <c r="C4" s="171"/>
      <c r="D4" s="171"/>
      <c r="E4" s="245">
        <v>1</v>
      </c>
      <c r="F4" s="255">
        <f>SUM(F6:F26)</f>
        <v>766288130</v>
      </c>
      <c r="G4" s="391">
        <f>SUM(G6:G26)</f>
        <v>83767003.11</v>
      </c>
      <c r="H4" s="255">
        <f>SUM(H6:H26)</f>
        <v>840213683.2400001</v>
      </c>
      <c r="I4" s="599">
        <f>H4/F4</f>
        <v>1.0964722672136396</v>
      </c>
      <c r="J4" s="221">
        <f aca="true" t="shared" si="0" ref="J4:O4">SUM(J6:J26)</f>
        <v>807955112.8354546</v>
      </c>
      <c r="K4" s="322">
        <f t="shared" si="0"/>
        <v>608798961.47</v>
      </c>
      <c r="L4" s="322">
        <f t="shared" si="0"/>
        <v>608798961.47</v>
      </c>
      <c r="M4" s="322">
        <f t="shared" si="0"/>
        <v>608798961.47</v>
      </c>
      <c r="N4" s="322">
        <f t="shared" si="0"/>
        <v>608798961.47</v>
      </c>
      <c r="O4" s="322">
        <f t="shared" si="0"/>
        <v>608798961.47</v>
      </c>
    </row>
    <row r="5" spans="1:16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616846465</v>
      </c>
      <c r="G5" s="392">
        <f>SUM(G6:G16)</f>
        <v>0</v>
      </c>
      <c r="H5" s="289">
        <f>SUM(H6:H16)</f>
        <v>671234735.9200001</v>
      </c>
      <c r="I5" s="600">
        <f>H5/F5</f>
        <v>1.0881714883783926</v>
      </c>
      <c r="J5" s="192">
        <f aca="true" t="shared" si="1" ref="J5:O5">SUM(J6:J16)</f>
        <v>643823014.67</v>
      </c>
      <c r="K5" s="187">
        <f t="shared" si="1"/>
        <v>486316569.13</v>
      </c>
      <c r="L5" s="187">
        <f t="shared" si="1"/>
        <v>486316569.13</v>
      </c>
      <c r="M5" s="187">
        <f t="shared" si="1"/>
        <v>486316569.13</v>
      </c>
      <c r="N5" s="187">
        <f t="shared" si="1"/>
        <v>486316569.13</v>
      </c>
      <c r="O5" s="187">
        <f t="shared" si="1"/>
        <v>486316569.13</v>
      </c>
      <c r="P5" s="461"/>
    </row>
    <row r="6" spans="1:16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f>SKM!F6+SUKB!F6+UCT!F6+SPSSN!F6+ÚVT!F6+VMU!F6+CJV!F6+CZS!F6+RMU!F6</f>
        <v>142898229</v>
      </c>
      <c r="G6" s="174">
        <f>SKM!G6+SUKB!G6+UCT!G6+SPSSN!G6+ÚVT!G6+VMU!G6+CJV!G6+CZS!G6+RMU!G6</f>
        <v>0</v>
      </c>
      <c r="H6" s="222">
        <f>SKM!H6+SUKB!H6+UCT!H6+SPSSN!H6+IBA!H6+ÚVT!H6+VMU!H6+CJV!H6+CZS!H6+RMU!H6</f>
        <v>152852545.32999998</v>
      </c>
      <c r="I6" s="600">
        <f aca="true" t="shared" si="2" ref="I6:I44">H6/F6</f>
        <v>1.0696601798332992</v>
      </c>
      <c r="J6" s="174">
        <f>SKM!J6+SUKB!J6+UCT!J6+SPSSN!J6+ÚVT!J6+VMU!J6+CJV!J6+CZS!J6+RMU!J6</f>
        <v>149396617.32999998</v>
      </c>
      <c r="K6" s="190">
        <v>132371187</v>
      </c>
      <c r="L6" s="190">
        <v>132371187</v>
      </c>
      <c r="M6" s="190">
        <v>132371187</v>
      </c>
      <c r="N6" s="190">
        <v>132371187</v>
      </c>
      <c r="O6" s="190">
        <v>132371187</v>
      </c>
      <c r="P6" s="462"/>
    </row>
    <row r="7" spans="1:16" s="29" customFormat="1" ht="12">
      <c r="A7" s="241"/>
      <c r="B7" s="27"/>
      <c r="C7" s="27"/>
      <c r="D7" s="28" t="s">
        <v>18</v>
      </c>
      <c r="E7" s="246">
        <v>4</v>
      </c>
      <c r="F7" s="222">
        <f>SKM!F7+SUKB!F7+UCT!F7+SPSSN!F7+ÚVT!F7+VMU!F7+CJV!F7+CZS!F7+RMU!F7</f>
        <v>5112567</v>
      </c>
      <c r="G7" s="174">
        <f>SKM!G7+SUKB!G7+UCT!G7+SPSSN!G7+ÚVT!G7+VMU!G7+CJV!G7+CZS!G7+RMU!G7</f>
        <v>0</v>
      </c>
      <c r="H7" s="222">
        <f>SKM!H7+SUKB!H7+UCT!H7+SPSSN!H7+IBA!H7+ÚVT!H7+VMU!H7+CJV!H7+CZS!H7+RMU!H7</f>
        <v>9933461</v>
      </c>
      <c r="I7" s="600">
        <f t="shared" si="2"/>
        <v>1.9429497941053877</v>
      </c>
      <c r="J7" s="174">
        <f>SKM!J7+SUKB!J7+UCT!J7+SPSSN!J7+ÚVT!J7+VMU!J7+CJV!J7+CZS!J7+RMU!J7</f>
        <v>5808215</v>
      </c>
      <c r="K7" s="190">
        <v>4053884.62</v>
      </c>
      <c r="L7" s="190">
        <v>4053884.62</v>
      </c>
      <c r="M7" s="190">
        <v>4053884.62</v>
      </c>
      <c r="N7" s="190">
        <v>4053884.62</v>
      </c>
      <c r="O7" s="190">
        <v>4053884.62</v>
      </c>
      <c r="P7" s="462"/>
    </row>
    <row r="8" spans="1:16" s="29" customFormat="1" ht="12">
      <c r="A8" s="241"/>
      <c r="B8" s="27"/>
      <c r="C8" s="27"/>
      <c r="D8" s="28" t="s">
        <v>19</v>
      </c>
      <c r="E8" s="246">
        <v>5</v>
      </c>
      <c r="F8" s="222">
        <f>SKM!F8+SUKB!F8+UCT!F8+SPSSN!F8+ÚVT!F8+VMU!F8+CJV!F8+CZS!F8+RMU!F8</f>
        <v>52491843</v>
      </c>
      <c r="G8" s="174">
        <f>SKM!G8+SUKB!G8+UCT!G8+SPSSN!G8+ÚVT!G8+VMU!G8+CJV!G8+CZS!G8+RMU!G8</f>
        <v>0</v>
      </c>
      <c r="H8" s="222">
        <f>SKM!H8+SUKB!H8+UCT!H8+SPSSN!H8+IBA!H8+ÚVT!H8+VMU!H8+CJV!H8+CZS!H8+RMU!H8</f>
        <v>55397239.67</v>
      </c>
      <c r="I8" s="600">
        <f t="shared" si="2"/>
        <v>1.0553494886815082</v>
      </c>
      <c r="J8" s="174">
        <f>SKM!J8+SUKB!J8+UCT!J8+SPSSN!J8+ÚVT!J8+VMU!J8+CJV!J8+CZS!J8+RMU!J8</f>
        <v>54187305.67</v>
      </c>
      <c r="K8" s="190">
        <v>47048579</v>
      </c>
      <c r="L8" s="190">
        <v>47048579</v>
      </c>
      <c r="M8" s="190">
        <v>47048579</v>
      </c>
      <c r="N8" s="190">
        <v>47048579</v>
      </c>
      <c r="O8" s="190">
        <v>47048579</v>
      </c>
      <c r="P8" s="462"/>
    </row>
    <row r="9" spans="1:16" s="29" customFormat="1" ht="12">
      <c r="A9" s="241"/>
      <c r="B9" s="27"/>
      <c r="C9" s="27"/>
      <c r="D9" s="28" t="s">
        <v>0</v>
      </c>
      <c r="E9" s="246">
        <v>6</v>
      </c>
      <c r="F9" s="222">
        <f>SKM!F9+SUKB!F9+UCT!F9+SPSSN!F9+ÚVT!F9+VMU!F9+CJV!F9+CZS!F9+RMU!F9</f>
        <v>36756061</v>
      </c>
      <c r="G9" s="174">
        <f>SKM!G9+SUKB!G9+UCT!G9+SPSSN!G9+ÚVT!G9+VMU!G9+CJV!G9+CZS!G9+RMU!G9</f>
        <v>0</v>
      </c>
      <c r="H9" s="222">
        <f>SKM!H9+SUKB!H9+UCT!H9+SPSSN!H9+IBA!H9+ÚVT!H9+VMU!H9+CJV!H9+CZS!H9+RMU!H9</f>
        <v>36328371.96</v>
      </c>
      <c r="I9" s="600">
        <f t="shared" si="2"/>
        <v>0.9883641220423484</v>
      </c>
      <c r="J9" s="174">
        <f>SKM!J9+SUKB!J9+UCT!J9+SPSSN!J9+ÚVT!J9+VMU!J9+CJV!J9+CZS!J9+RMU!J9</f>
        <v>36295376.529999994</v>
      </c>
      <c r="K9" s="190">
        <v>36562669.79</v>
      </c>
      <c r="L9" s="190">
        <v>36562669.79</v>
      </c>
      <c r="M9" s="190">
        <v>36562669.79</v>
      </c>
      <c r="N9" s="190">
        <v>36562669.79</v>
      </c>
      <c r="O9" s="190">
        <v>36562669.79</v>
      </c>
      <c r="P9" s="462"/>
    </row>
    <row r="10" spans="1:16" s="29" customFormat="1" ht="12">
      <c r="A10" s="241"/>
      <c r="B10" s="27"/>
      <c r="C10" s="27"/>
      <c r="D10" s="28" t="s">
        <v>1</v>
      </c>
      <c r="E10" s="246">
        <v>7</v>
      </c>
      <c r="F10" s="222">
        <f>SKM!F10+SUKB!F10+UCT!F10+SPSSN!F10+ÚVT!F10+VMU!F10+CJV!F10+CZS!F10+RMU!F10</f>
        <v>41101100</v>
      </c>
      <c r="G10" s="174">
        <f>SKM!G10+SUKB!G10+UCT!G10+SPSSN!G10+ÚVT!G10+VMU!G10+CJV!G10+CZS!G10+RMU!G10</f>
        <v>0</v>
      </c>
      <c r="H10" s="222">
        <f>SKM!H10+SUKB!H10+UCT!H10+SPSSN!H10+IBA!H10+ÚVT!H10+VMU!H10+CJV!H10+CZS!H10+RMU!H10</f>
        <v>30713945.58</v>
      </c>
      <c r="I10" s="600">
        <f t="shared" si="2"/>
        <v>0.7472779458457316</v>
      </c>
      <c r="J10" s="174">
        <f>SKM!J10+SUKB!J10+UCT!J10+SPSSN!J10+ÚVT!J10+VMU!J10+CJV!J10+CZS!J10+RMU!J10</f>
        <v>30713945.580000002</v>
      </c>
      <c r="K10" s="190">
        <v>36504709.71</v>
      </c>
      <c r="L10" s="190">
        <v>36504709.71</v>
      </c>
      <c r="M10" s="190">
        <v>36504709.71</v>
      </c>
      <c r="N10" s="190">
        <v>36504709.71</v>
      </c>
      <c r="O10" s="190">
        <v>36504709.71</v>
      </c>
      <c r="P10" s="462"/>
    </row>
    <row r="11" spans="1:16" s="29" customFormat="1" ht="12">
      <c r="A11" s="241"/>
      <c r="B11" s="27"/>
      <c r="C11" s="27"/>
      <c r="D11" s="28" t="s">
        <v>2</v>
      </c>
      <c r="E11" s="246">
        <v>8</v>
      </c>
      <c r="F11" s="222">
        <f>SKM!F11+SUKB!F11+UCT!F11+SPSSN!F11+ÚVT!F11+VMU!F11+CJV!F11+CZS!F11+RMU!F11</f>
        <v>56694093</v>
      </c>
      <c r="G11" s="174">
        <f>SKM!G11+SUKB!G11+UCT!G11+SPSSN!G11+ÚVT!G11+VMU!G11+CJV!G11+CZS!G11+RMU!G11</f>
        <v>0</v>
      </c>
      <c r="H11" s="222">
        <f>SKM!H11+SUKB!H11+UCT!H11+SPSSN!H11+IBA!H11+ÚVT!H11+VMU!H11+CJV!H11+CZS!H11+RMU!H11</f>
        <v>50317015.57</v>
      </c>
      <c r="I11" s="600">
        <f t="shared" si="2"/>
        <v>0.8875177802033097</v>
      </c>
      <c r="J11" s="174">
        <f>SKM!J11+SUKB!J11+UCT!J11+SPSSN!J11+ÚVT!J11+VMU!J11+CJV!J11+CZS!J11+RMU!J11</f>
        <v>50270525.629999995</v>
      </c>
      <c r="K11" s="190">
        <v>89152823.93</v>
      </c>
      <c r="L11" s="190">
        <v>89152823.93</v>
      </c>
      <c r="M11" s="190">
        <v>89152823.93</v>
      </c>
      <c r="N11" s="190">
        <v>89152823.93</v>
      </c>
      <c r="O11" s="190">
        <v>89152823.93</v>
      </c>
      <c r="P11" s="462"/>
    </row>
    <row r="12" spans="1:16" s="29" customFormat="1" ht="12">
      <c r="A12" s="241"/>
      <c r="B12" s="27"/>
      <c r="C12" s="27"/>
      <c r="D12" s="28" t="s">
        <v>3</v>
      </c>
      <c r="E12" s="246">
        <v>9</v>
      </c>
      <c r="F12" s="222">
        <f>SKM!F12+SUKB!F12+UCT!F12+SPSSN!F12+ÚVT!F12+VMU!F12+CJV!F12+CZS!F12+RMU!F12</f>
        <v>80679714</v>
      </c>
      <c r="G12" s="174">
        <f>SKM!G12+SUKB!G12+UCT!G12+SPSSN!G12+ÚVT!G12+VMU!G12+CJV!G12+CZS!G12+RMU!G12</f>
        <v>0</v>
      </c>
      <c r="H12" s="222">
        <f>SKM!H12+SUKB!H12+UCT!H12+SPSSN!H12+IBA!H12+ÚVT!H12+VMU!H12+CJV!H12+CZS!H12+RMU!H12</f>
        <v>69733398.3</v>
      </c>
      <c r="I12" s="600">
        <f t="shared" si="2"/>
        <v>0.8643238162693536</v>
      </c>
      <c r="J12" s="174">
        <f>SKM!J12+SUKB!J12+UCT!J12+SPSSN!J12+ÚVT!J12+VMU!J12+CJV!J12+CZS!J12+RMU!J12</f>
        <v>68717410.65</v>
      </c>
      <c r="K12" s="190">
        <v>61034392.870000005</v>
      </c>
      <c r="L12" s="190">
        <v>61034392.870000005</v>
      </c>
      <c r="M12" s="190">
        <v>61034392.870000005</v>
      </c>
      <c r="N12" s="190">
        <v>61034392.870000005</v>
      </c>
      <c r="O12" s="190">
        <v>61034392.870000005</v>
      </c>
      <c r="P12" s="462"/>
    </row>
    <row r="13" spans="1:16" s="29" customFormat="1" ht="12">
      <c r="A13" s="241"/>
      <c r="B13" s="27"/>
      <c r="C13" s="27"/>
      <c r="D13" s="28" t="s">
        <v>4</v>
      </c>
      <c r="E13" s="246">
        <v>10</v>
      </c>
      <c r="F13" s="222">
        <f>SKM!F13+SUKB!F13+UCT!F13+SPSSN!F13+ÚVT!F13+VMU!F13+CJV!F13+CZS!F13+RMU!F13</f>
        <v>5482103</v>
      </c>
      <c r="G13" s="174">
        <f>SKM!G13+SUKB!G13+UCT!G13+SPSSN!G13+ÚVT!G13+VMU!G13+CJV!G13+CZS!G13+RMU!G13</f>
        <v>0</v>
      </c>
      <c r="H13" s="222">
        <f>SKM!H13+SUKB!H13+UCT!H13+SPSSN!H13+IBA!H13+ÚVT!H13+VMU!H13+CJV!H13+CZS!H13+RMU!H13</f>
        <v>4080673.6</v>
      </c>
      <c r="I13" s="600">
        <f t="shared" si="2"/>
        <v>0.7443628111328809</v>
      </c>
      <c r="J13" s="174">
        <f>SKM!J13+SUKB!J13+UCT!J13+SPSSN!J13+ÚVT!J13+VMU!J13+CJV!J13+CZS!J13+RMU!J13</f>
        <v>3682821.0600000005</v>
      </c>
      <c r="K13" s="190">
        <v>3052563.14</v>
      </c>
      <c r="L13" s="190">
        <v>3052563.14</v>
      </c>
      <c r="M13" s="190">
        <v>3052563.14</v>
      </c>
      <c r="N13" s="190">
        <v>3052563.14</v>
      </c>
      <c r="O13" s="190">
        <v>3052563.14</v>
      </c>
      <c r="P13" s="462"/>
    </row>
    <row r="14" spans="1:16" s="29" customFormat="1" ht="13.5">
      <c r="A14" s="241"/>
      <c r="B14" s="27"/>
      <c r="C14" s="27"/>
      <c r="D14" s="28" t="s">
        <v>178</v>
      </c>
      <c r="E14" s="246">
        <v>11</v>
      </c>
      <c r="F14" s="222">
        <f>SKM!F14+SUKB!F14+UCT!F14+SPSSN!F14+ÚVT!F14+VMU!F14+CJV!F14+CZS!F14+RMU!F14</f>
        <v>71824000</v>
      </c>
      <c r="G14" s="174">
        <f>SKM!G14+SUKB!G14+UCT!G14+SPSSN!G14+ÚVT!G14+VMU!G14+CJV!G14+CZS!G14+RMU!G14</f>
        <v>0</v>
      </c>
      <c r="H14" s="222">
        <f>SKM!H14+SUKB!H14+UCT!H14+SPSSN!H14+IBA!H14+ÚVT!H14+VMU!H14+CJV!H14+CZS!H14+RMU!H14</f>
        <v>65086655.779999994</v>
      </c>
      <c r="I14" s="600">
        <f t="shared" si="2"/>
        <v>0.9061964772220984</v>
      </c>
      <c r="J14" s="174">
        <f>SKM!J14+SUKB!J14+UCT!J14+SPSSN!J14+ÚVT!J14+VMU!J14+CJV!J14+CZS!J14+RMU!J14</f>
        <v>64896420.779999994</v>
      </c>
      <c r="K14" s="190">
        <v>47593866.55</v>
      </c>
      <c r="L14" s="190">
        <v>47593866.55</v>
      </c>
      <c r="M14" s="190">
        <v>47593866.55</v>
      </c>
      <c r="N14" s="190">
        <v>47593866.55</v>
      </c>
      <c r="O14" s="190">
        <v>47593866.55</v>
      </c>
      <c r="P14" s="462"/>
    </row>
    <row r="15" spans="1:16" s="29" customFormat="1" ht="12">
      <c r="A15" s="241"/>
      <c r="B15" s="27"/>
      <c r="C15" s="27"/>
      <c r="D15" s="28" t="s">
        <v>6</v>
      </c>
      <c r="E15" s="246">
        <v>12</v>
      </c>
      <c r="F15" s="222">
        <f>SKM!F15+SUKB!F15+UCT!F15+SPSSN!F15+ÚVT!F15+VMU!F15+CJV!F15+CZS!F15+RMU!F15</f>
        <v>92228800</v>
      </c>
      <c r="G15" s="174">
        <f>SKM!G15+SUKB!G15+UCT!G15+SPSSN!G15+ÚVT!G15+VMU!G15+CJV!G15+CZS!G15+RMU!G15</f>
        <v>0</v>
      </c>
      <c r="H15" s="222">
        <f>SKM!H15+SUKB!H15+UCT!H15+SPSSN!H15+IBA!H15+ÚVT!H15+VMU!H15+CJV!H15+CZS!H15+RMU!H15</f>
        <v>2379933.5</v>
      </c>
      <c r="I15" s="600">
        <f t="shared" si="2"/>
        <v>0.025804667305657236</v>
      </c>
      <c r="J15" s="174">
        <f>SKM!J15+SUKB!J15+UCT!J15+SPSSN!J15+ÚVT!J15+VMU!J15+CJV!J15+CZS!J15+RMU!J15</f>
        <v>4595933.5</v>
      </c>
      <c r="K15" s="190">
        <v>743721.95</v>
      </c>
      <c r="L15" s="190">
        <v>743721.95</v>
      </c>
      <c r="M15" s="190">
        <v>743721.95</v>
      </c>
      <c r="N15" s="190">
        <v>743721.95</v>
      </c>
      <c r="O15" s="190">
        <v>743721.95</v>
      </c>
      <c r="P15" s="462"/>
    </row>
    <row r="16" spans="1:16" s="29" customFormat="1" ht="12">
      <c r="A16" s="241"/>
      <c r="B16" s="28"/>
      <c r="C16" s="28"/>
      <c r="D16" s="28" t="s">
        <v>9</v>
      </c>
      <c r="E16" s="246">
        <v>13</v>
      </c>
      <c r="F16" s="222">
        <f>SKM!F16+SUKB!F16+UCT!F16+SPSSN!F16+ÚVT!F16+VMU!F16+CJV!F16+CZS!F16+RMU!F16</f>
        <v>31577955</v>
      </c>
      <c r="G16" s="174">
        <f>SKM!G16+SUKB!G16+UCT!G16+SPSSN!G16+ÚVT!G16+VMU!G16+CJV!G16+CZS!G16+RMU!G16</f>
        <v>0</v>
      </c>
      <c r="H16" s="222">
        <f>SKM!H16+SUKB!H16+UCT!H16+SPSSN!H16+IBA!H16+ÚVT!H16+VMU!H16+CJV!H16+CZS!H16+RMU!H16</f>
        <v>194411495.63</v>
      </c>
      <c r="I16" s="600">
        <f t="shared" si="2"/>
        <v>6.156557498102711</v>
      </c>
      <c r="J16" s="174">
        <f>SKM!J16+SUKB!J16+UCT!J16+SPSSN!J16+ÚVT!J16+VMU!J16+CJV!J16+CZS!J16+RMU!J16</f>
        <v>175258442.94</v>
      </c>
      <c r="K16" s="190">
        <v>28198170.57</v>
      </c>
      <c r="L16" s="190">
        <v>28198170.57</v>
      </c>
      <c r="M16" s="190">
        <v>28198170.57</v>
      </c>
      <c r="N16" s="190">
        <v>28198170.57</v>
      </c>
      <c r="O16" s="190">
        <v>28198170.57</v>
      </c>
      <c r="P16" s="462"/>
    </row>
    <row r="17" spans="1:16" s="5" customFormat="1" ht="12">
      <c r="A17" s="240"/>
      <c r="B17" s="4" t="s">
        <v>14</v>
      </c>
      <c r="C17" s="3"/>
      <c r="D17" s="3"/>
      <c r="E17" s="246">
        <v>14</v>
      </c>
      <c r="F17" s="289">
        <f>SKM!F17+SUKB!F17+UCT!F17+SPSSN!F17+ÚVT!F17+VMU!F17+CJV!F17+CZS!F17+RMU!F17</f>
        <v>0</v>
      </c>
      <c r="G17" s="192">
        <f>SKM!G17+SUKB!G17+UCT!G17+SPSSN!G17+ÚVT!G17+VMU!G17+CJV!G17+CZS!G17+RMU!G17</f>
        <v>0</v>
      </c>
      <c r="H17" s="224">
        <f>SKM!H17+SUKB!H17+UCT!H17+SPSSN!H17+IBA!H17+ÚVT!H17+VMU!H17+CJV!H17+CZS!H17+RMU!H17</f>
        <v>0</v>
      </c>
      <c r="I17" s="600"/>
      <c r="J17" s="192">
        <f>SKM!J17+SUKB!J17+UCT!J17+SPSSN!J17+ÚVT!J17+VMU!J17+CJV!J17+CZS!J17+RMU!J17</f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461"/>
    </row>
    <row r="18" spans="1:16" s="5" customFormat="1" ht="12">
      <c r="A18" s="240"/>
      <c r="B18" s="4" t="s">
        <v>15</v>
      </c>
      <c r="C18" s="3"/>
      <c r="D18" s="3"/>
      <c r="E18" s="246">
        <v>15</v>
      </c>
      <c r="F18" s="289">
        <f>SKM!F18+SUKB!F18+UCT!F18+SPSSN!F18+ÚVT!F18+VMU!F18+CJV!F18+CZS!F18+RMU!F18</f>
        <v>25000000</v>
      </c>
      <c r="G18" s="192">
        <f>SKM!G18+SUKB!G18+UCT!G18+SPSSN!G18+ÚVT!G18+VMU!G18+CJV!G18+CZS!G18+RMU!G18</f>
        <v>25857890.76</v>
      </c>
      <c r="H18" s="224">
        <f>SKM!H18+SUKB!H18+UCT!H18+SPSSN!H18+IBA!H18+ÚVT!H18+VMU!H18+CJV!H18+CZS!H18+RMU!H18</f>
        <v>25857890.76</v>
      </c>
      <c r="I18" s="600">
        <f t="shared" si="2"/>
        <v>1.0343156304</v>
      </c>
      <c r="J18" s="192">
        <f>SKM!J18+SUKB!J18+UCT!J18+SPSSN!J18+ÚVT!J18+VMU!J18+CJV!J18+CZS!J18+RMU!J18</f>
        <v>25857890.76</v>
      </c>
      <c r="K18" s="187">
        <v>22731500</v>
      </c>
      <c r="L18" s="187">
        <v>22731500</v>
      </c>
      <c r="M18" s="187">
        <v>22731500</v>
      </c>
      <c r="N18" s="187">
        <v>22731500</v>
      </c>
      <c r="O18" s="187">
        <v>22731500</v>
      </c>
      <c r="P18" s="461"/>
    </row>
    <row r="19" spans="1:16" s="5" customFormat="1" ht="12">
      <c r="A19" s="240"/>
      <c r="B19" s="4" t="s">
        <v>20</v>
      </c>
      <c r="C19" s="3"/>
      <c r="D19" s="3"/>
      <c r="E19" s="246">
        <v>16</v>
      </c>
      <c r="F19" s="289">
        <f>SKM!F19+SUKB!F19+UCT!F19+SPSSN!F19+ÚVT!F19+VMU!F19+CJV!F19+CZS!F19+RMU!F19</f>
        <v>52708000</v>
      </c>
      <c r="G19" s="192">
        <f>SKM!G19+SUKB!G19+UCT!G19+SPSSN!G19+ÚVT!G19+VMU!G19+CJV!G19+CZS!G19+RMU!G19</f>
        <v>41775975.74</v>
      </c>
      <c r="H19" s="224">
        <f>SKM!H19+SUKB!H19+UCT!H19+SPSSN!H19+IBA!H19+ÚVT!H19+VMU!H19+CJV!H19+CZS!H19+RMU!H19</f>
        <v>41664203.410000004</v>
      </c>
      <c r="I19" s="600">
        <f t="shared" si="2"/>
        <v>0.7904720993018138</v>
      </c>
      <c r="J19" s="192">
        <f>SKM!J19+SUKB!J19+UCT!J19+SPSSN!J19+ÚVT!J19+VMU!J19+CJV!J19+CZS!J19+RMU!J19</f>
        <v>41775975.74</v>
      </c>
      <c r="K19" s="187">
        <v>19619499.93</v>
      </c>
      <c r="L19" s="187">
        <v>19619499.93</v>
      </c>
      <c r="M19" s="187">
        <v>19619499.93</v>
      </c>
      <c r="N19" s="187">
        <v>19619499.93</v>
      </c>
      <c r="O19" s="187">
        <v>19619499.93</v>
      </c>
      <c r="P19" s="461"/>
    </row>
    <row r="20" spans="1:16" s="5" customFormat="1" ht="12">
      <c r="A20" s="240"/>
      <c r="B20" s="4" t="s">
        <v>16</v>
      </c>
      <c r="C20" s="3"/>
      <c r="D20" s="3"/>
      <c r="E20" s="246">
        <v>17</v>
      </c>
      <c r="F20" s="289">
        <f>SKM!F20+SUKB!F20+UCT!F20+SPSSN!F20+ÚVT!F20+VMU!F20+CJV!F20+CZS!F20+RMU!F20</f>
        <v>0</v>
      </c>
      <c r="G20" s="192">
        <f>SKM!G20+SUKB!G20+UCT!G20+SPSSN!G20+ÚVT!G20+VMU!G20+CJV!G20+CZS!G20+RMU!G20</f>
        <v>0</v>
      </c>
      <c r="H20" s="224">
        <f>SKM!H20+SUKB!H20+UCT!H20+SPSSN!H20+IBA!H20+ÚVT!H20+VMU!H20+CJV!H20+CZS!H20+RMU!H20</f>
        <v>0</v>
      </c>
      <c r="I20" s="600"/>
      <c r="J20" s="192">
        <f>SKM!J20+SUKB!J20+UCT!J20+SPSSN!J20+ÚVT!J20+VMU!J20+CJV!J20+CZS!J20+RMU!J20</f>
        <v>0</v>
      </c>
      <c r="K20" s="187">
        <v>472000</v>
      </c>
      <c r="L20" s="187">
        <v>472000</v>
      </c>
      <c r="M20" s="187">
        <v>472000</v>
      </c>
      <c r="N20" s="187">
        <v>472000</v>
      </c>
      <c r="O20" s="187">
        <v>472000</v>
      </c>
      <c r="P20" s="461"/>
    </row>
    <row r="21" spans="1:16" s="5" customFormat="1" ht="12">
      <c r="A21" s="240"/>
      <c r="B21" s="4" t="s">
        <v>24</v>
      </c>
      <c r="C21" s="4"/>
      <c r="D21" s="4"/>
      <c r="E21" s="246">
        <v>18</v>
      </c>
      <c r="F21" s="289">
        <f>SKM!F21+SUKB!F21+UCT!F21+SPSSN!F21+ÚVT!F21+VMU!F21+CJV!F21+CZS!F21+RMU!F21</f>
        <v>3988750</v>
      </c>
      <c r="G21" s="192">
        <f>SKM!G21+SUKB!G21+UCT!G21+SPSSN!G21+ÚVT!G21+VMU!G21+CJV!G21+CZS!G21+RMU!G21</f>
        <v>2854000</v>
      </c>
      <c r="H21" s="224">
        <f>SKM!H21+SUKB!H21+UCT!H21+SPSSN!H21+IBA!H21+ÚVT!H21+VMU!H21+CJV!H21+CZS!H21+RMU!H21</f>
        <v>4523548.76</v>
      </c>
      <c r="I21" s="600">
        <f t="shared" si="2"/>
        <v>1.1340767809464116</v>
      </c>
      <c r="J21" s="192">
        <f>SKM!J21+SUKB!J21+UCT!J21+SPSSN!J21+ÚVT!J21+VMU!J21+CJV!J21+CZS!J21+RMU!J21</f>
        <v>4934780.465454545</v>
      </c>
      <c r="K21" s="187">
        <v>1711971.63</v>
      </c>
      <c r="L21" s="187">
        <v>1711971.63</v>
      </c>
      <c r="M21" s="187">
        <v>1711971.63</v>
      </c>
      <c r="N21" s="187">
        <v>1711971.63</v>
      </c>
      <c r="O21" s="187">
        <v>1711971.63</v>
      </c>
      <c r="P21" s="461"/>
    </row>
    <row r="22" spans="1:16" s="5" customFormat="1" ht="12">
      <c r="A22" s="240"/>
      <c r="B22" s="4" t="s">
        <v>31</v>
      </c>
      <c r="C22" s="4"/>
      <c r="D22" s="4"/>
      <c r="E22" s="246">
        <v>19</v>
      </c>
      <c r="F22" s="289">
        <f>SKM!F22+SUKB!F22+UCT!F22+SPSSN!F22+ÚVT!F22+VMU!F22+CJV!F22+CZS!F22+RMU!F22</f>
        <v>16246715</v>
      </c>
      <c r="G22" s="192">
        <f>SKM!G22+SUKB!G22+UCT!G22+SPSSN!G22+ÚVT!G22+VMU!G22+CJV!G22+CZS!G22+RMU!G22</f>
        <v>0</v>
      </c>
      <c r="H22" s="224">
        <f>SKM!H22+SUKB!H22+UCT!H22+SPSSN!H22+IBA!H22+ÚVT!H22+VMU!H22+CJV!H22+CZS!H22+RMU!H22</f>
        <v>28421898.229999997</v>
      </c>
      <c r="I22" s="600">
        <f t="shared" si="2"/>
        <v>1.7493935377090075</v>
      </c>
      <c r="J22" s="192">
        <f>SKM!J22+SUKB!J22+UCT!J22+SPSSN!J22+ÚVT!J22+VMU!J22+CJV!J22+CZS!J22+RMU!J22</f>
        <v>28421898.229999997</v>
      </c>
      <c r="K22" s="187">
        <v>16932983.16</v>
      </c>
      <c r="L22" s="187">
        <v>16932983.16</v>
      </c>
      <c r="M22" s="187">
        <v>16932983.16</v>
      </c>
      <c r="N22" s="187">
        <v>16932983.16</v>
      </c>
      <c r="O22" s="187">
        <v>16932983.16</v>
      </c>
      <c r="P22" s="461"/>
    </row>
    <row r="23" spans="1:16" s="5" customFormat="1" ht="12">
      <c r="A23" s="240"/>
      <c r="B23" s="4" t="s">
        <v>25</v>
      </c>
      <c r="C23" s="4"/>
      <c r="D23" s="4"/>
      <c r="E23" s="246">
        <v>20</v>
      </c>
      <c r="F23" s="289">
        <f>SKM!F23+SUKB!F23+UCT!F23+SPSSN!F23+ÚVT!F23+VMU!F23+CJV!F23+CZS!F23+RMU!F23</f>
        <v>0</v>
      </c>
      <c r="G23" s="192">
        <f>SKM!G23+SUKB!G23+UCT!G23+SPSSN!G23+ÚVT!G23+VMU!G23+CJV!G23+CZS!G23+RMU!G23</f>
        <v>1111136.61</v>
      </c>
      <c r="H23" s="224">
        <f>SKM!H23+SUKB!H23+UCT!H23+SPSSN!H23+IBA!H23+ÚVT!H23+VMU!H23+CJV!H23+CZS!H23+RMU!H23</f>
        <v>1111136.61</v>
      </c>
      <c r="I23" s="600"/>
      <c r="J23" s="192">
        <f>SKM!J23+SUKB!J23+UCT!J23+SPSSN!J23+ÚVT!J23+VMU!J23+CJV!J23+CZS!J23+RMU!J23</f>
        <v>1111136.61</v>
      </c>
      <c r="K23" s="187">
        <v>807000</v>
      </c>
      <c r="L23" s="187">
        <v>807000</v>
      </c>
      <c r="M23" s="187">
        <v>807000</v>
      </c>
      <c r="N23" s="187">
        <v>807000</v>
      </c>
      <c r="O23" s="187">
        <v>807000</v>
      </c>
      <c r="P23" s="461"/>
    </row>
    <row r="24" spans="1:16" s="5" customFormat="1" ht="12">
      <c r="A24" s="240"/>
      <c r="B24" s="4" t="s">
        <v>26</v>
      </c>
      <c r="C24" s="4"/>
      <c r="D24" s="4"/>
      <c r="E24" s="246">
        <v>21</v>
      </c>
      <c r="F24" s="289">
        <f>SKM!F24+SUKB!F24+UCT!F24+SPSSN!F24+ÚVT!F24+VMU!F24+CJV!F24+CZS!F24+RMU!F24</f>
        <v>12400000</v>
      </c>
      <c r="G24" s="192">
        <f>SKM!G24+SUKB!G24+UCT!G24+SPSSN!G24+ÚVT!G24+VMU!G24+CJV!G24+CZS!G24+RMU!G24</f>
        <v>12168000</v>
      </c>
      <c r="H24" s="224">
        <f>SKM!H24+SUKB!H24+UCT!H24+SPSSN!H24+IBA!H24+ÚVT!H24+VMU!H24+CJV!H24+CZS!H24+RMU!H24</f>
        <v>12178087</v>
      </c>
      <c r="I24" s="600">
        <f t="shared" si="2"/>
        <v>0.9821037903225807</v>
      </c>
      <c r="J24" s="192">
        <f>SKM!J24+SUKB!J24+UCT!J24+SPSSN!J24+ÚVT!J24+VMU!J24+CJV!J24+CZS!J24+RMU!J24</f>
        <v>12178087</v>
      </c>
      <c r="K24" s="187">
        <v>12455000</v>
      </c>
      <c r="L24" s="187">
        <v>12455000</v>
      </c>
      <c r="M24" s="187">
        <v>12455000</v>
      </c>
      <c r="N24" s="187">
        <v>12455000</v>
      </c>
      <c r="O24" s="187">
        <v>12455000</v>
      </c>
      <c r="P24" s="461"/>
    </row>
    <row r="25" spans="1:16" s="5" customFormat="1" ht="12">
      <c r="A25" s="240"/>
      <c r="B25" s="4" t="s">
        <v>27</v>
      </c>
      <c r="C25" s="4"/>
      <c r="D25" s="4"/>
      <c r="E25" s="246">
        <v>22</v>
      </c>
      <c r="F25" s="289">
        <f>SKM!F25+SUKB!F25+UCT!F25+SPSSN!F25+ÚVT!F25+VMU!F25+CJV!F25+CZS!F25+RMU!F25</f>
        <v>4160000</v>
      </c>
      <c r="G25" s="192">
        <f>SKM!G25+SUKB!G25+UCT!G25+SPSSN!G25+ÚVT!G25+VMU!G25+CJV!G25+CZS!G25+RMU!G25</f>
        <v>0</v>
      </c>
      <c r="H25" s="224">
        <f>SKM!H25+SUKB!H25+UCT!H25+SPSSN!H25+IBA!H25+ÚVT!H25+VMU!H25+CJV!H25+CZS!H25+RMU!H25</f>
        <v>4094960.83</v>
      </c>
      <c r="I25" s="600">
        <f t="shared" si="2"/>
        <v>0.9843655841346154</v>
      </c>
      <c r="J25" s="192">
        <f>SKM!J25+SUKB!J25+UCT!J25+SPSSN!J25+ÚVT!J25+VMU!J25+CJV!J25+CZS!J25+RMU!J25</f>
        <v>4094960.83</v>
      </c>
      <c r="K25" s="187">
        <v>5763340.71</v>
      </c>
      <c r="L25" s="187">
        <v>5763340.71</v>
      </c>
      <c r="M25" s="187">
        <v>5763340.71</v>
      </c>
      <c r="N25" s="187">
        <v>5763340.71</v>
      </c>
      <c r="O25" s="187">
        <v>5763340.71</v>
      </c>
      <c r="P25" s="461"/>
    </row>
    <row r="26" spans="1:16" s="5" customFormat="1" ht="12">
      <c r="A26" s="240"/>
      <c r="B26" s="95" t="s">
        <v>30</v>
      </c>
      <c r="C26" s="95"/>
      <c r="D26" s="95"/>
      <c r="E26" s="246">
        <v>23</v>
      </c>
      <c r="F26" s="289">
        <f>SKM!F26+SUKB!F26+UCT!F26+SPSSN!F26+ÚVT!F26+VMU!F26+CJV!F26+CZS!F26+RMU!F26</f>
        <v>34938200</v>
      </c>
      <c r="G26" s="192">
        <f>SKM!G26+SUKB!G26+UCT!G26+SPSSN!G26+ÚVT!G26+VMU!G26+CJV!G26+CZS!G26+RMU!G26</f>
        <v>0</v>
      </c>
      <c r="H26" s="224">
        <f>SKM!H26+SUKB!H26+UCT!H26+SPSSN!H26+IBA!H26+ÚVT!H26+VMU!H26+CJV!H26+CZS!H26+RMU!H26</f>
        <v>51127221.720000006</v>
      </c>
      <c r="I26" s="601">
        <f t="shared" si="2"/>
        <v>1.4633616419849909</v>
      </c>
      <c r="J26" s="192">
        <f>SKM!J26+SUKB!J26+UCT!J26+SPSSN!J26+ÚVT!J26+VMU!J26+CJV!J26+CZS!J26+RMU!J26</f>
        <v>45757368.53000001</v>
      </c>
      <c r="K26" s="187">
        <v>41989096.91</v>
      </c>
      <c r="L26" s="187">
        <v>41989096.91</v>
      </c>
      <c r="M26" s="187">
        <v>41989096.91</v>
      </c>
      <c r="N26" s="187">
        <v>41989096.91</v>
      </c>
      <c r="O26" s="187">
        <v>41989096.91</v>
      </c>
      <c r="P26" s="461"/>
    </row>
    <row r="27" spans="1:15" ht="12.75">
      <c r="A27" s="239" t="s">
        <v>158</v>
      </c>
      <c r="B27" s="171"/>
      <c r="C27" s="171"/>
      <c r="D27" s="171"/>
      <c r="E27" s="245">
        <v>24</v>
      </c>
      <c r="F27" s="255">
        <f>SUM(F28:F42)</f>
        <v>780915866</v>
      </c>
      <c r="G27" s="391">
        <f>SUM(G28:G42)</f>
        <v>537189705.11</v>
      </c>
      <c r="H27" s="255">
        <f>SUM(H28:H42)</f>
        <v>865568248.6899999</v>
      </c>
      <c r="I27" s="403">
        <f t="shared" si="2"/>
        <v>1.1084014122079573</v>
      </c>
      <c r="J27" s="221">
        <f aca="true" t="shared" si="3" ref="J27:O27">SUM(J28:J42)</f>
        <v>828861508.41</v>
      </c>
      <c r="K27" s="322">
        <f t="shared" si="3"/>
        <v>628282877.3299999</v>
      </c>
      <c r="L27" s="322">
        <f t="shared" si="3"/>
        <v>628282877.3299999</v>
      </c>
      <c r="M27" s="322">
        <f t="shared" si="3"/>
        <v>628282877.3299999</v>
      </c>
      <c r="N27" s="322">
        <f t="shared" si="3"/>
        <v>628282877.3299999</v>
      </c>
      <c r="O27" s="322">
        <f t="shared" si="3"/>
        <v>628282877.3299999</v>
      </c>
    </row>
    <row r="28" spans="1:17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f>SKM!F28+SUKB!F28+UCT!F28+SPSSN!F28+ÚVT!F28+VMU!F28+CJV!F28+CZS!F28+RMU!F28</f>
        <v>337298000</v>
      </c>
      <c r="G28" s="174">
        <f>SKM!G28+SUKB!G28+UCT!G28+SPSSN!G28+ÚVT!G28+VMU!G28+CJV!G28+CZS!G28+RMU!G28</f>
        <v>350215665</v>
      </c>
      <c r="H28" s="224">
        <f>SKM!H28+SUKB!H28+UCT!H28+SPSSN!H28+IBA!H28+ÚVT!H28+VMU!H28+CJV!H28+CZS!H28+RMU!H28</f>
        <v>350215664.5</v>
      </c>
      <c r="I28" s="600">
        <f t="shared" si="2"/>
        <v>1.0382974832344098</v>
      </c>
      <c r="J28" s="174">
        <f>SKM!J28+SUKB!J28+UCT!J28+SPSSN!J28+ÚVT!J28+VMU!J28+CJV!J28+CZS!J28+RMU!J28</f>
        <v>350215665</v>
      </c>
      <c r="K28" s="187">
        <v>298943683.83</v>
      </c>
      <c r="L28" s="187">
        <v>298943683.83</v>
      </c>
      <c r="M28" s="187">
        <v>298943683.83</v>
      </c>
      <c r="N28" s="187">
        <v>298943683.83</v>
      </c>
      <c r="O28" s="187">
        <v>298943683.83</v>
      </c>
      <c r="P28" s="602">
        <f>SKM!P28+SUKB!V28+UCT!P28+SPSSN!P28+ÚVT!P28+VMU!P28+CJV!P28+CZS!P28+RMU!Y28</f>
        <v>998515</v>
      </c>
      <c r="Q28"/>
    </row>
    <row r="29" spans="1:16" s="5" customFormat="1" ht="12">
      <c r="A29" s="240"/>
      <c r="B29" s="4" t="s">
        <v>14</v>
      </c>
      <c r="C29" s="4"/>
      <c r="D29" s="4"/>
      <c r="E29" s="246">
        <v>26</v>
      </c>
      <c r="F29" s="292">
        <f>SKM!F29+SUKB!F29+UCT!F29+SPSSN!F29+ÚVT!F29+VMU!F29+CJV!F29+CZS!F29+RMU!F29</f>
        <v>0</v>
      </c>
      <c r="G29" s="174">
        <f>SKM!G29+SUKB!G29+UCT!G29+SPSSN!G29+ÚVT!G29+VMU!G29+CJV!G29+CZS!G29+RMU!G29</f>
        <v>0</v>
      </c>
      <c r="H29" s="224">
        <f>SKM!H29+SUKB!H29+UCT!H29+SPSSN!H29+IBA!H29+ÚVT!H29+VMU!H29+CJV!H29+CZS!H29+RMU!H29</f>
        <v>0</v>
      </c>
      <c r="I29" s="600"/>
      <c r="J29" s="174">
        <f>SKM!J29+SUKB!J29+UCT!J29+SPSSN!J29+ÚVT!J29+VMU!J29+CJV!J29+CZS!J29+RMU!J29</f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602">
        <f>SKM!P29+SUKB!V29+UCT!P29+SPSSN!P29+ÚVT!P29+VMU!P29+CJV!P29+CZS!P29+RMU!Y29</f>
        <v>0</v>
      </c>
    </row>
    <row r="30" spans="1:16" s="5" customFormat="1" ht="12">
      <c r="A30" s="240"/>
      <c r="B30" s="4" t="s">
        <v>15</v>
      </c>
      <c r="C30" s="4"/>
      <c r="D30" s="4"/>
      <c r="E30" s="246">
        <v>27</v>
      </c>
      <c r="F30" s="292">
        <f>SKM!F30+SUKB!F30+UCT!F30+SPSSN!F30+ÚVT!F30+VMU!F30+CJV!F30+CZS!F30+RMU!F30</f>
        <v>25000000</v>
      </c>
      <c r="G30" s="174">
        <f>SKM!G30+SUKB!G30+UCT!G30+SPSSN!G30+ÚVT!G30+VMU!G30+CJV!G30+CZS!G30+RMU!G30</f>
        <v>25857890.76</v>
      </c>
      <c r="H30" s="224">
        <f>SKM!H30+SUKB!H30+UCT!H30+SPSSN!H30+IBA!H30+ÚVT!H30+VMU!H30+CJV!H30+CZS!H30+RMU!H30</f>
        <v>25857890.76</v>
      </c>
      <c r="I30" s="600">
        <f t="shared" si="2"/>
        <v>1.0343156304</v>
      </c>
      <c r="J30" s="174">
        <f>SKM!J30+SUKB!J30+UCT!J30+SPSSN!J30+ÚVT!J30+VMU!J30+CJV!J30+CZS!J30+RMU!J30</f>
        <v>25857890.76</v>
      </c>
      <c r="K30" s="323">
        <v>22731500</v>
      </c>
      <c r="L30" s="323">
        <v>22731500</v>
      </c>
      <c r="M30" s="323">
        <v>22731500</v>
      </c>
      <c r="N30" s="323">
        <v>22731500</v>
      </c>
      <c r="O30" s="323">
        <v>22731500</v>
      </c>
      <c r="P30" s="602">
        <f>SKM!P30+SUKB!V30+UCT!P30+SPSSN!P30+ÚVT!P30+VMU!P30+CJV!P30+CZS!P30+RMU!Y30</f>
        <v>0</v>
      </c>
    </row>
    <row r="31" spans="1:16" s="5" customFormat="1" ht="12">
      <c r="A31" s="240"/>
      <c r="B31" s="4" t="s">
        <v>20</v>
      </c>
      <c r="C31" s="3"/>
      <c r="D31" s="3"/>
      <c r="E31" s="246">
        <v>28</v>
      </c>
      <c r="F31" s="292">
        <f>SKM!F31+SUKB!F31+UCT!F31+SPSSN!F31+ÚVT!F31+VMU!F31+CJV!F31+CZS!F31+RMU!F31</f>
        <v>52708000</v>
      </c>
      <c r="G31" s="174">
        <f>SKM!G31+SUKB!G31+UCT!G31+SPSSN!G31+ÚVT!G31+VMU!G31+CJV!G31+CZS!G31+RMU!G31</f>
        <v>41775975.74</v>
      </c>
      <c r="H31" s="224">
        <f>SKM!H31+SUKB!H31+UCT!H31+SPSSN!H31+IBA!H31+ÚVT!H31+VMU!H31+CJV!H31+CZS!H31+RMU!H31</f>
        <v>41664203.410000004</v>
      </c>
      <c r="I31" s="600">
        <f t="shared" si="2"/>
        <v>0.7904720993018138</v>
      </c>
      <c r="J31" s="174">
        <f>SKM!J31+SUKB!J31+UCT!J31+SPSSN!J31+ÚVT!J31+VMU!J31+CJV!J31+CZS!J31+RMU!J31</f>
        <v>41775975.74</v>
      </c>
      <c r="K31" s="323">
        <v>19619499.93</v>
      </c>
      <c r="L31" s="323">
        <v>19619499.93</v>
      </c>
      <c r="M31" s="323">
        <v>19619499.93</v>
      </c>
      <c r="N31" s="323">
        <v>19619499.93</v>
      </c>
      <c r="O31" s="323">
        <v>19619499.93</v>
      </c>
      <c r="P31" s="602">
        <f>SKM!P31+SUKB!V31+UCT!P31+SPSSN!P31+ÚVT!P31+VMU!P31+CJV!P31+CZS!P31+RMU!Y31</f>
        <v>0</v>
      </c>
    </row>
    <row r="32" spans="1:16" s="5" customFormat="1" ht="12">
      <c r="A32" s="240"/>
      <c r="B32" s="4" t="s">
        <v>16</v>
      </c>
      <c r="C32" s="4"/>
      <c r="D32" s="4"/>
      <c r="E32" s="246">
        <v>29</v>
      </c>
      <c r="F32" s="292">
        <f>SKM!F32+SUKB!F32+UCT!F32+SPSSN!F32+ÚVT!F32+VMU!F32+CJV!F32+CZS!F32+RMU!F32</f>
        <v>0</v>
      </c>
      <c r="G32" s="174">
        <f>SKM!G32+SUKB!G32+UCT!G32+SPSSN!G32+ÚVT!G32+VMU!G32+CJV!G32+CZS!G32+RMU!G32</f>
        <v>0</v>
      </c>
      <c r="H32" s="224">
        <f>SKM!H32+SUKB!H32+UCT!H32+SPSSN!H32+IBA!H32+ÚVT!H32+VMU!H32+CJV!H32+CZS!H32+RMU!H32</f>
        <v>0</v>
      </c>
      <c r="I32" s="600"/>
      <c r="J32" s="174">
        <f>SKM!J32+SUKB!J32+UCT!J32+SPSSN!J32+ÚVT!J32+VMU!J32+CJV!J32+CZS!J32+RMU!J32</f>
        <v>0</v>
      </c>
      <c r="K32" s="323">
        <v>472000</v>
      </c>
      <c r="L32" s="323">
        <v>472000</v>
      </c>
      <c r="M32" s="323">
        <v>472000</v>
      </c>
      <c r="N32" s="323">
        <v>472000</v>
      </c>
      <c r="O32" s="323">
        <v>472000</v>
      </c>
      <c r="P32" s="602">
        <f>SKM!P32+SUKB!V32+UCT!P32+SPSSN!P32+ÚVT!P32+VMU!P32+CJV!P32+CZS!P32+RMU!Y32</f>
        <v>0</v>
      </c>
    </row>
    <row r="33" spans="1:16" s="5" customFormat="1" ht="12">
      <c r="A33" s="240"/>
      <c r="B33" s="4" t="s">
        <v>173</v>
      </c>
      <c r="C33" s="4"/>
      <c r="D33" s="4"/>
      <c r="E33" s="246">
        <v>30</v>
      </c>
      <c r="F33" s="292">
        <f>SKM!F33+SUKB!F33+UCT!F33+SPSSN!F33+ÚVT!F33+VMU!F33+CJV!F33+CZS!F33+RMU!F33</f>
        <v>106526000</v>
      </c>
      <c r="G33" s="174">
        <f>SKM!G33+SUKB!G33+UCT!G33+SPSSN!G33+ÚVT!G33+VMU!G33+CJV!G33+CZS!G33+RMU!G33</f>
        <v>103207037</v>
      </c>
      <c r="H33" s="224">
        <f>SKM!H33+SUKB!H33+UCT!H33+SPSSN!H33+IBA!H33+ÚVT!H33+VMU!H33+CJV!H33+CZS!H33+RMU!H33</f>
        <v>103207037</v>
      </c>
      <c r="I33" s="600">
        <f t="shared" si="2"/>
        <v>0.9688436344178886</v>
      </c>
      <c r="J33" s="174">
        <f>SKM!J33+SUKB!J33+UCT!J33+SPSSN!J33+ÚVT!J33+VMU!J33+CJV!J33+CZS!J33+RMU!J33</f>
        <v>103207037</v>
      </c>
      <c r="K33" s="323">
        <v>61238000</v>
      </c>
      <c r="L33" s="323">
        <v>61238000</v>
      </c>
      <c r="M33" s="323">
        <v>61238000</v>
      </c>
      <c r="N33" s="323">
        <v>61238000</v>
      </c>
      <c r="O33" s="323">
        <v>61238000</v>
      </c>
      <c r="P33" s="602">
        <f>SKM!P33+SUKB!V33+UCT!P33+SPSSN!P33+ÚVT!P33+VMU!P33+CJV!P33+CZS!P33+RMU!Y33</f>
        <v>20037</v>
      </c>
    </row>
    <row r="34" spans="1:16" s="5" customFormat="1" ht="12">
      <c r="A34" s="240"/>
      <c r="B34" s="4" t="s">
        <v>24</v>
      </c>
      <c r="C34" s="4"/>
      <c r="D34" s="4"/>
      <c r="E34" s="246">
        <v>31</v>
      </c>
      <c r="F34" s="292">
        <f>SKM!F34+SUKB!F34+UCT!F34+SPSSN!F34+ÚVT!F34+VMU!F34+CJV!F34+CZS!F34+RMU!F34</f>
        <v>3988750</v>
      </c>
      <c r="G34" s="174">
        <f>SKM!G34+SUKB!G34+UCT!G34+SPSSN!G34+ÚVT!G34+VMU!G34+CJV!G34+CZS!G34+RMU!G34</f>
        <v>2854000</v>
      </c>
      <c r="H34" s="224">
        <f>SKM!H34+SUKB!H34+UCT!H34+SPSSN!H34+IBA!H34+ÚVT!H34+VMU!H34+CJV!H34+CZS!H34+RMU!H34</f>
        <v>4523548.76</v>
      </c>
      <c r="I34" s="600">
        <f t="shared" si="2"/>
        <v>1.1340767809464116</v>
      </c>
      <c r="J34" s="174">
        <f>SKM!J34+SUKB!J34+UCT!J34+SPSSN!J34+ÚVT!J34+VMU!J34+CJV!J34+CZS!J34+RMU!J34</f>
        <v>2854000</v>
      </c>
      <c r="K34" s="323">
        <v>1711971.63</v>
      </c>
      <c r="L34" s="323">
        <v>1711971.63</v>
      </c>
      <c r="M34" s="323">
        <v>1711971.63</v>
      </c>
      <c r="N34" s="323">
        <v>1711971.63</v>
      </c>
      <c r="O34" s="323">
        <v>1711971.63</v>
      </c>
      <c r="P34" s="602">
        <f>SKM!P34+SUKB!V34+UCT!P34+SPSSN!P34+ÚVT!P34+VMU!P34+CJV!P34+CZS!P34+RMU!Y34</f>
        <v>0</v>
      </c>
    </row>
    <row r="35" spans="1:16" s="5" customFormat="1" ht="12">
      <c r="A35" s="240"/>
      <c r="B35" s="4" t="s">
        <v>31</v>
      </c>
      <c r="C35" s="4"/>
      <c r="D35" s="4"/>
      <c r="E35" s="246">
        <v>32</v>
      </c>
      <c r="F35" s="292">
        <f>SKM!F35+SUKB!F35+UCT!F35+SPSSN!F35+ÚVT!F35+VMU!F35+CJV!F35+CZS!F35+RMU!F35</f>
        <v>16246715</v>
      </c>
      <c r="G35" s="174">
        <f>SKM!G35+SUKB!G35+UCT!G35+SPSSN!G35+ÚVT!G35+VMU!G35+CJV!G35+CZS!G35+RMU!G35</f>
        <v>0</v>
      </c>
      <c r="H35" s="224">
        <f>SKM!H35+SUKB!H35+UCT!H35+SPSSN!H35+IBA!H35+ÚVT!H35+VMU!H35+CJV!H35+CZS!H35+RMU!H35</f>
        <v>28421898.229999997</v>
      </c>
      <c r="I35" s="600">
        <f t="shared" si="2"/>
        <v>1.7493935377090075</v>
      </c>
      <c r="J35" s="174">
        <f>SKM!J35+SUKB!J35+UCT!J35+SPSSN!J35+ÚVT!J35+VMU!J35+CJV!J35+CZS!J35+RMU!J35</f>
        <v>28421898.229999997</v>
      </c>
      <c r="K35" s="323">
        <v>16930981.83</v>
      </c>
      <c r="L35" s="323">
        <v>16930981.83</v>
      </c>
      <c r="M35" s="323">
        <v>16930981.83</v>
      </c>
      <c r="N35" s="323">
        <v>16930981.83</v>
      </c>
      <c r="O35" s="323">
        <v>16930981.83</v>
      </c>
      <c r="P35" s="602">
        <f>SKM!P35+SUKB!V35+UCT!P35+SPSSN!P35+ÚVT!P35+VMU!P35+CJV!P35+CZS!P35+RMU!Y35</f>
        <v>0</v>
      </c>
    </row>
    <row r="36" spans="1:16" s="5" customFormat="1" ht="12">
      <c r="A36" s="240"/>
      <c r="B36" s="4" t="s">
        <v>85</v>
      </c>
      <c r="C36" s="4"/>
      <c r="D36" s="4"/>
      <c r="E36" s="246">
        <v>33</v>
      </c>
      <c r="F36" s="292">
        <f>SKM!F36+SUKB!F36+UCT!F36+SPSSN!F36+ÚVT!F36+VMU!F36+CJV!F36+CZS!F36+RMU!F36</f>
        <v>0</v>
      </c>
      <c r="G36" s="174">
        <f>SKM!G36+SUKB!G36+UCT!G36+SPSSN!G36+ÚVT!G36+VMU!G36+CJV!G36+CZS!G36+RMU!G36</f>
        <v>0</v>
      </c>
      <c r="H36" s="224">
        <f>SKM!H36+SUKB!H36+UCT!H36+SPSSN!H36+IBA!H36+ÚVT!H36+VMU!H36+CJV!H36+CZS!H36+RMU!H36</f>
        <v>0</v>
      </c>
      <c r="I36" s="600"/>
      <c r="J36" s="174">
        <f>SKM!J36+SUKB!J36+UCT!J36+SPSSN!J36+ÚVT!J36+VMU!J36+CJV!J36+CZS!J36+RMU!J36</f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602">
        <f>SKM!P36+SUKB!V36+UCT!P36+SPSSN!P36+ÚVT!P36+VMU!P36+CJV!P36+CZS!P36+RMU!Y36</f>
        <v>0</v>
      </c>
    </row>
    <row r="37" spans="1:16" s="5" customFormat="1" ht="12">
      <c r="A37" s="240"/>
      <c r="B37" s="4" t="s">
        <v>25</v>
      </c>
      <c r="C37" s="4"/>
      <c r="D37" s="4"/>
      <c r="E37" s="246">
        <v>34</v>
      </c>
      <c r="F37" s="292">
        <f>SKM!F37+SUKB!F37+UCT!F37+SPSSN!F37+ÚVT!F37+VMU!F37+CJV!F37+CZS!F37+RMU!F37</f>
        <v>0</v>
      </c>
      <c r="G37" s="174">
        <f>SKM!G37+SUKB!G37+UCT!G37+SPSSN!G37+ÚVT!G37+VMU!G37+CJV!G37+CZS!G37+RMU!G37</f>
        <v>1111136.61</v>
      </c>
      <c r="H37" s="224">
        <f>SKM!H37+SUKB!H37+UCT!H37+SPSSN!H37+IBA!H37+ÚVT!H37+VMU!H37+CJV!H37+CZS!H37+RMU!H37</f>
        <v>1111136.61</v>
      </c>
      <c r="I37" s="600"/>
      <c r="J37" s="174">
        <f>SKM!J37+SUKB!J37+UCT!J37+SPSSN!J37+ÚVT!J37+VMU!J37+CJV!J37+CZS!J37+RMU!J37</f>
        <v>1111136.61</v>
      </c>
      <c r="K37" s="323">
        <v>807000</v>
      </c>
      <c r="L37" s="323">
        <v>807000</v>
      </c>
      <c r="M37" s="323">
        <v>807000</v>
      </c>
      <c r="N37" s="323">
        <v>807000</v>
      </c>
      <c r="O37" s="323">
        <v>807000</v>
      </c>
      <c r="P37" s="602">
        <f>SKM!P37+SUKB!V37+UCT!P37+SPSSN!P37+ÚVT!P37+VMU!P37+CJV!P37+CZS!P37+RMU!Y37</f>
        <v>0</v>
      </c>
    </row>
    <row r="38" spans="1:16" s="5" customFormat="1" ht="12">
      <c r="A38" s="240"/>
      <c r="B38" s="4" t="s">
        <v>26</v>
      </c>
      <c r="C38" s="4"/>
      <c r="D38" s="4"/>
      <c r="E38" s="246">
        <v>35</v>
      </c>
      <c r="F38" s="292">
        <f>SKM!F38+SUKB!F38+UCT!F38+SPSSN!F38+ÚVT!F38+VMU!F38+CJV!F38+CZS!F38+RMU!F38</f>
        <v>12400000</v>
      </c>
      <c r="G38" s="174">
        <f>SKM!G38+SUKB!G38+UCT!G38+SPSSN!G38+ÚVT!G38+VMU!G38+CJV!G38+CZS!G38+RMU!G38</f>
        <v>12168000</v>
      </c>
      <c r="H38" s="224">
        <f>SKM!H38+SUKB!H38+UCT!H38+SPSSN!H38+IBA!H38+ÚVT!H38+VMU!H38+CJV!H38+CZS!H38+RMU!H38</f>
        <v>12178087</v>
      </c>
      <c r="I38" s="600">
        <f t="shared" si="2"/>
        <v>0.9821037903225807</v>
      </c>
      <c r="J38" s="174">
        <f>SKM!J38+SUKB!J38+UCT!J38+SPSSN!J38+ÚVT!J38+VMU!J38+CJV!J38+CZS!J38+RMU!J38</f>
        <v>12178087</v>
      </c>
      <c r="K38" s="323">
        <v>12455000</v>
      </c>
      <c r="L38" s="323">
        <v>12455000</v>
      </c>
      <c r="M38" s="323">
        <v>12455000</v>
      </c>
      <c r="N38" s="323">
        <v>12455000</v>
      </c>
      <c r="O38" s="323">
        <v>12455000</v>
      </c>
      <c r="P38" s="602">
        <f>SKM!P38+SUKB!V38+UCT!P38+SPSSN!P38+ÚVT!P38+VMU!P38+CJV!P38+CZS!P38+RMU!Y38</f>
        <v>0</v>
      </c>
    </row>
    <row r="39" spans="1:16" s="5" customFormat="1" ht="12">
      <c r="A39" s="240"/>
      <c r="B39" s="4" t="s">
        <v>27</v>
      </c>
      <c r="C39" s="4"/>
      <c r="D39" s="4"/>
      <c r="E39" s="246">
        <v>36</v>
      </c>
      <c r="F39" s="292">
        <f>SKM!F39+SUKB!F39+UCT!F39+SPSSN!F39+ÚVT!F39+VMU!F39+CJV!F39+CZS!F39+RMU!F39</f>
        <v>4160000</v>
      </c>
      <c r="G39" s="174">
        <f>SKM!G39+SUKB!G39+UCT!G39+SPSSN!G39+ÚVT!G39+VMU!G39+CJV!G39+CZS!G39+RMU!G39</f>
        <v>0</v>
      </c>
      <c r="H39" s="224">
        <f>SKM!H39+SUKB!H39+UCT!H39+SPSSN!H39+IBA!H39+ÚVT!H39+VMU!H39+CJV!H39+CZS!H39+RMU!H39</f>
        <v>4094960.83</v>
      </c>
      <c r="I39" s="600">
        <f t="shared" si="2"/>
        <v>0.9843655841346154</v>
      </c>
      <c r="J39" s="174">
        <f>SKM!J39+SUKB!J39+UCT!J39+SPSSN!J39+ÚVT!J39+VMU!J39+CJV!J39+CZS!J39+RMU!J39</f>
        <v>4094960.83</v>
      </c>
      <c r="K39" s="323">
        <v>5763340.71</v>
      </c>
      <c r="L39" s="323">
        <v>5763340.71</v>
      </c>
      <c r="M39" s="323">
        <v>5763340.71</v>
      </c>
      <c r="N39" s="323">
        <v>5763340.71</v>
      </c>
      <c r="O39" s="323">
        <v>5763340.71</v>
      </c>
      <c r="P39" s="602">
        <f>SKM!P39+SUKB!V39+UCT!P39+SPSSN!P39+ÚVT!P39+VMU!P39+CJV!P39+CZS!P39+RMU!Y39</f>
        <v>0</v>
      </c>
    </row>
    <row r="40" spans="1:16" s="5" customFormat="1" ht="13.5">
      <c r="A40" s="240"/>
      <c r="B40" s="4" t="s">
        <v>180</v>
      </c>
      <c r="C40" s="4"/>
      <c r="D40" s="4"/>
      <c r="E40" s="246">
        <v>37</v>
      </c>
      <c r="F40" s="292">
        <f>SKM!F40+SUKB!F40+UCT!F40+SPSSN!F40+ÚVT!F40+VMU!F40+CJV!F40+CZS!F40+RMU!F40</f>
        <v>178100201</v>
      </c>
      <c r="G40" s="174">
        <f>SKM!G40+SUKB!G40+UCT!G40+SPSSN!G40+ÚVT!G40+VMU!G40+CJV!G40+CZS!G40+RMU!G40</f>
        <v>0</v>
      </c>
      <c r="H40" s="224">
        <f>SKM!H40+SUKB!H40+UCT!H40+SPSSN!H40+IBA!H40+ÚVT!H40+VMU!H40+CJV!H40+CZS!H40+RMU!H40</f>
        <v>212032203.80999997</v>
      </c>
      <c r="I40" s="600">
        <f t="shared" si="2"/>
        <v>1.1905219793098378</v>
      </c>
      <c r="J40" s="174">
        <f>SKM!J40+SUKB!J40+UCT!J40+SPSSN!J40+ÚVT!J40+VMU!J40+CJV!J40+CZS!J40+RMU!J40</f>
        <v>182404482.56</v>
      </c>
      <c r="K40" s="323">
        <v>131349016.66000001</v>
      </c>
      <c r="L40" s="323">
        <v>131349016.66000001</v>
      </c>
      <c r="M40" s="323">
        <v>131349016.66000001</v>
      </c>
      <c r="N40" s="323">
        <v>131349016.66000001</v>
      </c>
      <c r="O40" s="323">
        <v>131349016.66000001</v>
      </c>
      <c r="P40" s="602">
        <f>SKM!P40+SUKB!V40+UCT!P40+SPSSN!P40+ÚVT!P40+VMU!P40+CJV!P40+CZS!P40+RMU!Y40</f>
        <v>0</v>
      </c>
    </row>
    <row r="41" spans="1:16" s="5" customFormat="1" ht="12">
      <c r="A41" s="240"/>
      <c r="B41" s="4" t="s">
        <v>29</v>
      </c>
      <c r="C41" s="4"/>
      <c r="D41" s="4"/>
      <c r="E41" s="246">
        <v>38</v>
      </c>
      <c r="F41" s="292">
        <f>SKM!F41+SUKB!F41+UCT!F41+SPSSN!F41+ÚVT!F41+VMU!F41+CJV!F41+CZS!F41+RMU!F41</f>
        <v>0</v>
      </c>
      <c r="G41" s="174">
        <f>SKM!G41+SUKB!G41+UCT!G41+SPSSN!G41+ÚVT!G41+VMU!G41+CJV!G41+CZS!G41+RMU!G41</f>
        <v>0</v>
      </c>
      <c r="H41" s="224">
        <f>SKM!H41+SUKB!H41+UCT!H41+SPSSN!H41+IBA!H41+ÚVT!H41+VMU!H41+CJV!H41+CZS!H41+RMU!H41</f>
        <v>17786886</v>
      </c>
      <c r="I41" s="600"/>
      <c r="J41" s="174">
        <f>SKM!J41+SUKB!J41+UCT!J41+SPSSN!J41+ÚVT!J41+VMU!J41+CJV!J41+CZS!J41+RMU!J41</f>
        <v>17786886</v>
      </c>
      <c r="K41" s="323">
        <v>5386250</v>
      </c>
      <c r="L41" s="323">
        <v>5386250</v>
      </c>
      <c r="M41" s="323">
        <v>5386250</v>
      </c>
      <c r="N41" s="323">
        <v>5386250</v>
      </c>
      <c r="O41" s="323">
        <v>5386250</v>
      </c>
      <c r="P41" s="602">
        <f>SKM!P41+SUKB!V41+UCT!P41+SPSSN!P41+ÚVT!P41+VMU!P41+CJV!P41+CZS!P41+RMU!Y41</f>
        <v>0</v>
      </c>
    </row>
    <row r="42" spans="1:16" s="5" customFormat="1" ht="12">
      <c r="A42" s="240"/>
      <c r="B42" s="4" t="s">
        <v>30</v>
      </c>
      <c r="C42" s="4"/>
      <c r="D42" s="4"/>
      <c r="E42" s="246">
        <v>39</v>
      </c>
      <c r="F42" s="292">
        <f>SKM!F42+SUKB!F42+UCT!F42+SPSSN!F42+ÚVT!F42+VMU!F42+CJV!F42+CZS!F42+RMU!F42</f>
        <v>44488200</v>
      </c>
      <c r="G42" s="174">
        <f>SKM!G42+SUKB!G42+UCT!G42+SPSSN!G42+ÚVT!G42+VMU!G42+CJV!G42+CZS!G42+RMU!G42</f>
        <v>0</v>
      </c>
      <c r="H42" s="224">
        <f>SKM!H42+SUKB!H42+UCT!H42+SPSSN!H42+IBA!H42+ÚVT!H42+VMU!H42+CJV!H42+CZS!H42+RMU!H42</f>
        <v>64474731.78</v>
      </c>
      <c r="I42" s="600">
        <f t="shared" si="2"/>
        <v>1.4492546738236207</v>
      </c>
      <c r="J42" s="174">
        <f>SKM!J42+SUKB!J42+UCT!J42+SPSSN!J42+ÚVT!J42+VMU!J42+CJV!J42+CZS!J42+RMU!J42</f>
        <v>58953488.68</v>
      </c>
      <c r="K42" s="323">
        <v>50874632.739999995</v>
      </c>
      <c r="L42" s="323">
        <v>50874632.739999995</v>
      </c>
      <c r="M42" s="323">
        <v>50874632.739999995</v>
      </c>
      <c r="N42" s="323">
        <v>50874632.739999995</v>
      </c>
      <c r="O42" s="323">
        <v>50874632.739999995</v>
      </c>
      <c r="P42" s="602">
        <f>SKM!P42+SUKB!V42+UCT!P42+SPSSN!P42+ÚVT!P42+VMU!P42+CJV!P42+CZS!P42+RMU!Y42</f>
        <v>0</v>
      </c>
    </row>
    <row r="43" spans="1:16" s="5" customFormat="1" ht="12" customHeight="1" hidden="1">
      <c r="A43" s="241" t="s">
        <v>32</v>
      </c>
      <c r="B43" s="27"/>
      <c r="C43" s="27"/>
      <c r="D43" s="27"/>
      <c r="E43" s="247">
        <v>42</v>
      </c>
      <c r="F43" s="300" t="e">
        <f>SKM!F43+#REF!+ÚVT!F43+VMU!F43+CJV!F43+CZS!F43+RMU!F43</f>
        <v>#REF!</v>
      </c>
      <c r="G43" s="393"/>
      <c r="H43" s="318"/>
      <c r="I43" s="601" t="e">
        <f t="shared" si="2"/>
        <v>#REF!</v>
      </c>
      <c r="J43" s="324"/>
      <c r="K43" s="324"/>
      <c r="L43" s="324"/>
      <c r="M43" s="324"/>
      <c r="N43" s="324"/>
      <c r="O43" s="324"/>
      <c r="P43" s="467"/>
    </row>
    <row r="44" spans="1:16" ht="12.75">
      <c r="A44" s="239" t="s">
        <v>165</v>
      </c>
      <c r="B44" s="171"/>
      <c r="C44" s="171"/>
      <c r="D44" s="171"/>
      <c r="E44" s="245">
        <v>40</v>
      </c>
      <c r="F44" s="255">
        <f>F27-F4</f>
        <v>14627736</v>
      </c>
      <c r="G44" s="391">
        <f>G27-G4</f>
        <v>453422702</v>
      </c>
      <c r="H44" s="255">
        <f>H27-H4</f>
        <v>25354565.44999981</v>
      </c>
      <c r="I44" s="403">
        <f t="shared" si="2"/>
        <v>1.7333212364510686</v>
      </c>
      <c r="J44" s="221">
        <f aca="true" t="shared" si="4" ref="J44:O44">J27-J4</f>
        <v>20906395.574545383</v>
      </c>
      <c r="K44" s="322">
        <f t="shared" si="4"/>
        <v>19483915.859999895</v>
      </c>
      <c r="L44" s="322">
        <f t="shared" si="4"/>
        <v>19483915.859999895</v>
      </c>
      <c r="M44" s="322">
        <f t="shared" si="4"/>
        <v>19483915.859999895</v>
      </c>
      <c r="N44" s="322">
        <f t="shared" si="4"/>
        <v>19483915.859999895</v>
      </c>
      <c r="O44" s="322">
        <f t="shared" si="4"/>
        <v>19483915.859999895</v>
      </c>
      <c r="P44" s="467"/>
    </row>
    <row r="45" spans="1:16" s="89" customFormat="1" ht="11.25">
      <c r="A45" s="90" t="s">
        <v>167</v>
      </c>
      <c r="F45" s="90"/>
      <c r="G45" s="90"/>
      <c r="H45" s="90"/>
      <c r="I45" s="90"/>
      <c r="J45" s="90"/>
      <c r="P45" s="458"/>
    </row>
    <row r="46" spans="1:16" s="89" customFormat="1" ht="11.25">
      <c r="A46" s="210" t="s">
        <v>141</v>
      </c>
      <c r="B46" s="90"/>
      <c r="C46" s="90"/>
      <c r="D46" s="90"/>
      <c r="E46" s="90"/>
      <c r="F46" s="90"/>
      <c r="G46" s="90"/>
      <c r="H46" s="90"/>
      <c r="I46" s="90"/>
      <c r="J46" s="90"/>
      <c r="P46" s="458"/>
    </row>
    <row r="47" spans="1:16" s="89" customFormat="1" ht="11.25">
      <c r="A47" s="142" t="s">
        <v>142</v>
      </c>
      <c r="B47" s="90"/>
      <c r="C47" s="90"/>
      <c r="D47" s="90"/>
      <c r="E47" s="90"/>
      <c r="F47" s="91"/>
      <c r="G47" s="91"/>
      <c r="H47" s="91"/>
      <c r="I47" s="91"/>
      <c r="J47" s="91"/>
      <c r="P47" s="458"/>
    </row>
    <row r="48" spans="1:16" s="89" customFormat="1" ht="11.25">
      <c r="A48" s="142" t="s">
        <v>143</v>
      </c>
      <c r="B48" s="90"/>
      <c r="C48" s="90"/>
      <c r="D48" s="90"/>
      <c r="E48" s="90"/>
      <c r="F48" s="91"/>
      <c r="G48" s="91"/>
      <c r="H48" s="91"/>
      <c r="I48" s="91"/>
      <c r="J48" s="91"/>
      <c r="P48" s="458"/>
    </row>
    <row r="49" spans="1:16" s="89" customFormat="1" ht="11.25">
      <c r="A49" s="142" t="s">
        <v>145</v>
      </c>
      <c r="B49" s="90"/>
      <c r="C49" s="90"/>
      <c r="D49" s="90"/>
      <c r="E49" s="90"/>
      <c r="F49" s="91"/>
      <c r="G49" s="91"/>
      <c r="H49" s="91"/>
      <c r="I49" s="91"/>
      <c r="J49" s="91"/>
      <c r="P49" s="458"/>
    </row>
    <row r="50" spans="1:16" s="89" customFormat="1" ht="11.25">
      <c r="A50" s="90" t="s">
        <v>170</v>
      </c>
      <c r="B50" s="90"/>
      <c r="C50" s="90"/>
      <c r="D50" s="90"/>
      <c r="E50" s="90"/>
      <c r="F50" s="91"/>
      <c r="G50" s="91"/>
      <c r="H50" s="91"/>
      <c r="I50" s="91"/>
      <c r="J50" s="91"/>
      <c r="P50" s="458"/>
    </row>
    <row r="51" spans="1:16" s="89" customFormat="1" ht="11.25">
      <c r="A51" s="90" t="s">
        <v>146</v>
      </c>
      <c r="B51" s="90"/>
      <c r="C51" s="90"/>
      <c r="D51" s="90"/>
      <c r="P51" s="458"/>
    </row>
    <row r="52" spans="1:16" s="89" customFormat="1" ht="11.25">
      <c r="A52" s="90" t="s">
        <v>171</v>
      </c>
      <c r="B52" s="90"/>
      <c r="C52" s="90"/>
      <c r="D52" s="90"/>
      <c r="P52" s="458"/>
    </row>
    <row r="53" spans="1:16" s="89" customFormat="1" ht="11.25">
      <c r="A53" s="90" t="s">
        <v>169</v>
      </c>
      <c r="B53" s="90"/>
      <c r="C53" s="90"/>
      <c r="D53" s="90"/>
      <c r="P53" s="458"/>
    </row>
    <row r="54" spans="1:4" ht="12.75">
      <c r="A54" s="90"/>
      <c r="B54" s="90"/>
      <c r="C54" s="90"/>
      <c r="D54" s="90"/>
    </row>
  </sheetData>
  <mergeCells count="1">
    <mergeCell ref="A1:D1"/>
  </mergeCells>
  <printOptions horizontalCentered="1"/>
  <pageMargins left="0.43" right="0.31496062992125984" top="0.26" bottom="0.36" header="0.1968503937007874" footer="0.18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1"/>
  <dimension ref="A1:H50"/>
  <sheetViews>
    <sheetView workbookViewId="0" topLeftCell="A1">
      <selection activeCell="G45" sqref="G4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6.25390625" style="0" customWidth="1"/>
    <col min="5" max="5" width="3.75390625" style="0" customWidth="1"/>
    <col min="6" max="7" width="13.75390625" style="0" customWidth="1"/>
  </cols>
  <sheetData>
    <row r="1" spans="1:7" ht="15.75">
      <c r="A1" s="613" t="s">
        <v>138</v>
      </c>
      <c r="B1" s="614"/>
      <c r="C1" s="614"/>
      <c r="D1" s="615"/>
      <c r="E1" s="242"/>
      <c r="F1" s="253" t="s">
        <v>7</v>
      </c>
      <c r="G1" s="301" t="s">
        <v>8</v>
      </c>
    </row>
    <row r="2" spans="1:7" s="7" customFormat="1" ht="12.75">
      <c r="A2" s="237" t="s">
        <v>39</v>
      </c>
      <c r="B2" s="44"/>
      <c r="C2" s="44"/>
      <c r="D2" s="45" t="s">
        <v>84</v>
      </c>
      <c r="E2" s="243" t="s">
        <v>21</v>
      </c>
      <c r="F2" s="254">
        <v>2006</v>
      </c>
      <c r="G2" s="302">
        <v>2005</v>
      </c>
    </row>
    <row r="3" spans="1:7" s="7" customFormat="1" ht="13.5" customHeight="1" hidden="1" thickBot="1">
      <c r="A3" s="238"/>
      <c r="B3" s="137"/>
      <c r="C3" s="137"/>
      <c r="D3" s="138"/>
      <c r="E3" s="244"/>
      <c r="F3" s="299"/>
      <c r="G3" s="248"/>
    </row>
    <row r="4" spans="1:7" ht="12.75">
      <c r="A4" s="239" t="s">
        <v>157</v>
      </c>
      <c r="B4" s="171"/>
      <c r="C4" s="171"/>
      <c r="D4" s="171"/>
      <c r="E4" s="245">
        <v>1</v>
      </c>
      <c r="F4" s="255">
        <f>SUM(F6:F26)</f>
        <v>2916738455</v>
      </c>
      <c r="G4" s="303">
        <f>SUM(G6:G26)</f>
        <v>2616461327.33</v>
      </c>
    </row>
    <row r="5" spans="1:7" s="5" customFormat="1" ht="12">
      <c r="A5" s="240" t="s">
        <v>10</v>
      </c>
      <c r="B5" s="3" t="s">
        <v>91</v>
      </c>
      <c r="C5" s="3"/>
      <c r="D5" s="3"/>
      <c r="E5" s="246">
        <v>2</v>
      </c>
      <c r="F5" s="289">
        <f>SUM(F6:F16)</f>
        <v>2082063790</v>
      </c>
      <c r="G5" s="249">
        <f>SUM(G6:G16)</f>
        <v>1795865640.3000002</v>
      </c>
    </row>
    <row r="6" spans="1:7" s="29" customFormat="1" ht="12">
      <c r="A6" s="241"/>
      <c r="B6" s="27"/>
      <c r="C6" s="27" t="s">
        <v>13</v>
      </c>
      <c r="D6" s="28" t="s">
        <v>17</v>
      </c>
      <c r="E6" s="246">
        <v>3</v>
      </c>
      <c r="F6" s="222">
        <f>fak!F6+'ost.'!F6</f>
        <v>854800216</v>
      </c>
      <c r="G6" s="250">
        <f>fak!K6+'ost.'!K6</f>
        <v>797014639.89</v>
      </c>
    </row>
    <row r="7" spans="1:7" s="29" customFormat="1" ht="12">
      <c r="A7" s="241"/>
      <c r="B7" s="27"/>
      <c r="C7" s="27"/>
      <c r="D7" s="28" t="s">
        <v>18</v>
      </c>
      <c r="E7" s="246">
        <v>4</v>
      </c>
      <c r="F7" s="222">
        <f>fak!F7+'ost.'!F7</f>
        <v>32233764</v>
      </c>
      <c r="G7" s="250">
        <f>fak!K7+'ost.'!K7</f>
        <v>28256253.220000003</v>
      </c>
    </row>
    <row r="8" spans="1:7" s="29" customFormat="1" ht="12">
      <c r="A8" s="241"/>
      <c r="B8" s="27"/>
      <c r="C8" s="27"/>
      <c r="D8" s="28" t="s">
        <v>19</v>
      </c>
      <c r="E8" s="246">
        <v>5</v>
      </c>
      <c r="F8" s="222">
        <f>fak!F8+'ost.'!F8</f>
        <v>305508797</v>
      </c>
      <c r="G8" s="250">
        <f>fak!K8+'ost.'!K8</f>
        <v>281661239.4</v>
      </c>
    </row>
    <row r="9" spans="1:7" s="29" customFormat="1" ht="12">
      <c r="A9" s="241"/>
      <c r="B9" s="27"/>
      <c r="C9" s="27"/>
      <c r="D9" s="28" t="s">
        <v>0</v>
      </c>
      <c r="E9" s="246">
        <v>6</v>
      </c>
      <c r="F9" s="222">
        <f>fak!F9+'ost.'!F9</f>
        <v>83241361</v>
      </c>
      <c r="G9" s="250">
        <f>fak!K9+'ost.'!K9</f>
        <v>72350909.47999999</v>
      </c>
    </row>
    <row r="10" spans="1:7" s="29" customFormat="1" ht="12">
      <c r="A10" s="241"/>
      <c r="B10" s="27"/>
      <c r="C10" s="27"/>
      <c r="D10" s="28" t="s">
        <v>1</v>
      </c>
      <c r="E10" s="246">
        <v>7</v>
      </c>
      <c r="F10" s="222">
        <f>fak!F10+'ost.'!F10</f>
        <v>56641100</v>
      </c>
      <c r="G10" s="250">
        <f>fak!K10+'ost.'!K10</f>
        <v>47852404.64</v>
      </c>
    </row>
    <row r="11" spans="1:7" s="29" customFormat="1" ht="12">
      <c r="A11" s="241"/>
      <c r="B11" s="27"/>
      <c r="C11" s="27"/>
      <c r="D11" s="28" t="s">
        <v>2</v>
      </c>
      <c r="E11" s="246">
        <v>8</v>
      </c>
      <c r="F11" s="222">
        <f>fak!F11+'ost.'!F11</f>
        <v>157039419</v>
      </c>
      <c r="G11" s="250">
        <f>fak!K11+'ost.'!K11</f>
        <v>184382519.25</v>
      </c>
    </row>
    <row r="12" spans="1:7" s="29" customFormat="1" ht="12">
      <c r="A12" s="241"/>
      <c r="B12" s="27"/>
      <c r="C12" s="27"/>
      <c r="D12" s="28" t="s">
        <v>3</v>
      </c>
      <c r="E12" s="246">
        <v>9</v>
      </c>
      <c r="F12" s="222">
        <f>fak!F12+'ost.'!F12</f>
        <v>165594414</v>
      </c>
      <c r="G12" s="250">
        <f>fak!K12+'ost.'!K12</f>
        <v>139724787.76</v>
      </c>
    </row>
    <row r="13" spans="1:7" s="29" customFormat="1" ht="12">
      <c r="A13" s="241"/>
      <c r="B13" s="27"/>
      <c r="C13" s="27"/>
      <c r="D13" s="28" t="s">
        <v>4</v>
      </c>
      <c r="E13" s="246">
        <v>10</v>
      </c>
      <c r="F13" s="222">
        <f>fak!F13+'ost.'!F13</f>
        <v>17476103</v>
      </c>
      <c r="G13" s="250">
        <f>fak!K13+'ost.'!K13</f>
        <v>11342207.31</v>
      </c>
    </row>
    <row r="14" spans="1:7" s="29" customFormat="1" ht="13.5">
      <c r="A14" s="241"/>
      <c r="B14" s="27"/>
      <c r="C14" s="27"/>
      <c r="D14" s="28" t="s">
        <v>178</v>
      </c>
      <c r="E14" s="246">
        <v>11</v>
      </c>
      <c r="F14" s="222">
        <f>fak!F14+'ost.'!F14</f>
        <v>197389000</v>
      </c>
      <c r="G14" s="250">
        <f>fak!K14+'ost.'!K14</f>
        <v>160101320.60000002</v>
      </c>
    </row>
    <row r="15" spans="1:7" s="29" customFormat="1" ht="12">
      <c r="A15" s="241"/>
      <c r="B15" s="27"/>
      <c r="C15" s="27"/>
      <c r="D15" s="28" t="s">
        <v>6</v>
      </c>
      <c r="E15" s="246">
        <v>12</v>
      </c>
      <c r="F15" s="222">
        <f>fak!F15+'ost.'!F15</f>
        <v>113204800</v>
      </c>
      <c r="G15" s="250">
        <f>fak!K15+'ost.'!K15</f>
        <v>18586434.83</v>
      </c>
    </row>
    <row r="16" spans="1:7" s="29" customFormat="1" ht="12">
      <c r="A16" s="241"/>
      <c r="B16" s="28"/>
      <c r="C16" s="28"/>
      <c r="D16" s="28" t="s">
        <v>9</v>
      </c>
      <c r="E16" s="246">
        <v>13</v>
      </c>
      <c r="F16" s="222">
        <f>fak!F16+'ost.'!F16</f>
        <v>98934816</v>
      </c>
      <c r="G16" s="250">
        <f>fak!K16+'ost.'!K16</f>
        <v>54592923.92</v>
      </c>
    </row>
    <row r="17" spans="1:7" s="5" customFormat="1" ht="12">
      <c r="A17" s="240"/>
      <c r="B17" s="4" t="s">
        <v>14</v>
      </c>
      <c r="C17" s="3"/>
      <c r="D17" s="3"/>
      <c r="E17" s="246">
        <v>14</v>
      </c>
      <c r="F17" s="289">
        <f>fak!F17+'ost.'!F17</f>
        <v>97140000</v>
      </c>
      <c r="G17" s="249">
        <f>fak!K17+'ost.'!K17</f>
        <v>93173000</v>
      </c>
    </row>
    <row r="18" spans="1:7" s="5" customFormat="1" ht="12">
      <c r="A18" s="240"/>
      <c r="B18" s="4" t="s">
        <v>15</v>
      </c>
      <c r="C18" s="3"/>
      <c r="D18" s="3"/>
      <c r="E18" s="246">
        <v>15</v>
      </c>
      <c r="F18" s="289">
        <f>fak!F18+'ost.'!F18</f>
        <v>30397000</v>
      </c>
      <c r="G18" s="249">
        <f>fak!K18+'ost.'!K18</f>
        <v>29367904</v>
      </c>
    </row>
    <row r="19" spans="1:7" s="5" customFormat="1" ht="12">
      <c r="A19" s="240"/>
      <c r="B19" s="4" t="s">
        <v>20</v>
      </c>
      <c r="C19" s="3"/>
      <c r="D19" s="3"/>
      <c r="E19" s="246">
        <v>16</v>
      </c>
      <c r="F19" s="289">
        <f>fak!F19+'ost.'!F19</f>
        <v>95818000</v>
      </c>
      <c r="G19" s="249">
        <f>fak!K19+'ost.'!K19</f>
        <v>77098416.30000001</v>
      </c>
    </row>
    <row r="20" spans="1:7" s="5" customFormat="1" ht="12">
      <c r="A20" s="240"/>
      <c r="B20" s="4" t="s">
        <v>16</v>
      </c>
      <c r="C20" s="3"/>
      <c r="D20" s="3"/>
      <c r="E20" s="246">
        <v>17</v>
      </c>
      <c r="F20" s="289">
        <f>fak!F20+'ost.'!F20</f>
        <v>8828000</v>
      </c>
      <c r="G20" s="249">
        <f>fak!K20+'ost.'!K20</f>
        <v>10575000</v>
      </c>
    </row>
    <row r="21" spans="1:7" s="5" customFormat="1" ht="12">
      <c r="A21" s="240"/>
      <c r="B21" s="4" t="s">
        <v>24</v>
      </c>
      <c r="C21" s="4"/>
      <c r="D21" s="4"/>
      <c r="E21" s="246">
        <v>18</v>
      </c>
      <c r="F21" s="289">
        <f>fak!F21+'ost.'!F21</f>
        <v>4488750</v>
      </c>
      <c r="G21" s="249">
        <f>fak!K21+'ost.'!K21</f>
        <v>5123780.609999999</v>
      </c>
    </row>
    <row r="22" spans="1:7" s="5" customFormat="1" ht="12">
      <c r="A22" s="240"/>
      <c r="B22" s="4" t="s">
        <v>31</v>
      </c>
      <c r="C22" s="4"/>
      <c r="D22" s="4"/>
      <c r="E22" s="246">
        <v>19</v>
      </c>
      <c r="F22" s="289">
        <f>fak!F22+'ost.'!F22</f>
        <v>31366715</v>
      </c>
      <c r="G22" s="249">
        <f>fak!K22+'ost.'!K22</f>
        <v>45820271.7</v>
      </c>
    </row>
    <row r="23" spans="1:7" s="5" customFormat="1" ht="12">
      <c r="A23" s="240"/>
      <c r="B23" s="4" t="s">
        <v>25</v>
      </c>
      <c r="C23" s="4"/>
      <c r="D23" s="4"/>
      <c r="E23" s="246">
        <v>20</v>
      </c>
      <c r="F23" s="289">
        <f>fak!F23+'ost.'!F23</f>
        <v>256531000</v>
      </c>
      <c r="G23" s="249">
        <f>fak!K23+'ost.'!K23</f>
        <v>255371891</v>
      </c>
    </row>
    <row r="24" spans="1:7" s="5" customFormat="1" ht="12">
      <c r="A24" s="240"/>
      <c r="B24" s="4" t="s">
        <v>26</v>
      </c>
      <c r="C24" s="4"/>
      <c r="D24" s="4"/>
      <c r="E24" s="246">
        <v>21</v>
      </c>
      <c r="F24" s="289">
        <f>fak!F24+'ost.'!F24</f>
        <v>191465000</v>
      </c>
      <c r="G24" s="249">
        <f>fak!K24+'ost.'!K24</f>
        <v>177966825.96</v>
      </c>
    </row>
    <row r="25" spans="1:7" s="5" customFormat="1" ht="12">
      <c r="A25" s="240"/>
      <c r="B25" s="4" t="s">
        <v>27</v>
      </c>
      <c r="C25" s="4"/>
      <c r="D25" s="4"/>
      <c r="E25" s="246">
        <v>22</v>
      </c>
      <c r="F25" s="289">
        <f>fak!F25+'ost.'!F25</f>
        <v>57052000</v>
      </c>
      <c r="G25" s="249">
        <f>fak!K25+'ost.'!K25</f>
        <v>55877702.68</v>
      </c>
    </row>
    <row r="26" spans="1:7" s="5" customFormat="1" ht="12">
      <c r="A26" s="240"/>
      <c r="B26" s="95" t="s">
        <v>30</v>
      </c>
      <c r="C26" s="95"/>
      <c r="D26" s="95"/>
      <c r="E26" s="246">
        <v>23</v>
      </c>
      <c r="F26" s="289">
        <f>fak!F26+'ost.'!F26</f>
        <v>61588200</v>
      </c>
      <c r="G26" s="249">
        <f>fak!K26+'ost.'!K26</f>
        <v>70220894.78</v>
      </c>
    </row>
    <row r="27" spans="1:7" ht="12.75">
      <c r="A27" s="239" t="s">
        <v>158</v>
      </c>
      <c r="B27" s="171"/>
      <c r="C27" s="171"/>
      <c r="D27" s="171"/>
      <c r="E27" s="245">
        <v>24</v>
      </c>
      <c r="F27" s="255">
        <f>SUM(F28:F42)</f>
        <v>2939491866</v>
      </c>
      <c r="G27" s="303">
        <f>SUM(G28:G42)</f>
        <v>2675665979.9999995</v>
      </c>
    </row>
    <row r="28" spans="1:7" s="5" customFormat="1" ht="13.5">
      <c r="A28" s="240" t="s">
        <v>10</v>
      </c>
      <c r="B28" s="3" t="s">
        <v>179</v>
      </c>
      <c r="C28" s="3"/>
      <c r="D28" s="3"/>
      <c r="E28" s="246">
        <v>25</v>
      </c>
      <c r="F28" s="289">
        <f>fak!F28+'ost.'!F28</f>
        <v>1471693000</v>
      </c>
      <c r="G28" s="249">
        <f>fak!K28+'ost.'!K28</f>
        <v>1311441559.78</v>
      </c>
    </row>
    <row r="29" spans="1:7" s="5" customFormat="1" ht="12">
      <c r="A29" s="240"/>
      <c r="B29" s="4" t="s">
        <v>14</v>
      </c>
      <c r="C29" s="4"/>
      <c r="D29" s="4"/>
      <c r="E29" s="246">
        <v>26</v>
      </c>
      <c r="F29" s="292">
        <f>fak!F29+'ost.'!F29</f>
        <v>97140000</v>
      </c>
      <c r="G29" s="251">
        <f>fak!K29+'ost.'!K29</f>
        <v>93173000</v>
      </c>
    </row>
    <row r="30" spans="1:7" s="5" customFormat="1" ht="12">
      <c r="A30" s="240"/>
      <c r="B30" s="4" t="s">
        <v>15</v>
      </c>
      <c r="C30" s="4"/>
      <c r="D30" s="4"/>
      <c r="E30" s="246">
        <v>27</v>
      </c>
      <c r="F30" s="292">
        <f>fak!F30+'ost.'!F30</f>
        <v>30397000</v>
      </c>
      <c r="G30" s="251">
        <f>fak!K30+'ost.'!K30</f>
        <v>29367904</v>
      </c>
    </row>
    <row r="31" spans="1:7" s="5" customFormat="1" ht="12">
      <c r="A31" s="240"/>
      <c r="B31" s="4" t="s">
        <v>20</v>
      </c>
      <c r="C31" s="3"/>
      <c r="D31" s="3"/>
      <c r="E31" s="246">
        <v>28</v>
      </c>
      <c r="F31" s="292">
        <f>fak!F31+'ost.'!F31</f>
        <v>95818000</v>
      </c>
      <c r="G31" s="251">
        <f>fak!K31+'ost.'!K31</f>
        <v>77098416.30000001</v>
      </c>
    </row>
    <row r="32" spans="1:7" s="5" customFormat="1" ht="12">
      <c r="A32" s="240"/>
      <c r="B32" s="4" t="s">
        <v>16</v>
      </c>
      <c r="C32" s="4"/>
      <c r="D32" s="4"/>
      <c r="E32" s="246">
        <v>29</v>
      </c>
      <c r="F32" s="292">
        <f>fak!F32+'ost.'!F32</f>
        <v>8828000</v>
      </c>
      <c r="G32" s="251">
        <f>fak!K32+'ost.'!K32</f>
        <v>10575000</v>
      </c>
    </row>
    <row r="33" spans="1:7" s="5" customFormat="1" ht="12">
      <c r="A33" s="240"/>
      <c r="B33" s="4" t="s">
        <v>173</v>
      </c>
      <c r="C33" s="4"/>
      <c r="D33" s="4"/>
      <c r="E33" s="246">
        <v>30</v>
      </c>
      <c r="F33" s="292">
        <f>fak!F33+'ost.'!F33</f>
        <v>106526000</v>
      </c>
      <c r="G33" s="251">
        <f>fak!K33+'ost.'!K33</f>
        <v>61238000</v>
      </c>
    </row>
    <row r="34" spans="1:7" s="5" customFormat="1" ht="12">
      <c r="A34" s="240"/>
      <c r="B34" s="4" t="s">
        <v>24</v>
      </c>
      <c r="C34" s="4"/>
      <c r="D34" s="4"/>
      <c r="E34" s="246">
        <v>31</v>
      </c>
      <c r="F34" s="292">
        <f>fak!F34+'ost.'!F34</f>
        <v>4869750</v>
      </c>
      <c r="G34" s="251">
        <f>fak!K34+'ost.'!K34</f>
        <v>5123780.609999999</v>
      </c>
    </row>
    <row r="35" spans="1:7" s="5" customFormat="1" ht="12">
      <c r="A35" s="240"/>
      <c r="B35" s="4" t="s">
        <v>31</v>
      </c>
      <c r="C35" s="4"/>
      <c r="D35" s="4"/>
      <c r="E35" s="246">
        <v>32</v>
      </c>
      <c r="F35" s="292">
        <f>fak!F35+'ost.'!F35</f>
        <v>31151715</v>
      </c>
      <c r="G35" s="251">
        <f>fak!K35+'ost.'!K35</f>
        <v>46127450.42</v>
      </c>
    </row>
    <row r="36" spans="1:7" s="5" customFormat="1" ht="12">
      <c r="A36" s="240"/>
      <c r="B36" s="4" t="s">
        <v>85</v>
      </c>
      <c r="C36" s="4"/>
      <c r="D36" s="4"/>
      <c r="E36" s="246">
        <v>33</v>
      </c>
      <c r="F36" s="292">
        <f>fak!F36+'ost.'!F36</f>
        <v>112915000</v>
      </c>
      <c r="G36" s="251">
        <f>fak!K36+'ost.'!K36</f>
        <v>99469000</v>
      </c>
    </row>
    <row r="37" spans="1:7" s="5" customFormat="1" ht="12">
      <c r="A37" s="240"/>
      <c r="B37" s="4" t="s">
        <v>25</v>
      </c>
      <c r="C37" s="4"/>
      <c r="D37" s="4"/>
      <c r="E37" s="246">
        <v>34</v>
      </c>
      <c r="F37" s="292">
        <f>fak!F37+'ost.'!F37</f>
        <v>256531000</v>
      </c>
      <c r="G37" s="251">
        <f>fak!K37+'ost.'!K37</f>
        <v>255371890.62</v>
      </c>
    </row>
    <row r="38" spans="1:7" s="5" customFormat="1" ht="12">
      <c r="A38" s="240"/>
      <c r="B38" s="4" t="s">
        <v>26</v>
      </c>
      <c r="C38" s="4"/>
      <c r="D38" s="4"/>
      <c r="E38" s="246">
        <v>35</v>
      </c>
      <c r="F38" s="292">
        <f>fak!F38+'ost.'!F38</f>
        <v>191177000</v>
      </c>
      <c r="G38" s="251">
        <f>fak!K38+'ost.'!K38</f>
        <v>177966825.66</v>
      </c>
    </row>
    <row r="39" spans="1:7" s="5" customFormat="1" ht="12">
      <c r="A39" s="240"/>
      <c r="B39" s="4" t="s">
        <v>27</v>
      </c>
      <c r="C39" s="4"/>
      <c r="D39" s="4"/>
      <c r="E39" s="246">
        <v>36</v>
      </c>
      <c r="F39" s="292">
        <f>fak!F39+'ost.'!F39</f>
        <v>57053000</v>
      </c>
      <c r="G39" s="251">
        <f>fak!K39+'ost.'!K39</f>
        <v>55755974.39</v>
      </c>
    </row>
    <row r="40" spans="1:7" s="5" customFormat="1" ht="13.5">
      <c r="A40" s="240"/>
      <c r="B40" s="4" t="s">
        <v>180</v>
      </c>
      <c r="C40" s="4"/>
      <c r="D40" s="4"/>
      <c r="E40" s="246">
        <v>37</v>
      </c>
      <c r="F40" s="292">
        <f>fak!F40+'ost.'!F40</f>
        <v>380667201</v>
      </c>
      <c r="G40" s="251">
        <f>fak!K40+'ost.'!K40</f>
        <v>351971365.49</v>
      </c>
    </row>
    <row r="41" spans="1:7" s="5" customFormat="1" ht="12">
      <c r="A41" s="240"/>
      <c r="B41" s="4" t="s">
        <v>29</v>
      </c>
      <c r="C41" s="4"/>
      <c r="D41" s="4"/>
      <c r="E41" s="246">
        <v>38</v>
      </c>
      <c r="F41" s="292">
        <f>fak!F41+'ost.'!F41</f>
        <v>18963000</v>
      </c>
      <c r="G41" s="251">
        <f>fak!K41+'ost.'!K41</f>
        <v>15945700</v>
      </c>
    </row>
    <row r="42" spans="1:7" s="5" customFormat="1" ht="12">
      <c r="A42" s="240"/>
      <c r="B42" s="4" t="s">
        <v>30</v>
      </c>
      <c r="C42" s="4"/>
      <c r="D42" s="4"/>
      <c r="E42" s="246">
        <v>39</v>
      </c>
      <c r="F42" s="292">
        <f>fak!F42+'ost.'!F42</f>
        <v>75762200</v>
      </c>
      <c r="G42" s="251">
        <f>fak!K42+'ost.'!K42</f>
        <v>85040112.72999999</v>
      </c>
    </row>
    <row r="43" spans="1:7" s="29" customFormat="1" ht="12.75" customHeight="1" hidden="1" thickBot="1">
      <c r="A43" s="241" t="s">
        <v>32</v>
      </c>
      <c r="B43" s="27"/>
      <c r="C43" s="27"/>
      <c r="D43" s="27"/>
      <c r="E43" s="247">
        <v>42</v>
      </c>
      <c r="F43" s="300">
        <f>F28+F33+F36+F40+F41+F42-F5-F26</f>
        <v>22874411</v>
      </c>
      <c r="G43" s="252"/>
    </row>
    <row r="44" spans="1:7" ht="12.75">
      <c r="A44" s="239" t="s">
        <v>165</v>
      </c>
      <c r="B44" s="171"/>
      <c r="C44" s="171"/>
      <c r="D44" s="171"/>
      <c r="E44" s="245">
        <v>40</v>
      </c>
      <c r="F44" s="255">
        <f>F27-F4</f>
        <v>22753411</v>
      </c>
      <c r="G44" s="303">
        <f>G27-G4</f>
        <v>59204652.6699996</v>
      </c>
    </row>
    <row r="45" spans="1:7" s="2" customFormat="1" ht="11.25">
      <c r="A45" s="90"/>
      <c r="B45" s="89"/>
      <c r="C45" s="89"/>
      <c r="D45" s="89"/>
      <c r="E45" s="89"/>
      <c r="F45" s="94"/>
      <c r="G45" s="94">
        <f>fak!K45+'ost.'!K45</f>
        <v>0</v>
      </c>
    </row>
    <row r="46" spans="1:7" s="2" customFormat="1" ht="11.25">
      <c r="A46" s="210"/>
      <c r="B46" s="90"/>
      <c r="C46" s="90"/>
      <c r="D46" s="90"/>
      <c r="E46" s="90"/>
      <c r="F46" s="87"/>
      <c r="G46" s="87"/>
    </row>
    <row r="47" spans="1:5" ht="11.25" customHeight="1">
      <c r="A47" s="142"/>
      <c r="B47" s="90"/>
      <c r="C47" s="90"/>
      <c r="D47" s="90"/>
      <c r="E47" s="90"/>
    </row>
    <row r="48" spans="1:5" ht="11.25" customHeight="1">
      <c r="A48" s="142"/>
      <c r="B48" s="90"/>
      <c r="C48" s="90"/>
      <c r="D48" s="90"/>
      <c r="E48" s="90"/>
    </row>
    <row r="49" spans="1:5" ht="11.25" customHeight="1">
      <c r="A49" s="142"/>
      <c r="B49" s="90"/>
      <c r="C49" s="90"/>
      <c r="D49" s="90"/>
      <c r="E49" s="90"/>
    </row>
    <row r="50" spans="1:8" ht="12.75">
      <c r="A50" s="90"/>
      <c r="B50" s="90"/>
      <c r="C50" s="90"/>
      <c r="D50" s="90"/>
      <c r="E50" s="90"/>
      <c r="H50" s="89"/>
    </row>
  </sheetData>
  <mergeCells count="1">
    <mergeCell ref="A1:D1"/>
  </mergeCells>
  <printOptions horizontalCentered="1"/>
  <pageMargins left="0.5905511811023623" right="0.31496062992125984" top="0.6" bottom="0.4" header="0.1968503937007874" footer="0.2"/>
  <pageSetup horizontalDpi="600" verticalDpi="600" orientation="portrait" paperSize="9" scale="95" r:id="rId1"/>
  <headerFooter alignWithMargins="0">
    <oddHeader>&amp;L&amp;"Arial CE,kurzíva\&amp;11Osnova rozpočtu</oddHeader>
    <oddFooter>&amp;L&amp;8&amp;D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17"/>
  <dimension ref="A1:BN44"/>
  <sheetViews>
    <sheetView workbookViewId="0" topLeftCell="AN1">
      <selection activeCell="BH5" sqref="BH5"/>
    </sheetView>
  </sheetViews>
  <sheetFormatPr defaultColWidth="9.00390625" defaultRowHeight="12.75"/>
  <cols>
    <col min="1" max="1" width="6.75390625" style="2" customWidth="1"/>
    <col min="2" max="2" width="5.625" style="2" customWidth="1"/>
    <col min="3" max="3" width="6.25390625" style="2" customWidth="1"/>
    <col min="4" max="4" width="20.625" style="2" customWidth="1"/>
    <col min="5" max="5" width="3.75390625" style="2" customWidth="1"/>
    <col min="6" max="7" width="7.125" style="2" customWidth="1"/>
    <col min="8" max="8" width="7.00390625" style="2" customWidth="1"/>
    <col min="9" max="9" width="7.125" style="2" bestFit="1" customWidth="1"/>
    <col min="10" max="11" width="6.625" style="2" bestFit="1" customWidth="1"/>
    <col min="12" max="14" width="6.625" style="2" customWidth="1"/>
    <col min="15" max="17" width="6.625" style="2" bestFit="1" customWidth="1"/>
    <col min="18" max="20" width="6.25390625" style="2" customWidth="1"/>
    <col min="21" max="23" width="6.25390625" style="2" bestFit="1" customWidth="1"/>
    <col min="24" max="26" width="6.625" style="2" customWidth="1"/>
    <col min="27" max="29" width="6.25390625" style="2" bestFit="1" customWidth="1"/>
    <col min="30" max="32" width="7.00390625" style="2" customWidth="1"/>
    <col min="33" max="33" width="7.125" style="2" bestFit="1" customWidth="1"/>
    <col min="34" max="35" width="6.625" style="2" bestFit="1" customWidth="1"/>
    <col min="36" max="37" width="6.75390625" style="2" customWidth="1"/>
    <col min="38" max="38" width="6.375" style="2" customWidth="1"/>
    <col min="39" max="41" width="6.25390625" style="2" bestFit="1" customWidth="1"/>
    <col min="42" max="44" width="6.625" style="2" customWidth="1"/>
    <col min="45" max="47" width="6.625" style="2" bestFit="1" customWidth="1"/>
    <col min="48" max="50" width="6.125" style="2" customWidth="1"/>
    <col min="51" max="52" width="6.25390625" style="2" bestFit="1" customWidth="1"/>
    <col min="53" max="53" width="5.75390625" style="2" bestFit="1" customWidth="1"/>
    <col min="54" max="56" width="7.00390625" style="2" customWidth="1"/>
    <col min="57" max="59" width="6.25390625" style="2" bestFit="1" customWidth="1"/>
    <col min="60" max="60" width="7.625" style="2" bestFit="1" customWidth="1"/>
    <col min="61" max="62" width="7.625" style="2" customWidth="1"/>
    <col min="63" max="65" width="7.625" style="2" bestFit="1" customWidth="1"/>
    <col min="66" max="66" width="6.125" style="2" customWidth="1"/>
    <col min="67" max="16384" width="9.125" style="2" customWidth="1"/>
  </cols>
  <sheetData>
    <row r="1" spans="1:65" ht="12.75">
      <c r="A1" s="624" t="s">
        <v>218</v>
      </c>
      <c r="B1" s="625"/>
      <c r="C1" s="625"/>
      <c r="D1" s="625"/>
      <c r="E1" s="490"/>
      <c r="F1" s="622" t="s">
        <v>73</v>
      </c>
      <c r="G1" s="623"/>
      <c r="H1" s="623"/>
      <c r="I1" s="623"/>
      <c r="J1" s="623"/>
      <c r="K1" s="626"/>
      <c r="L1" s="622" t="s">
        <v>74</v>
      </c>
      <c r="M1" s="623"/>
      <c r="N1" s="623"/>
      <c r="O1" s="605"/>
      <c r="P1" s="605"/>
      <c r="Q1" s="606"/>
      <c r="R1" s="622" t="s">
        <v>75</v>
      </c>
      <c r="S1" s="623"/>
      <c r="T1" s="623"/>
      <c r="U1" s="605"/>
      <c r="V1" s="605"/>
      <c r="W1" s="606"/>
      <c r="X1" s="622" t="s">
        <v>76</v>
      </c>
      <c r="Y1" s="623"/>
      <c r="Z1" s="623"/>
      <c r="AA1" s="605"/>
      <c r="AB1" s="605"/>
      <c r="AC1" s="606"/>
      <c r="AD1" s="622" t="s">
        <v>77</v>
      </c>
      <c r="AE1" s="623"/>
      <c r="AF1" s="623"/>
      <c r="AG1" s="605"/>
      <c r="AH1" s="605"/>
      <c r="AI1" s="606"/>
      <c r="AJ1" s="622" t="s">
        <v>78</v>
      </c>
      <c r="AK1" s="623"/>
      <c r="AL1" s="623"/>
      <c r="AM1" s="605"/>
      <c r="AN1" s="605"/>
      <c r="AO1" s="606"/>
      <c r="AP1" s="622" t="s">
        <v>79</v>
      </c>
      <c r="AQ1" s="623"/>
      <c r="AR1" s="623"/>
      <c r="AS1" s="605"/>
      <c r="AT1" s="605"/>
      <c r="AU1" s="606"/>
      <c r="AV1" s="622" t="s">
        <v>80</v>
      </c>
      <c r="AW1" s="623"/>
      <c r="AX1" s="623"/>
      <c r="AY1" s="605"/>
      <c r="AZ1" s="605"/>
      <c r="BA1" s="606"/>
      <c r="BB1" s="622" t="s">
        <v>81</v>
      </c>
      <c r="BC1" s="623"/>
      <c r="BD1" s="623"/>
      <c r="BE1" s="605"/>
      <c r="BF1" s="605"/>
      <c r="BG1" s="606"/>
      <c r="BH1" s="510" t="s">
        <v>72</v>
      </c>
      <c r="BI1" s="514" t="s">
        <v>72</v>
      </c>
      <c r="BJ1" s="514" t="s">
        <v>72</v>
      </c>
      <c r="BK1" s="514" t="s">
        <v>72</v>
      </c>
      <c r="BL1" s="514" t="s">
        <v>72</v>
      </c>
      <c r="BM1" s="56" t="s">
        <v>72</v>
      </c>
    </row>
    <row r="2" spans="1:65" ht="12" thickBot="1">
      <c r="A2" s="40" t="s">
        <v>38</v>
      </c>
      <c r="B2" s="25"/>
      <c r="C2" s="25"/>
      <c r="D2" s="26" t="s">
        <v>43</v>
      </c>
      <c r="E2" s="58" t="s">
        <v>21</v>
      </c>
      <c r="F2" s="495">
        <v>2006</v>
      </c>
      <c r="G2" s="494">
        <v>2005</v>
      </c>
      <c r="H2" s="183">
        <v>2004</v>
      </c>
      <c r="I2" s="52">
        <v>2003</v>
      </c>
      <c r="J2" s="52">
        <v>2002</v>
      </c>
      <c r="K2" s="24">
        <v>2001</v>
      </c>
      <c r="L2" s="495">
        <v>2006</v>
      </c>
      <c r="M2" s="494">
        <v>2005</v>
      </c>
      <c r="N2" s="183">
        <v>2004</v>
      </c>
      <c r="O2" s="52">
        <v>2003</v>
      </c>
      <c r="P2" s="52">
        <v>2002</v>
      </c>
      <c r="Q2" s="24">
        <v>2001</v>
      </c>
      <c r="R2" s="495">
        <v>2006</v>
      </c>
      <c r="S2" s="494">
        <v>2005</v>
      </c>
      <c r="T2" s="183">
        <v>2004</v>
      </c>
      <c r="U2" s="52">
        <v>2003</v>
      </c>
      <c r="V2" s="52">
        <v>2002</v>
      </c>
      <c r="W2" s="24">
        <v>2001</v>
      </c>
      <c r="X2" s="495">
        <v>2006</v>
      </c>
      <c r="Y2" s="494">
        <v>2005</v>
      </c>
      <c r="Z2" s="183">
        <v>2004</v>
      </c>
      <c r="AA2" s="52">
        <v>2003</v>
      </c>
      <c r="AB2" s="52">
        <v>2002</v>
      </c>
      <c r="AC2" s="24">
        <v>2001</v>
      </c>
      <c r="AD2" s="495">
        <v>2006</v>
      </c>
      <c r="AE2" s="494">
        <v>2005</v>
      </c>
      <c r="AF2" s="183">
        <v>2004</v>
      </c>
      <c r="AG2" s="52">
        <v>2003</v>
      </c>
      <c r="AH2" s="52">
        <v>2002</v>
      </c>
      <c r="AI2" s="24">
        <v>2001</v>
      </c>
      <c r="AJ2" s="495">
        <v>2006</v>
      </c>
      <c r="AK2" s="494">
        <v>2005</v>
      </c>
      <c r="AL2" s="183">
        <v>2004</v>
      </c>
      <c r="AM2" s="52">
        <v>2003</v>
      </c>
      <c r="AN2" s="52">
        <v>2002</v>
      </c>
      <c r="AO2" s="24">
        <v>2001</v>
      </c>
      <c r="AP2" s="495">
        <v>2006</v>
      </c>
      <c r="AQ2" s="494">
        <v>2005</v>
      </c>
      <c r="AR2" s="183">
        <v>2004</v>
      </c>
      <c r="AS2" s="52">
        <v>2003</v>
      </c>
      <c r="AT2" s="52">
        <v>2002</v>
      </c>
      <c r="AU2" s="24">
        <v>2001</v>
      </c>
      <c r="AV2" s="495">
        <v>2006</v>
      </c>
      <c r="AW2" s="494">
        <v>2005</v>
      </c>
      <c r="AX2" s="183">
        <v>2004</v>
      </c>
      <c r="AY2" s="52">
        <v>2003</v>
      </c>
      <c r="AZ2" s="52">
        <v>2002</v>
      </c>
      <c r="BA2" s="24">
        <v>2001</v>
      </c>
      <c r="BB2" s="495">
        <v>2006</v>
      </c>
      <c r="BC2" s="494">
        <v>2005</v>
      </c>
      <c r="BD2" s="183">
        <v>2004</v>
      </c>
      <c r="BE2" s="52">
        <v>2003</v>
      </c>
      <c r="BF2" s="52">
        <v>2002</v>
      </c>
      <c r="BG2" s="24">
        <v>2001</v>
      </c>
      <c r="BH2" s="503" t="s">
        <v>214</v>
      </c>
      <c r="BI2" s="515" t="s">
        <v>128</v>
      </c>
      <c r="BJ2" s="515" t="s">
        <v>127</v>
      </c>
      <c r="BK2" s="515" t="s">
        <v>86</v>
      </c>
      <c r="BL2" s="515" t="s">
        <v>82</v>
      </c>
      <c r="BM2" s="57" t="s">
        <v>83</v>
      </c>
    </row>
    <row r="3" spans="1:65" ht="12" thickBot="1">
      <c r="A3" s="106" t="s">
        <v>35</v>
      </c>
      <c r="B3" s="107"/>
      <c r="C3" s="107"/>
      <c r="D3" s="107"/>
      <c r="E3" s="127">
        <v>1</v>
      </c>
      <c r="F3" s="492">
        <f>SUM(F5:F25)</f>
        <v>443868.03925</v>
      </c>
      <c r="G3" s="184">
        <f>SUM(G5:G25)</f>
        <v>390284.82406</v>
      </c>
      <c r="H3" s="184">
        <f>SUM(H5:H25)</f>
        <v>320839.25635</v>
      </c>
      <c r="I3" s="109">
        <f aca="true" t="shared" si="0" ref="I3:BG3">SUM(I5:I25)</f>
        <v>253475.31058000002</v>
      </c>
      <c r="J3" s="109">
        <f t="shared" si="0"/>
        <v>218837</v>
      </c>
      <c r="K3" s="128">
        <f t="shared" si="0"/>
        <v>196338</v>
      </c>
      <c r="L3" s="492">
        <f>SUM(L5:L25)</f>
        <v>306553.69959000003</v>
      </c>
      <c r="M3" s="184">
        <f>SUM(M5:M25)</f>
        <v>270690.08832</v>
      </c>
      <c r="N3" s="184">
        <f t="shared" si="0"/>
        <v>223737.46869</v>
      </c>
      <c r="O3" s="109">
        <f t="shared" si="0"/>
        <v>165479.11658</v>
      </c>
      <c r="P3" s="109">
        <f t="shared" si="0"/>
        <v>141699</v>
      </c>
      <c r="Q3" s="128">
        <f t="shared" si="0"/>
        <v>107132</v>
      </c>
      <c r="R3" s="492">
        <f>SUM(R5:R25)</f>
        <v>124360.78399000001</v>
      </c>
      <c r="S3" s="184">
        <f>SUM(S5:S25)</f>
        <v>108378.00510999998</v>
      </c>
      <c r="T3" s="109">
        <f t="shared" si="0"/>
        <v>92577.3918</v>
      </c>
      <c r="U3" s="109">
        <f t="shared" si="0"/>
        <v>73269.43194</v>
      </c>
      <c r="V3" s="109">
        <f t="shared" si="0"/>
        <v>62604</v>
      </c>
      <c r="W3" s="128">
        <f t="shared" si="0"/>
        <v>57142</v>
      </c>
      <c r="X3" s="184">
        <f>SUM(X5:X25)</f>
        <v>178617.58143000005</v>
      </c>
      <c r="Y3" s="184">
        <f>SUM(Y5:Y25)</f>
        <v>145073.65984999997</v>
      </c>
      <c r="Z3" s="109">
        <f t="shared" si="0"/>
        <v>102463.42883</v>
      </c>
      <c r="AA3" s="109">
        <f t="shared" si="0"/>
        <v>85878.38345</v>
      </c>
      <c r="AB3" s="109">
        <f t="shared" si="0"/>
        <v>78092</v>
      </c>
      <c r="AC3" s="128">
        <f t="shared" si="0"/>
        <v>60126</v>
      </c>
      <c r="AD3" s="184">
        <f>SUM(AD5:AD25)</f>
        <v>603171.4643400001</v>
      </c>
      <c r="AE3" s="184">
        <f>SUM(AE5:AE25)</f>
        <v>535165.76335</v>
      </c>
      <c r="AF3" s="109">
        <f t="shared" si="0"/>
        <v>423608.06635</v>
      </c>
      <c r="AG3" s="109">
        <f t="shared" si="0"/>
        <v>350844.32042</v>
      </c>
      <c r="AH3" s="109">
        <f t="shared" si="0"/>
        <v>346646</v>
      </c>
      <c r="AI3" s="128">
        <f t="shared" si="0"/>
        <v>290988</v>
      </c>
      <c r="AJ3" s="184">
        <f>SUM(AJ5:AJ25)</f>
        <v>163600.51762</v>
      </c>
      <c r="AK3" s="184">
        <f>SUM(AK5:AK25)</f>
        <v>135556.55864</v>
      </c>
      <c r="AL3" s="109">
        <f t="shared" si="0"/>
        <v>117437.37977</v>
      </c>
      <c r="AM3" s="109">
        <f t="shared" si="0"/>
        <v>87965.60284999998</v>
      </c>
      <c r="AN3" s="109">
        <f t="shared" si="0"/>
        <v>84826</v>
      </c>
      <c r="AO3" s="128">
        <f t="shared" si="0"/>
        <v>62902</v>
      </c>
      <c r="AP3" s="184">
        <f>SUM(AP5:AP25)</f>
        <v>229129.80599999998</v>
      </c>
      <c r="AQ3" s="184">
        <f>SUM(AQ5:AQ25)</f>
        <v>215349.05646000008</v>
      </c>
      <c r="AR3" s="109">
        <f t="shared" si="0"/>
        <v>175570.52385000003</v>
      </c>
      <c r="AS3" s="109">
        <f t="shared" si="0"/>
        <v>144079.15304</v>
      </c>
      <c r="AT3" s="109">
        <f t="shared" si="0"/>
        <v>139711.682</v>
      </c>
      <c r="AU3" s="128">
        <f t="shared" si="0"/>
        <v>123414</v>
      </c>
      <c r="AV3" s="184">
        <f>SUM(AV5:AV25)</f>
        <v>76775.51628000001</v>
      </c>
      <c r="AW3" s="184">
        <f>SUM(AW5:AW25)</f>
        <v>67243.70159000001</v>
      </c>
      <c r="AX3" s="109">
        <f t="shared" si="0"/>
        <v>58329.548240000004</v>
      </c>
      <c r="AY3" s="109">
        <f t="shared" si="0"/>
        <v>42824.06068</v>
      </c>
      <c r="AZ3" s="109">
        <f t="shared" si="0"/>
        <v>33666</v>
      </c>
      <c r="BA3" s="128">
        <f t="shared" si="0"/>
        <v>15288</v>
      </c>
      <c r="BB3" s="184">
        <f>SUM(BB5:BB25)</f>
        <v>148165.91348999998</v>
      </c>
      <c r="BC3" s="184">
        <f>SUM(BC5:BC25)</f>
        <v>139920.70848000003</v>
      </c>
      <c r="BD3" s="109">
        <f t="shared" si="0"/>
        <v>111834.07862000003</v>
      </c>
      <c r="BE3" s="109">
        <f t="shared" si="0"/>
        <v>88486.23491999999</v>
      </c>
      <c r="BF3" s="109">
        <f t="shared" si="0"/>
        <v>71616</v>
      </c>
      <c r="BG3" s="128">
        <f t="shared" si="0"/>
        <v>57978</v>
      </c>
      <c r="BH3" s="149">
        <f>SUM(BH5:BH25)</f>
        <v>2274243.32199</v>
      </c>
      <c r="BI3" s="109">
        <f>SUM(BI5:BI25)</f>
        <v>2007662.3658600003</v>
      </c>
      <c r="BJ3" s="109">
        <v>1626397.1424999994</v>
      </c>
      <c r="BK3" s="109">
        <v>1292301.61446</v>
      </c>
      <c r="BL3" s="109">
        <v>1177697.6819999998</v>
      </c>
      <c r="BM3" s="150">
        <v>971308</v>
      </c>
    </row>
    <row r="4" spans="1:65" ht="11.25">
      <c r="A4" s="12" t="s">
        <v>10</v>
      </c>
      <c r="B4" s="13" t="s">
        <v>91</v>
      </c>
      <c r="C4" s="13"/>
      <c r="D4" s="13"/>
      <c r="E4" s="59">
        <v>2</v>
      </c>
      <c r="F4" s="61">
        <f aca="true" t="shared" si="1" ref="F4:AR4">SUM(F5:F15)</f>
        <v>304491.54439999996</v>
      </c>
      <c r="G4" s="185">
        <f>SUM(G5:G15)</f>
        <v>269972.55539000005</v>
      </c>
      <c r="H4" s="185">
        <f t="shared" si="1"/>
        <v>240253.61503000002</v>
      </c>
      <c r="I4" s="53">
        <f t="shared" si="1"/>
        <v>175368.13620000004</v>
      </c>
      <c r="J4" s="53">
        <f t="shared" si="1"/>
        <v>146678</v>
      </c>
      <c r="K4" s="14">
        <f t="shared" si="1"/>
        <v>141775</v>
      </c>
      <c r="L4" s="61">
        <f>SUM(L5:L15)</f>
        <v>225741.80105</v>
      </c>
      <c r="M4" s="185">
        <f>SUM(M5:M15)</f>
        <v>193464.92754999996</v>
      </c>
      <c r="N4" s="185">
        <f t="shared" si="1"/>
        <v>168753.66817000002</v>
      </c>
      <c r="O4" s="53">
        <f t="shared" si="1"/>
        <v>118908.93529000001</v>
      </c>
      <c r="P4" s="53">
        <f t="shared" si="1"/>
        <v>96974</v>
      </c>
      <c r="Q4" s="14">
        <f t="shared" si="1"/>
        <v>79953</v>
      </c>
      <c r="R4" s="61">
        <f>SUM(R5:R15)</f>
        <v>112827.03846000001</v>
      </c>
      <c r="S4" s="185">
        <f>SUM(S5:S15)</f>
        <v>96216.08752999999</v>
      </c>
      <c r="T4" s="53">
        <f t="shared" si="1"/>
        <v>87203.51133000001</v>
      </c>
      <c r="U4" s="53">
        <f t="shared" si="1"/>
        <v>65925.61893</v>
      </c>
      <c r="V4" s="53">
        <f t="shared" si="1"/>
        <v>59833</v>
      </c>
      <c r="W4" s="14">
        <f t="shared" si="1"/>
        <v>53145</v>
      </c>
      <c r="X4" s="61">
        <f>SUM(X5:X15)</f>
        <v>99867.80500000001</v>
      </c>
      <c r="Y4" s="185">
        <f>SUM(Y5:Y15)</f>
        <v>80791.9426</v>
      </c>
      <c r="Z4" s="53">
        <f t="shared" si="1"/>
        <v>63325.620140000006</v>
      </c>
      <c r="AA4" s="53">
        <f t="shared" si="1"/>
        <v>46542.281590000006</v>
      </c>
      <c r="AB4" s="53">
        <f t="shared" si="1"/>
        <v>50096</v>
      </c>
      <c r="AC4" s="14">
        <f t="shared" si="1"/>
        <v>34245</v>
      </c>
      <c r="AD4" s="61">
        <f>SUM(AD5:AD15)</f>
        <v>282684.15371000004</v>
      </c>
      <c r="AE4" s="185">
        <f>SUM(AE5:AE15)</f>
        <v>243115.14500000002</v>
      </c>
      <c r="AF4" s="53">
        <f t="shared" si="1"/>
        <v>231993.02394999997</v>
      </c>
      <c r="AG4" s="53">
        <f t="shared" si="1"/>
        <v>178499.89833000003</v>
      </c>
      <c r="AH4" s="53">
        <f t="shared" si="1"/>
        <v>180718</v>
      </c>
      <c r="AI4" s="14">
        <f t="shared" si="1"/>
        <v>151053</v>
      </c>
      <c r="AJ4" s="61">
        <f>SUM(AJ5:AJ15)</f>
        <v>104967.86909</v>
      </c>
      <c r="AK4" s="185">
        <f>SUM(AK5:AK15)</f>
        <v>90100.39348999999</v>
      </c>
      <c r="AL4" s="53">
        <f t="shared" si="1"/>
        <v>87286.44446000001</v>
      </c>
      <c r="AM4" s="53">
        <f t="shared" si="1"/>
        <v>63491.41041</v>
      </c>
      <c r="AN4" s="53">
        <f t="shared" si="1"/>
        <v>60947</v>
      </c>
      <c r="AO4" s="14">
        <f t="shared" si="1"/>
        <v>42711</v>
      </c>
      <c r="AP4" s="61">
        <f>SUM(AP5:AP15)</f>
        <v>187005.95036999998</v>
      </c>
      <c r="AQ4" s="185">
        <f>SUM(AQ5:AQ15)</f>
        <v>175972.58019000004</v>
      </c>
      <c r="AR4" s="53">
        <f t="shared" si="1"/>
        <v>145480.66721</v>
      </c>
      <c r="AS4" s="53">
        <f aca="true" t="shared" si="2" ref="AS4:BH4">SUM(AS5:AS15)</f>
        <v>106126.46597000002</v>
      </c>
      <c r="AT4" s="53">
        <f t="shared" si="2"/>
        <v>102823.632</v>
      </c>
      <c r="AU4" s="14">
        <f t="shared" si="2"/>
        <v>86384</v>
      </c>
      <c r="AV4" s="61">
        <f t="shared" si="2"/>
        <v>68240.77258</v>
      </c>
      <c r="AW4" s="185">
        <f>SUM(AW5:AW15)</f>
        <v>58793.74907000002</v>
      </c>
      <c r="AX4" s="53">
        <f t="shared" si="2"/>
        <v>52869.556840000005</v>
      </c>
      <c r="AY4" s="53">
        <f t="shared" si="2"/>
        <v>40248.49293000001</v>
      </c>
      <c r="AZ4" s="53">
        <f t="shared" si="2"/>
        <v>29528</v>
      </c>
      <c r="BA4" s="14">
        <f t="shared" si="2"/>
        <v>15288</v>
      </c>
      <c r="BB4" s="61">
        <f t="shared" si="2"/>
        <v>107814.60772999999</v>
      </c>
      <c r="BC4" s="185">
        <f>SUM(BC5:BC15)</f>
        <v>101121.69035000002</v>
      </c>
      <c r="BD4" s="53">
        <f t="shared" si="2"/>
        <v>91142.53857000002</v>
      </c>
      <c r="BE4" s="53">
        <f t="shared" si="2"/>
        <v>69394.27704999999</v>
      </c>
      <c r="BF4" s="53">
        <f t="shared" si="2"/>
        <v>57041</v>
      </c>
      <c r="BG4" s="14">
        <f t="shared" si="2"/>
        <v>49828</v>
      </c>
      <c r="BH4" s="154">
        <f t="shared" si="2"/>
        <v>1493641.54239</v>
      </c>
      <c r="BI4" s="53">
        <f>SUM(BI5:BI15)</f>
        <v>1309549.0711700001</v>
      </c>
      <c r="BJ4" s="53">
        <v>1168308.6457</v>
      </c>
      <c r="BK4" s="53">
        <v>864505.5167</v>
      </c>
      <c r="BL4" s="53">
        <v>784638.6319999999</v>
      </c>
      <c r="BM4" s="155">
        <v>654382</v>
      </c>
    </row>
    <row r="5" spans="1:66" s="11" customFormat="1" ht="11.25">
      <c r="A5" s="15"/>
      <c r="B5" s="16"/>
      <c r="C5" s="16" t="s">
        <v>13</v>
      </c>
      <c r="D5" s="17" t="s">
        <v>17</v>
      </c>
      <c r="E5" s="491">
        <v>3</v>
      </c>
      <c r="F5" s="191">
        <f>LF!H6/1000</f>
        <v>149038.222</v>
      </c>
      <c r="G5" s="190">
        <v>147515.63894</v>
      </c>
      <c r="H5" s="186">
        <v>129268.065</v>
      </c>
      <c r="I5" s="54">
        <v>102992.45</v>
      </c>
      <c r="J5" s="54">
        <v>83119</v>
      </c>
      <c r="K5" s="18">
        <v>82804</v>
      </c>
      <c r="L5" s="191">
        <f>'FF'!H6/1000</f>
        <v>126382.776</v>
      </c>
      <c r="M5" s="190">
        <v>108680.004</v>
      </c>
      <c r="N5" s="186">
        <v>94911.971</v>
      </c>
      <c r="O5" s="54">
        <v>65913.104</v>
      </c>
      <c r="P5" s="54">
        <v>53798</v>
      </c>
      <c r="Q5" s="18">
        <v>44448</v>
      </c>
      <c r="R5" s="191">
        <f>PrF!H6/1000</f>
        <v>55341.594</v>
      </c>
      <c r="S5" s="190">
        <v>47564.913</v>
      </c>
      <c r="T5" s="54">
        <v>41570.54</v>
      </c>
      <c r="U5" s="54">
        <v>30879.893</v>
      </c>
      <c r="V5" s="54">
        <v>27847</v>
      </c>
      <c r="W5" s="18">
        <v>25127</v>
      </c>
      <c r="X5" s="191">
        <f>FSS!H6/1000</f>
        <v>50635.99753</v>
      </c>
      <c r="Y5" s="190">
        <v>38727.163</v>
      </c>
      <c r="Z5" s="54">
        <v>28932.364</v>
      </c>
      <c r="AA5" s="54">
        <v>24074.431</v>
      </c>
      <c r="AB5" s="54">
        <v>21001</v>
      </c>
      <c r="AC5" s="18">
        <v>15157</v>
      </c>
      <c r="AD5" s="191">
        <f>PřF!H6/1000</f>
        <v>114784.0234</v>
      </c>
      <c r="AE5" s="190">
        <v>104498.26095</v>
      </c>
      <c r="AF5" s="54">
        <v>112667.8782</v>
      </c>
      <c r="AG5" s="54">
        <v>100908.543</v>
      </c>
      <c r="AH5" s="54">
        <v>94156</v>
      </c>
      <c r="AI5" s="18">
        <v>73656</v>
      </c>
      <c r="AJ5" s="191">
        <f>'FI'!H6/1000</f>
        <v>41450.955</v>
      </c>
      <c r="AK5" s="190">
        <v>39185.843</v>
      </c>
      <c r="AL5" s="54">
        <v>31536.054</v>
      </c>
      <c r="AM5" s="54">
        <v>26885.831</v>
      </c>
      <c r="AN5" s="54">
        <v>21410</v>
      </c>
      <c r="AO5" s="18">
        <v>16998</v>
      </c>
      <c r="AP5" s="191">
        <f>PdF!H6/1000</f>
        <v>102027.101</v>
      </c>
      <c r="AQ5" s="190">
        <v>97836.267</v>
      </c>
      <c r="AR5" s="54">
        <v>80242.235</v>
      </c>
      <c r="AS5" s="54">
        <v>61621.762</v>
      </c>
      <c r="AT5" s="54">
        <v>58342.91</v>
      </c>
      <c r="AU5" s="18">
        <v>51750</v>
      </c>
      <c r="AV5" s="191">
        <f>FSpS!H6/1000</f>
        <v>34695.744</v>
      </c>
      <c r="AW5" s="190">
        <v>29261.963</v>
      </c>
      <c r="AX5" s="54">
        <v>23627.4545</v>
      </c>
      <c r="AY5" s="54">
        <v>17834.008</v>
      </c>
      <c r="AZ5" s="54">
        <v>14388</v>
      </c>
      <c r="BA5" s="18">
        <v>6608</v>
      </c>
      <c r="BB5" s="191">
        <f>ESF!H6/1000</f>
        <v>55975.438</v>
      </c>
      <c r="BC5" s="190">
        <v>51373.4</v>
      </c>
      <c r="BD5" s="54">
        <v>44832.119</v>
      </c>
      <c r="BE5" s="54">
        <v>34763.047</v>
      </c>
      <c r="BF5" s="54">
        <v>28501</v>
      </c>
      <c r="BG5" s="18">
        <v>25319</v>
      </c>
      <c r="BH5" s="159">
        <f>F5+L5+R5+X5+AD5+AJ5+AP5+AV5+BB5</f>
        <v>730331.85093</v>
      </c>
      <c r="BI5" s="54">
        <f>G5+M5+S5+Y5+AE5+AK5+AQ5+AW5+BC5</f>
        <v>664643.45289</v>
      </c>
      <c r="BJ5" s="54">
        <v>587588.6806999999</v>
      </c>
      <c r="BK5" s="54">
        <v>465873.069</v>
      </c>
      <c r="BL5" s="54">
        <v>402562.91</v>
      </c>
      <c r="BM5" s="160">
        <v>341867</v>
      </c>
      <c r="BN5" s="19"/>
    </row>
    <row r="6" spans="1:65" s="11" customFormat="1" ht="11.25">
      <c r="A6" s="15"/>
      <c r="B6" s="16"/>
      <c r="C6" s="16"/>
      <c r="D6" s="17" t="s">
        <v>18</v>
      </c>
      <c r="E6" s="60">
        <v>4</v>
      </c>
      <c r="F6" s="191">
        <f>LF!H7/1000</f>
        <v>3518.824</v>
      </c>
      <c r="G6" s="190">
        <v>4350.3625999999995</v>
      </c>
      <c r="H6" s="186">
        <v>4917.383</v>
      </c>
      <c r="I6" s="54">
        <v>2560.611</v>
      </c>
      <c r="J6" s="54">
        <v>1837</v>
      </c>
      <c r="K6" s="18">
        <v>1621</v>
      </c>
      <c r="L6" s="191">
        <f>'FF'!H7/1000</f>
        <v>4130.603</v>
      </c>
      <c r="M6" s="190">
        <v>3448.64</v>
      </c>
      <c r="N6" s="186">
        <v>3082.528</v>
      </c>
      <c r="O6" s="54">
        <v>3200.828</v>
      </c>
      <c r="P6" s="54">
        <v>1855</v>
      </c>
      <c r="Q6" s="18">
        <v>1454</v>
      </c>
      <c r="R6" s="191">
        <f>PrF!H7/1000</f>
        <v>1461.134</v>
      </c>
      <c r="S6" s="190">
        <v>1115.203</v>
      </c>
      <c r="T6" s="54">
        <v>679.056</v>
      </c>
      <c r="U6" s="54">
        <v>1104.695</v>
      </c>
      <c r="V6" s="54">
        <v>1116</v>
      </c>
      <c r="W6" s="18">
        <v>501</v>
      </c>
      <c r="X6" s="191">
        <f>FSS!H7/1000</f>
        <v>1812.88</v>
      </c>
      <c r="Y6" s="190">
        <v>1872.569</v>
      </c>
      <c r="Z6" s="54">
        <v>991</v>
      </c>
      <c r="AA6" s="54">
        <v>983.35</v>
      </c>
      <c r="AB6" s="54">
        <v>842</v>
      </c>
      <c r="AC6" s="18">
        <v>791</v>
      </c>
      <c r="AD6" s="191">
        <f>PřF!H7/1000</f>
        <v>1975.951</v>
      </c>
      <c r="AE6" s="190">
        <v>1474.903</v>
      </c>
      <c r="AF6" s="54">
        <v>1011.178</v>
      </c>
      <c r="AG6" s="54">
        <v>1371.13</v>
      </c>
      <c r="AH6" s="54">
        <v>1329</v>
      </c>
      <c r="AI6" s="18">
        <v>941</v>
      </c>
      <c r="AJ6" s="191">
        <f>'FI'!H7/1000</f>
        <v>1661.205</v>
      </c>
      <c r="AK6" s="190">
        <v>1235.109</v>
      </c>
      <c r="AL6" s="54">
        <v>1184.82</v>
      </c>
      <c r="AM6" s="54">
        <v>1410.879</v>
      </c>
      <c r="AN6" s="54">
        <v>1279</v>
      </c>
      <c r="AO6" s="18">
        <v>998</v>
      </c>
      <c r="AP6" s="191">
        <f>PdF!H7/1000</f>
        <v>6300.487</v>
      </c>
      <c r="AQ6" s="190">
        <v>6825.662</v>
      </c>
      <c r="AR6" s="54">
        <v>5825.757</v>
      </c>
      <c r="AS6" s="54">
        <v>3276.619</v>
      </c>
      <c r="AT6" s="54">
        <v>3926.184</v>
      </c>
      <c r="AU6" s="18">
        <v>1779</v>
      </c>
      <c r="AV6" s="191">
        <f>FSpS!H7/1000</f>
        <v>1441.708</v>
      </c>
      <c r="AW6" s="190">
        <v>1357.441</v>
      </c>
      <c r="AX6" s="54">
        <v>1059.744</v>
      </c>
      <c r="AY6" s="54">
        <v>798.463</v>
      </c>
      <c r="AZ6" s="54">
        <v>504</v>
      </c>
      <c r="BA6" s="18">
        <v>141</v>
      </c>
      <c r="BB6" s="191">
        <f>ESF!H7/1000</f>
        <v>2466.369</v>
      </c>
      <c r="BC6" s="190">
        <v>2522.479</v>
      </c>
      <c r="BD6" s="54">
        <v>1895.485</v>
      </c>
      <c r="BE6" s="54">
        <v>1650.004</v>
      </c>
      <c r="BF6" s="54">
        <v>1134</v>
      </c>
      <c r="BG6" s="18">
        <v>1058</v>
      </c>
      <c r="BH6" s="159">
        <f aca="true" t="shared" si="3" ref="BH6:BI25">F6+L6+R6+X6+AD6+AJ6+AP6+AV6+BB6</f>
        <v>24769.160999999996</v>
      </c>
      <c r="BI6" s="54">
        <f t="shared" si="3"/>
        <v>24202.368599999998</v>
      </c>
      <c r="BJ6" s="54">
        <v>20646.951</v>
      </c>
      <c r="BK6" s="54">
        <v>16356.579000000002</v>
      </c>
      <c r="BL6" s="54">
        <v>13822.184000000001</v>
      </c>
      <c r="BM6" s="160">
        <v>9284</v>
      </c>
    </row>
    <row r="7" spans="1:65" s="11" customFormat="1" ht="11.25">
      <c r="A7" s="15"/>
      <c r="B7" s="16"/>
      <c r="C7" s="16"/>
      <c r="D7" s="17" t="s">
        <v>19</v>
      </c>
      <c r="E7" s="60">
        <v>5</v>
      </c>
      <c r="F7" s="191">
        <f>LF!H8/1000</f>
        <v>52496.431950000006</v>
      </c>
      <c r="G7" s="190">
        <v>51846.537840000005</v>
      </c>
      <c r="H7" s="186">
        <v>45097.327</v>
      </c>
      <c r="I7" s="54">
        <v>35848.147</v>
      </c>
      <c r="J7" s="54">
        <v>28891</v>
      </c>
      <c r="K7" s="18">
        <v>28809</v>
      </c>
      <c r="L7" s="191">
        <f>'FF'!H8/1000</f>
        <v>44608.699</v>
      </c>
      <c r="M7" s="190">
        <v>38341.226</v>
      </c>
      <c r="N7" s="186">
        <v>33326.008</v>
      </c>
      <c r="O7" s="54">
        <v>23113.725</v>
      </c>
      <c r="P7" s="54">
        <v>18783</v>
      </c>
      <c r="Q7" s="18">
        <v>15438</v>
      </c>
      <c r="R7" s="191">
        <f>PrF!H8/1000</f>
        <v>19632.682</v>
      </c>
      <c r="S7" s="190">
        <v>16842.423</v>
      </c>
      <c r="T7" s="54">
        <v>14577.874</v>
      </c>
      <c r="U7" s="54">
        <v>10910.098699999999</v>
      </c>
      <c r="V7" s="54">
        <v>9920</v>
      </c>
      <c r="W7" s="18">
        <v>8524</v>
      </c>
      <c r="X7" s="191">
        <f>FSS!H8/1000</f>
        <v>17814.142920000002</v>
      </c>
      <c r="Y7" s="190">
        <v>13820.707</v>
      </c>
      <c r="Z7" s="54">
        <v>10177.611</v>
      </c>
      <c r="AA7" s="54">
        <v>8393.533</v>
      </c>
      <c r="AB7" s="54">
        <v>7293</v>
      </c>
      <c r="AC7" s="18">
        <v>5298</v>
      </c>
      <c r="AD7" s="191">
        <f>PřF!H8/1000</f>
        <v>40269.500700000004</v>
      </c>
      <c r="AE7" s="190">
        <v>36944.294</v>
      </c>
      <c r="AF7" s="54">
        <v>39251.901</v>
      </c>
      <c r="AG7" s="54">
        <v>35188.107</v>
      </c>
      <c r="AH7" s="54">
        <v>32862</v>
      </c>
      <c r="AI7" s="18">
        <v>25649</v>
      </c>
      <c r="AJ7" s="191">
        <f>'FI'!H8/1000</f>
        <v>14722.34</v>
      </c>
      <c r="AK7" s="190">
        <v>13853.833</v>
      </c>
      <c r="AL7" s="54">
        <v>11069.846</v>
      </c>
      <c r="AM7" s="54">
        <v>9450.707</v>
      </c>
      <c r="AN7" s="54">
        <v>7526</v>
      </c>
      <c r="AO7" s="18">
        <v>6053</v>
      </c>
      <c r="AP7" s="191">
        <f>PdF!H8/1000</f>
        <v>36053.696</v>
      </c>
      <c r="AQ7" s="190">
        <v>34634.605</v>
      </c>
      <c r="AR7" s="54">
        <v>28217.167</v>
      </c>
      <c r="AS7" s="54">
        <v>21342.415</v>
      </c>
      <c r="AT7" s="54">
        <v>20442.42</v>
      </c>
      <c r="AU7" s="18">
        <v>17875</v>
      </c>
      <c r="AV7" s="191">
        <f>FSpS!H8/1000</f>
        <v>12157.033</v>
      </c>
      <c r="AW7" s="190">
        <v>10158.911</v>
      </c>
      <c r="AX7" s="54">
        <v>8286.319</v>
      </c>
      <c r="AY7" s="54">
        <v>6273.634</v>
      </c>
      <c r="AZ7" s="54">
        <v>5039</v>
      </c>
      <c r="BA7" s="18">
        <v>2307</v>
      </c>
      <c r="BB7" s="191">
        <f>ESF!H8/1000</f>
        <v>20001.109</v>
      </c>
      <c r="BC7" s="190">
        <v>18170.12356</v>
      </c>
      <c r="BD7" s="54">
        <v>15888.537</v>
      </c>
      <c r="BE7" s="54">
        <v>12195.715699999999</v>
      </c>
      <c r="BF7" s="54">
        <v>9941</v>
      </c>
      <c r="BG7" s="18">
        <v>8790</v>
      </c>
      <c r="BH7" s="159">
        <f t="shared" si="3"/>
        <v>257755.63457</v>
      </c>
      <c r="BI7" s="54">
        <f t="shared" si="3"/>
        <v>234612.66040000002</v>
      </c>
      <c r="BJ7" s="54">
        <v>205892.59</v>
      </c>
      <c r="BK7" s="54">
        <v>162716.08239999998</v>
      </c>
      <c r="BL7" s="54">
        <v>140697.42</v>
      </c>
      <c r="BM7" s="160">
        <v>118743</v>
      </c>
    </row>
    <row r="8" spans="1:65" s="11" customFormat="1" ht="11.25">
      <c r="A8" s="15"/>
      <c r="B8" s="16"/>
      <c r="C8" s="16"/>
      <c r="D8" s="17" t="s">
        <v>0</v>
      </c>
      <c r="E8" s="60">
        <v>6</v>
      </c>
      <c r="F8" s="191">
        <f>LF!H9/1000</f>
        <v>8234.84102</v>
      </c>
      <c r="G8" s="190">
        <v>7100.75055</v>
      </c>
      <c r="H8" s="186">
        <v>6698.36781</v>
      </c>
      <c r="I8" s="54">
        <v>3551.22256</v>
      </c>
      <c r="J8" s="54">
        <v>5351</v>
      </c>
      <c r="K8" s="18">
        <v>5331</v>
      </c>
      <c r="L8" s="191">
        <f>'FF'!H9/1000</f>
        <v>5220.27601</v>
      </c>
      <c r="M8" s="190">
        <v>4014.88598</v>
      </c>
      <c r="N8" s="186">
        <v>3282.51669</v>
      </c>
      <c r="O8" s="54">
        <v>2663.23076</v>
      </c>
      <c r="P8" s="54">
        <v>4089</v>
      </c>
      <c r="Q8" s="18">
        <v>2911</v>
      </c>
      <c r="R8" s="191">
        <f>PrF!H9/1000</f>
        <v>3439.09521</v>
      </c>
      <c r="S8" s="190">
        <v>3680.8676800000003</v>
      </c>
      <c r="T8" s="54">
        <v>3853.43597</v>
      </c>
      <c r="U8" s="54">
        <v>3629.3596000000002</v>
      </c>
      <c r="V8" s="54">
        <v>3635</v>
      </c>
      <c r="W8" s="18">
        <v>4400</v>
      </c>
      <c r="X8" s="191">
        <f>FSS!H9/1000</f>
        <v>1988.5701999999999</v>
      </c>
      <c r="Y8" s="190">
        <v>1205.21515</v>
      </c>
      <c r="Z8" s="54">
        <v>1100.33278</v>
      </c>
      <c r="AA8" s="54">
        <v>0.924</v>
      </c>
      <c r="AB8" s="54">
        <v>974</v>
      </c>
      <c r="AC8" s="18">
        <v>1080</v>
      </c>
      <c r="AD8" s="191">
        <f>PřF!H9/1000</f>
        <v>15627.226869999999</v>
      </c>
      <c r="AE8" s="190">
        <v>9130.61031</v>
      </c>
      <c r="AF8" s="54">
        <v>9172.50044</v>
      </c>
      <c r="AG8" s="54">
        <v>9969.22167</v>
      </c>
      <c r="AH8" s="54">
        <v>10936</v>
      </c>
      <c r="AI8" s="18">
        <v>11323</v>
      </c>
      <c r="AJ8" s="191">
        <f>'FI'!H9/1000</f>
        <v>3197.0415</v>
      </c>
      <c r="AK8" s="190">
        <v>2797.6451</v>
      </c>
      <c r="AL8" s="54">
        <v>3660.13258</v>
      </c>
      <c r="AM8" s="54">
        <v>2989.5704</v>
      </c>
      <c r="AN8" s="54">
        <v>3894</v>
      </c>
      <c r="AO8" s="18">
        <v>3737</v>
      </c>
      <c r="AP8" s="191">
        <f>PdF!H9/1000</f>
        <v>3714.04308</v>
      </c>
      <c r="AQ8" s="190">
        <v>3497.03748</v>
      </c>
      <c r="AR8" s="54">
        <v>3370.00864</v>
      </c>
      <c r="AS8" s="54">
        <v>3556.9673900000003</v>
      </c>
      <c r="AT8" s="54">
        <v>3232.574</v>
      </c>
      <c r="AU8" s="18">
        <v>2556</v>
      </c>
      <c r="AV8" s="191">
        <f>FSpS!H9/1000</f>
        <v>3412.2544199999998</v>
      </c>
      <c r="AW8" s="190">
        <v>2991.857</v>
      </c>
      <c r="AX8" s="54">
        <v>2671.0559399999997</v>
      </c>
      <c r="AY8" s="54">
        <v>2375.38218</v>
      </c>
      <c r="AZ8" s="54">
        <v>2007</v>
      </c>
      <c r="BA8" s="18">
        <v>951</v>
      </c>
      <c r="BB8" s="191">
        <f>ESF!H9/1000</f>
        <v>1466.25175</v>
      </c>
      <c r="BC8" s="190">
        <v>1369.37044</v>
      </c>
      <c r="BD8" s="54">
        <v>1341.8128000000002</v>
      </c>
      <c r="BE8" s="54">
        <v>1411.0036200000002</v>
      </c>
      <c r="BF8" s="54">
        <v>1565</v>
      </c>
      <c r="BG8" s="18">
        <v>1643</v>
      </c>
      <c r="BH8" s="159">
        <f t="shared" si="3"/>
        <v>46299.60006</v>
      </c>
      <c r="BI8" s="54">
        <f t="shared" si="3"/>
        <v>35788.23969</v>
      </c>
      <c r="BJ8" s="54">
        <v>35150.16365</v>
      </c>
      <c r="BK8" s="54">
        <v>30146.882180000004</v>
      </c>
      <c r="BL8" s="54">
        <v>35683.574</v>
      </c>
      <c r="BM8" s="160">
        <v>33932</v>
      </c>
    </row>
    <row r="9" spans="1:65" s="11" customFormat="1" ht="11.25">
      <c r="A9" s="15"/>
      <c r="B9" s="16"/>
      <c r="C9" s="16"/>
      <c r="D9" s="17" t="s">
        <v>1</v>
      </c>
      <c r="E9" s="60">
        <v>7</v>
      </c>
      <c r="F9" s="191">
        <f>LF!H10/1000</f>
        <v>3283.50212</v>
      </c>
      <c r="G9" s="190">
        <v>2461.2877200000003</v>
      </c>
      <c r="H9" s="186">
        <v>3355.22033</v>
      </c>
      <c r="I9" s="54">
        <v>1912.92035</v>
      </c>
      <c r="J9" s="54">
        <v>2705</v>
      </c>
      <c r="K9" s="18">
        <v>1766</v>
      </c>
      <c r="L9" s="191">
        <f>'FF'!H10/1000</f>
        <v>1049.11323</v>
      </c>
      <c r="M9" s="190">
        <v>1788.30206</v>
      </c>
      <c r="N9" s="186">
        <v>1203.8391000000001</v>
      </c>
      <c r="O9" s="54">
        <v>367.7938</v>
      </c>
      <c r="P9" s="54">
        <v>507</v>
      </c>
      <c r="Q9" s="18">
        <v>263</v>
      </c>
      <c r="R9" s="191">
        <f>PrF!H10/1000</f>
        <v>2208.6691</v>
      </c>
      <c r="S9" s="190">
        <v>1138.0131999999999</v>
      </c>
      <c r="T9" s="54">
        <v>2242.99764</v>
      </c>
      <c r="U9" s="54">
        <v>1987.18776</v>
      </c>
      <c r="V9" s="54">
        <v>1392</v>
      </c>
      <c r="W9" s="18">
        <v>1465</v>
      </c>
      <c r="X9" s="191">
        <f>FSS!H10/1000</f>
        <v>983.76611</v>
      </c>
      <c r="Y9" s="190">
        <v>397.55388</v>
      </c>
      <c r="Z9" s="54">
        <v>344.98114000000004</v>
      </c>
      <c r="AA9" s="54">
        <v>486.29955</v>
      </c>
      <c r="AB9" s="54">
        <v>711</v>
      </c>
      <c r="AC9" s="18">
        <v>273</v>
      </c>
      <c r="AD9" s="191">
        <f>PřF!H10/1000</f>
        <v>1402.28737</v>
      </c>
      <c r="AE9" s="190">
        <v>462.64014000000003</v>
      </c>
      <c r="AF9" s="54">
        <v>1498.7333</v>
      </c>
      <c r="AG9" s="54">
        <v>1431.50039</v>
      </c>
      <c r="AH9" s="54">
        <v>2330</v>
      </c>
      <c r="AI9" s="18">
        <v>2982</v>
      </c>
      <c r="AJ9" s="191">
        <f>'FI'!H10/1000</f>
        <v>2243.6539700000003</v>
      </c>
      <c r="AK9" s="190">
        <v>990.9440999999999</v>
      </c>
      <c r="AL9" s="54">
        <v>1717.1376</v>
      </c>
      <c r="AM9" s="54">
        <v>759.3465</v>
      </c>
      <c r="AN9" s="54">
        <v>1009</v>
      </c>
      <c r="AO9" s="18">
        <v>384</v>
      </c>
      <c r="AP9" s="191">
        <f>PdF!H10/1000</f>
        <v>2319.46477</v>
      </c>
      <c r="AQ9" s="190">
        <v>3317.98031</v>
      </c>
      <c r="AR9" s="54">
        <v>2192.32201</v>
      </c>
      <c r="AS9" s="54">
        <v>793.4470600000001</v>
      </c>
      <c r="AT9" s="54">
        <v>2259.803</v>
      </c>
      <c r="AU9" s="18">
        <v>1663</v>
      </c>
      <c r="AV9" s="191">
        <f>FSpS!H10/1000</f>
        <v>241.93311</v>
      </c>
      <c r="AW9" s="190">
        <v>249.99435</v>
      </c>
      <c r="AX9" s="54">
        <v>385.3126</v>
      </c>
      <c r="AY9" s="54">
        <v>687.8247</v>
      </c>
      <c r="AZ9" s="54">
        <v>373</v>
      </c>
      <c r="BA9" s="18">
        <v>185</v>
      </c>
      <c r="BB9" s="191">
        <f>ESF!H10/1000</f>
        <v>866.16225</v>
      </c>
      <c r="BC9" s="190">
        <v>540.9791700000001</v>
      </c>
      <c r="BD9" s="54">
        <v>407.49665999999996</v>
      </c>
      <c r="BE9" s="54">
        <v>266.6115</v>
      </c>
      <c r="BF9" s="54">
        <v>269</v>
      </c>
      <c r="BG9" s="18">
        <v>317</v>
      </c>
      <c r="BH9" s="159">
        <f t="shared" si="3"/>
        <v>14598.55203</v>
      </c>
      <c r="BI9" s="54">
        <f t="shared" si="3"/>
        <v>11347.694930000001</v>
      </c>
      <c r="BJ9" s="54">
        <v>13348.04038</v>
      </c>
      <c r="BK9" s="54">
        <v>8692.93161</v>
      </c>
      <c r="BL9" s="54">
        <v>11555.803</v>
      </c>
      <c r="BM9" s="160">
        <v>9298</v>
      </c>
    </row>
    <row r="10" spans="1:65" s="11" customFormat="1" ht="11.25">
      <c r="A10" s="15"/>
      <c r="B10" s="16"/>
      <c r="C10" s="16"/>
      <c r="D10" s="17" t="s">
        <v>2</v>
      </c>
      <c r="E10" s="60">
        <v>8</v>
      </c>
      <c r="F10" s="191">
        <f>LF!H11/1000</f>
        <v>15011.76597</v>
      </c>
      <c r="G10" s="190">
        <v>11862.52914</v>
      </c>
      <c r="H10" s="186">
        <v>10524.78768</v>
      </c>
      <c r="I10" s="54">
        <v>8826.877859999999</v>
      </c>
      <c r="J10" s="54">
        <v>10808</v>
      </c>
      <c r="K10" s="18">
        <v>8246</v>
      </c>
      <c r="L10" s="191">
        <f>'FF'!H11/1000</f>
        <v>12471.967</v>
      </c>
      <c r="M10" s="190">
        <v>10567.89487</v>
      </c>
      <c r="N10" s="186">
        <v>11730.64085</v>
      </c>
      <c r="O10" s="54">
        <v>8569.194599999999</v>
      </c>
      <c r="P10" s="54">
        <v>5691</v>
      </c>
      <c r="Q10" s="18">
        <v>4731</v>
      </c>
      <c r="R10" s="191">
        <f>PrF!H11/1000</f>
        <v>12366.07123</v>
      </c>
      <c r="S10" s="190">
        <v>13307.428619999999</v>
      </c>
      <c r="T10" s="54">
        <v>12587.883240000001</v>
      </c>
      <c r="U10" s="54">
        <v>9216.60857</v>
      </c>
      <c r="V10" s="54">
        <v>8022</v>
      </c>
      <c r="W10" s="18">
        <v>4035</v>
      </c>
      <c r="X10" s="191">
        <f>FSS!H11/1000</f>
        <v>6206.241940000001</v>
      </c>
      <c r="Y10" s="190">
        <v>11865.242779999999</v>
      </c>
      <c r="Z10" s="54">
        <v>11835.23582</v>
      </c>
      <c r="AA10" s="54">
        <v>6140.28261</v>
      </c>
      <c r="AB10" s="54">
        <v>11908</v>
      </c>
      <c r="AC10" s="18">
        <v>5824</v>
      </c>
      <c r="AD10" s="191">
        <f>PřF!H11/1000</f>
        <v>15146.25382</v>
      </c>
      <c r="AE10" s="190">
        <v>14877.57321</v>
      </c>
      <c r="AF10" s="54">
        <v>11369.624619999999</v>
      </c>
      <c r="AG10" s="54">
        <v>11984.341480000001</v>
      </c>
      <c r="AH10" s="54">
        <v>10467</v>
      </c>
      <c r="AI10" s="18">
        <v>12829</v>
      </c>
      <c r="AJ10" s="191">
        <f>'FI'!H11/1000</f>
        <v>7528.88644</v>
      </c>
      <c r="AK10" s="190">
        <v>10078.03257</v>
      </c>
      <c r="AL10" s="54">
        <v>17189.06338</v>
      </c>
      <c r="AM10" s="54">
        <v>13658.90731</v>
      </c>
      <c r="AN10" s="54">
        <v>12858</v>
      </c>
      <c r="AO10" s="18">
        <v>6845</v>
      </c>
      <c r="AP10" s="191">
        <f>PdF!H11/1000</f>
        <v>10742.12965</v>
      </c>
      <c r="AQ10" s="190">
        <v>10657.40955</v>
      </c>
      <c r="AR10" s="54">
        <v>10298.80919</v>
      </c>
      <c r="AS10" s="54">
        <v>5964.14146</v>
      </c>
      <c r="AT10" s="54">
        <v>5311.235</v>
      </c>
      <c r="AU10" s="18">
        <v>2372</v>
      </c>
      <c r="AV10" s="191">
        <f>FSpS!H11/1000</f>
        <v>3655.1673100000003</v>
      </c>
      <c r="AW10" s="190">
        <v>4574.99023</v>
      </c>
      <c r="AX10" s="54">
        <v>4477.915650000001</v>
      </c>
      <c r="AY10" s="54">
        <v>4634.71421</v>
      </c>
      <c r="AZ10" s="54">
        <v>2105</v>
      </c>
      <c r="BA10" s="18">
        <v>1723</v>
      </c>
      <c r="BB10" s="191">
        <f>ESF!H11/1000</f>
        <v>6322.12853</v>
      </c>
      <c r="BC10" s="190">
        <v>7438.594349999999</v>
      </c>
      <c r="BD10" s="54">
        <v>8344.85451</v>
      </c>
      <c r="BE10" s="54">
        <v>7103.7097699999995</v>
      </c>
      <c r="BF10" s="54">
        <v>5383</v>
      </c>
      <c r="BG10" s="18">
        <v>3861</v>
      </c>
      <c r="BH10" s="159">
        <f t="shared" si="3"/>
        <v>89450.61189</v>
      </c>
      <c r="BI10" s="54">
        <f t="shared" si="3"/>
        <v>95229.69532</v>
      </c>
      <c r="BJ10" s="54">
        <v>98358.81494</v>
      </c>
      <c r="BK10" s="54">
        <v>76098.77787</v>
      </c>
      <c r="BL10" s="54">
        <v>72553.235</v>
      </c>
      <c r="BM10" s="160">
        <v>50466</v>
      </c>
    </row>
    <row r="11" spans="1:65" s="11" customFormat="1" ht="11.25">
      <c r="A11" s="15"/>
      <c r="B11" s="16"/>
      <c r="C11" s="16"/>
      <c r="D11" s="17" t="s">
        <v>3</v>
      </c>
      <c r="E11" s="60">
        <v>9</v>
      </c>
      <c r="F11" s="191">
        <f>LF!H12/1000</f>
        <v>13399.729800000001</v>
      </c>
      <c r="G11" s="190">
        <v>10649.34538</v>
      </c>
      <c r="H11" s="186">
        <v>10702.774519999999</v>
      </c>
      <c r="I11" s="54">
        <v>7194.72171</v>
      </c>
      <c r="J11" s="54">
        <v>6369</v>
      </c>
      <c r="K11" s="18">
        <v>7440</v>
      </c>
      <c r="L11" s="191">
        <f>'FF'!H12/1000</f>
        <v>9065.370630000001</v>
      </c>
      <c r="M11" s="190">
        <v>8547.760380000002</v>
      </c>
      <c r="N11" s="186">
        <v>6782.82766</v>
      </c>
      <c r="O11" s="54">
        <v>7550.49738</v>
      </c>
      <c r="P11" s="54">
        <v>7408</v>
      </c>
      <c r="Q11" s="18">
        <v>6308</v>
      </c>
      <c r="R11" s="191">
        <f>PrF!H12/1000</f>
        <v>8589.15949</v>
      </c>
      <c r="S11" s="190">
        <v>7591.682059999999</v>
      </c>
      <c r="T11" s="54">
        <v>5987.11912</v>
      </c>
      <c r="U11" s="54">
        <v>5350.566809999999</v>
      </c>
      <c r="V11" s="54">
        <v>5294</v>
      </c>
      <c r="W11" s="18">
        <v>4551</v>
      </c>
      <c r="X11" s="191">
        <f>FSS!H12/1000</f>
        <v>5524.1399</v>
      </c>
      <c r="Y11" s="190">
        <v>6767.86572</v>
      </c>
      <c r="Z11" s="54">
        <v>4742.13767</v>
      </c>
      <c r="AA11" s="54">
        <v>3870.44634</v>
      </c>
      <c r="AB11" s="54">
        <v>4977</v>
      </c>
      <c r="AC11" s="18">
        <v>3999</v>
      </c>
      <c r="AD11" s="191">
        <f>PřF!H12/1000</f>
        <v>12266.252</v>
      </c>
      <c r="AE11" s="190">
        <v>12562.90115</v>
      </c>
      <c r="AF11" s="54">
        <v>6458.87178</v>
      </c>
      <c r="AG11" s="54">
        <v>9015.45593</v>
      </c>
      <c r="AH11" s="54">
        <v>7240</v>
      </c>
      <c r="AI11" s="18">
        <v>9480</v>
      </c>
      <c r="AJ11" s="191">
        <f>'FI'!H12/1000</f>
        <v>4252.91866</v>
      </c>
      <c r="AK11" s="190">
        <v>7059.44303</v>
      </c>
      <c r="AL11" s="54">
        <v>5563.72193</v>
      </c>
      <c r="AM11" s="54">
        <v>3795.42065</v>
      </c>
      <c r="AN11" s="54">
        <v>6449</v>
      </c>
      <c r="AO11" s="18">
        <v>2992</v>
      </c>
      <c r="AP11" s="191">
        <f>PdF!H12/1000</f>
        <v>10564.531140000001</v>
      </c>
      <c r="AQ11" s="190">
        <v>10530.70965</v>
      </c>
      <c r="AR11" s="54">
        <v>8314.01236</v>
      </c>
      <c r="AS11" s="54">
        <v>6378.64031</v>
      </c>
      <c r="AT11" s="54">
        <v>6443.758</v>
      </c>
      <c r="AU11" s="18">
        <v>5658</v>
      </c>
      <c r="AV11" s="191">
        <f>FSpS!H12/1000</f>
        <v>6759.1957</v>
      </c>
      <c r="AW11" s="190">
        <v>6439.39521</v>
      </c>
      <c r="AX11" s="54">
        <v>8788.8902</v>
      </c>
      <c r="AY11" s="54">
        <v>5687.37582</v>
      </c>
      <c r="AZ11" s="54">
        <v>3819</v>
      </c>
      <c r="BA11" s="18">
        <v>2677</v>
      </c>
      <c r="BB11" s="191">
        <f>ESF!H12/1000</f>
        <v>7294.96202</v>
      </c>
      <c r="BC11" s="190">
        <v>8541.29231</v>
      </c>
      <c r="BD11" s="54">
        <v>8491.515449999999</v>
      </c>
      <c r="BE11" s="54">
        <v>7609.78993</v>
      </c>
      <c r="BF11" s="54">
        <v>5988</v>
      </c>
      <c r="BG11" s="18">
        <v>5305</v>
      </c>
      <c r="BH11" s="159">
        <f t="shared" si="3"/>
        <v>77716.25934000002</v>
      </c>
      <c r="BI11" s="54">
        <f t="shared" si="3"/>
        <v>78690.39489000001</v>
      </c>
      <c r="BJ11" s="54">
        <v>65831.87069</v>
      </c>
      <c r="BK11" s="54">
        <v>56452.91488</v>
      </c>
      <c r="BL11" s="54">
        <v>53987.758</v>
      </c>
      <c r="BM11" s="160">
        <v>48410</v>
      </c>
    </row>
    <row r="12" spans="1:65" s="11" customFormat="1" ht="11.25">
      <c r="A12" s="15"/>
      <c r="B12" s="16"/>
      <c r="C12" s="16"/>
      <c r="D12" s="17" t="s">
        <v>4</v>
      </c>
      <c r="E12" s="60">
        <v>10</v>
      </c>
      <c r="F12" s="191">
        <f>LF!H13/1000</f>
        <v>880.59392</v>
      </c>
      <c r="G12" s="190">
        <v>463.05151</v>
      </c>
      <c r="H12" s="186">
        <v>769.0147099999999</v>
      </c>
      <c r="I12" s="54">
        <v>1226.10398</v>
      </c>
      <c r="J12" s="54">
        <v>515</v>
      </c>
      <c r="K12" s="18">
        <v>902</v>
      </c>
      <c r="L12" s="191">
        <f>'FF'!H13/1000</f>
        <v>1457.36639</v>
      </c>
      <c r="M12" s="190">
        <v>1199.8111999999999</v>
      </c>
      <c r="N12" s="186">
        <v>878.41145</v>
      </c>
      <c r="O12" s="54">
        <v>609.29391</v>
      </c>
      <c r="P12" s="54">
        <v>441</v>
      </c>
      <c r="Q12" s="18">
        <v>863</v>
      </c>
      <c r="R12" s="191">
        <f>PrF!H13/1000</f>
        <v>574.3606500000001</v>
      </c>
      <c r="S12" s="190">
        <v>328.14384</v>
      </c>
      <c r="T12" s="54">
        <v>246.10997</v>
      </c>
      <c r="U12" s="54">
        <v>273.84389</v>
      </c>
      <c r="V12" s="54">
        <v>227</v>
      </c>
      <c r="W12" s="18">
        <v>174</v>
      </c>
      <c r="X12" s="191">
        <f>FSS!H13/1000</f>
        <v>428.91189</v>
      </c>
      <c r="Y12" s="190">
        <v>219.08543</v>
      </c>
      <c r="Z12" s="54">
        <v>334.14639</v>
      </c>
      <c r="AA12" s="54">
        <v>136.57621</v>
      </c>
      <c r="AB12" s="54">
        <v>187</v>
      </c>
      <c r="AC12" s="18">
        <v>139</v>
      </c>
      <c r="AD12" s="191">
        <f>PřF!H13/1000</f>
        <v>2837.13522</v>
      </c>
      <c r="AE12" s="190">
        <v>1795.55569</v>
      </c>
      <c r="AF12" s="54">
        <v>1799.88391</v>
      </c>
      <c r="AG12" s="54">
        <v>1107.0287700000001</v>
      </c>
      <c r="AH12" s="54">
        <v>1501</v>
      </c>
      <c r="AI12" s="18">
        <v>1230</v>
      </c>
      <c r="AJ12" s="191">
        <f>'FI'!H13/1000</f>
        <v>1204.4341000000002</v>
      </c>
      <c r="AK12" s="190">
        <v>1408.54951</v>
      </c>
      <c r="AL12" s="54">
        <v>1301.2017700000001</v>
      </c>
      <c r="AM12" s="54">
        <v>1261.9286100000002</v>
      </c>
      <c r="AN12" s="54">
        <v>1067</v>
      </c>
      <c r="AO12" s="18">
        <v>957</v>
      </c>
      <c r="AP12" s="191">
        <f>PdF!H13/1000</f>
        <v>2044.52709</v>
      </c>
      <c r="AQ12" s="190">
        <v>987.56654</v>
      </c>
      <c r="AR12" s="54">
        <v>841.2404</v>
      </c>
      <c r="AS12" s="54">
        <v>234.94589000000002</v>
      </c>
      <c r="AT12" s="54">
        <v>239.615</v>
      </c>
      <c r="AU12" s="18">
        <v>577</v>
      </c>
      <c r="AV12" s="191">
        <f>FSpS!H13/1000</f>
        <v>978.1946899999999</v>
      </c>
      <c r="AW12" s="190">
        <v>947.50634</v>
      </c>
      <c r="AX12" s="54">
        <v>741.86775</v>
      </c>
      <c r="AY12" s="54">
        <v>563.2509200000001</v>
      </c>
      <c r="AZ12" s="54">
        <v>721</v>
      </c>
      <c r="BA12" s="18">
        <v>569</v>
      </c>
      <c r="BB12" s="191">
        <f>ESF!H13/1000</f>
        <v>1041.33188</v>
      </c>
      <c r="BC12" s="190">
        <v>940.37411</v>
      </c>
      <c r="BD12" s="54">
        <v>934.5793199999999</v>
      </c>
      <c r="BE12" s="54">
        <v>782.7354300000001</v>
      </c>
      <c r="BF12" s="54">
        <v>495</v>
      </c>
      <c r="BG12" s="18">
        <v>527</v>
      </c>
      <c r="BH12" s="159">
        <f t="shared" si="3"/>
        <v>11446.85583</v>
      </c>
      <c r="BI12" s="54">
        <f t="shared" si="3"/>
        <v>8289.64417</v>
      </c>
      <c r="BJ12" s="54">
        <v>7846.45567</v>
      </c>
      <c r="BK12" s="54">
        <v>6195.70761</v>
      </c>
      <c r="BL12" s="54">
        <v>5393.615</v>
      </c>
      <c r="BM12" s="160">
        <v>5938</v>
      </c>
    </row>
    <row r="13" spans="1:65" s="11" customFormat="1" ht="11.25">
      <c r="A13" s="15"/>
      <c r="B13" s="16"/>
      <c r="C13" s="16"/>
      <c r="D13" s="17" t="s">
        <v>5</v>
      </c>
      <c r="E13" s="60">
        <v>11</v>
      </c>
      <c r="F13" s="191">
        <f>LF!H14/1000</f>
        <v>31532.0454</v>
      </c>
      <c r="G13" s="190">
        <v>26458.32233</v>
      </c>
      <c r="H13" s="186">
        <v>23186.37526</v>
      </c>
      <c r="I13" s="54">
        <v>7204.56257</v>
      </c>
      <c r="J13" s="54">
        <v>4477</v>
      </c>
      <c r="K13" s="18">
        <v>3263</v>
      </c>
      <c r="L13" s="191">
        <f>'FF'!H14/1000</f>
        <v>7706.4435</v>
      </c>
      <c r="M13" s="190">
        <v>6915.404</v>
      </c>
      <c r="N13" s="186">
        <v>6746.9338</v>
      </c>
      <c r="O13" s="54">
        <v>2046.61328</v>
      </c>
      <c r="P13" s="54">
        <v>1851</v>
      </c>
      <c r="Q13" s="18">
        <v>1464</v>
      </c>
      <c r="R13" s="191">
        <f>PrF!H14/1000</f>
        <v>2565.4644</v>
      </c>
      <c r="S13" s="190">
        <v>2113.993</v>
      </c>
      <c r="T13" s="54">
        <v>2725.93672</v>
      </c>
      <c r="U13" s="54">
        <v>893.55389</v>
      </c>
      <c r="V13" s="54">
        <v>958</v>
      </c>
      <c r="W13" s="18">
        <v>1035</v>
      </c>
      <c r="X13" s="191">
        <f>FSS!H14/1000</f>
        <v>7418.714120000001</v>
      </c>
      <c r="Y13" s="190">
        <v>2350.56</v>
      </c>
      <c r="Z13" s="54">
        <v>2025.69712</v>
      </c>
      <c r="AA13" s="54">
        <v>769.9965</v>
      </c>
      <c r="AB13" s="54">
        <v>761</v>
      </c>
      <c r="AC13" s="18">
        <v>683</v>
      </c>
      <c r="AD13" s="191">
        <f>PřF!H14/1000</f>
        <v>64386.47083</v>
      </c>
      <c r="AE13" s="190">
        <v>49916.893630000006</v>
      </c>
      <c r="AF13" s="54">
        <v>42282.00125</v>
      </c>
      <c r="AG13" s="54">
        <v>6018.36013</v>
      </c>
      <c r="AH13" s="54">
        <v>15652</v>
      </c>
      <c r="AI13" s="18">
        <v>6148</v>
      </c>
      <c r="AJ13" s="191">
        <f>'FI'!H14/1000</f>
        <v>12466.54511</v>
      </c>
      <c r="AK13" s="190">
        <v>12596.845</v>
      </c>
      <c r="AL13" s="54">
        <v>11477.21816</v>
      </c>
      <c r="AM13" s="54">
        <v>3157.67226</v>
      </c>
      <c r="AN13" s="54">
        <v>3638</v>
      </c>
      <c r="AO13" s="18">
        <v>2511</v>
      </c>
      <c r="AP13" s="191">
        <f>PdF!H14/1000</f>
        <v>7461.4051</v>
      </c>
      <c r="AQ13" s="190">
        <v>5192.27708</v>
      </c>
      <c r="AR13" s="54">
        <v>4224.0585599999995</v>
      </c>
      <c r="AS13" s="54">
        <v>1507.18575</v>
      </c>
      <c r="AT13" s="54">
        <v>1607.336</v>
      </c>
      <c r="AU13" s="18">
        <v>1587</v>
      </c>
      <c r="AV13" s="191">
        <f>FSpS!H14/1000</f>
        <v>1212.3313600000001</v>
      </c>
      <c r="AW13" s="190">
        <v>1040.37301</v>
      </c>
      <c r="AX13" s="54">
        <v>863.19587</v>
      </c>
      <c r="AY13" s="54">
        <v>166.39723</v>
      </c>
      <c r="AZ13" s="54">
        <v>93</v>
      </c>
      <c r="BA13" s="18">
        <v>65</v>
      </c>
      <c r="BB13" s="191">
        <f>ESF!H14/1000</f>
        <v>6397.32784</v>
      </c>
      <c r="BC13" s="190">
        <v>5922.786</v>
      </c>
      <c r="BD13" s="54">
        <v>5597.58736</v>
      </c>
      <c r="BE13" s="54">
        <v>1605.89211</v>
      </c>
      <c r="BF13" s="54">
        <v>2565</v>
      </c>
      <c r="BG13" s="18">
        <v>2235</v>
      </c>
      <c r="BH13" s="159">
        <f t="shared" si="3"/>
        <v>141146.74766000002</v>
      </c>
      <c r="BI13" s="54">
        <f t="shared" si="3"/>
        <v>112507.45405</v>
      </c>
      <c r="BJ13" s="54">
        <v>99129.0041</v>
      </c>
      <c r="BK13" s="54">
        <v>23370.233719999997</v>
      </c>
      <c r="BL13" s="54">
        <v>31602.336</v>
      </c>
      <c r="BM13" s="160">
        <v>18991</v>
      </c>
    </row>
    <row r="14" spans="1:65" s="11" customFormat="1" ht="11.25">
      <c r="A14" s="15"/>
      <c r="B14" s="16"/>
      <c r="C14" s="16"/>
      <c r="D14" s="17" t="s">
        <v>6</v>
      </c>
      <c r="E14" s="60">
        <v>12</v>
      </c>
      <c r="F14" s="191">
        <f>LF!H15/1000</f>
        <v>811.572</v>
      </c>
      <c r="G14" s="190">
        <v>639.743</v>
      </c>
      <c r="H14" s="186">
        <v>449.182</v>
      </c>
      <c r="I14" s="54">
        <v>368.64</v>
      </c>
      <c r="J14" s="54">
        <v>392</v>
      </c>
      <c r="K14" s="18">
        <v>612</v>
      </c>
      <c r="L14" s="191">
        <f>'FF'!H15/1000</f>
        <v>6350.757</v>
      </c>
      <c r="M14" s="190">
        <v>6718.08</v>
      </c>
      <c r="N14" s="186">
        <v>2518.788</v>
      </c>
      <c r="O14" s="54">
        <v>2114.522</v>
      </c>
      <c r="P14" s="54">
        <v>1348</v>
      </c>
      <c r="Q14" s="18">
        <v>1431</v>
      </c>
      <c r="R14" s="191">
        <f>PrF!H15/1000</f>
        <v>1308.791</v>
      </c>
      <c r="S14" s="190">
        <v>478.803</v>
      </c>
      <c r="T14" s="54">
        <v>355.458</v>
      </c>
      <c r="U14" s="54">
        <v>454.3539</v>
      </c>
      <c r="V14" s="54">
        <v>326</v>
      </c>
      <c r="W14" s="18">
        <v>277</v>
      </c>
      <c r="X14" s="191">
        <f>FSS!H15/1000</f>
        <v>1701.57</v>
      </c>
      <c r="Y14" s="190">
        <v>1332.2</v>
      </c>
      <c r="Z14" s="54">
        <v>1328.938</v>
      </c>
      <c r="AA14" s="54">
        <v>684.729</v>
      </c>
      <c r="AB14" s="54">
        <v>610</v>
      </c>
      <c r="AC14" s="18">
        <v>374</v>
      </c>
      <c r="AD14" s="191">
        <f>PřF!H15/1000</f>
        <v>3295.4625</v>
      </c>
      <c r="AE14" s="190">
        <v>3010.733</v>
      </c>
      <c r="AF14" s="54">
        <v>2076.642</v>
      </c>
      <c r="AG14" s="54">
        <v>1874.787</v>
      </c>
      <c r="AH14" s="54">
        <v>1499</v>
      </c>
      <c r="AI14" s="18">
        <v>3602</v>
      </c>
      <c r="AJ14" s="191">
        <f>'FI'!H15/1000</f>
        <v>3415</v>
      </c>
      <c r="AK14" s="190">
        <v>2478.4</v>
      </c>
      <c r="AL14" s="54">
        <v>827.051</v>
      </c>
      <c r="AM14" s="54">
        <v>424.95</v>
      </c>
      <c r="AN14" s="54">
        <v>580</v>
      </c>
      <c r="AO14" s="18">
        <v>867</v>
      </c>
      <c r="AP14" s="191">
        <f>PdF!H15/1000</f>
        <v>834.975</v>
      </c>
      <c r="AQ14" s="190">
        <v>573.493</v>
      </c>
      <c r="AR14" s="54">
        <v>684.105</v>
      </c>
      <c r="AS14" s="54">
        <v>265.93039</v>
      </c>
      <c r="AT14" s="54">
        <v>114.467</v>
      </c>
      <c r="AU14" s="18">
        <v>132</v>
      </c>
      <c r="AV14" s="191">
        <f>FSpS!H15/1000</f>
        <v>460.231</v>
      </c>
      <c r="AW14" s="190">
        <v>530.569</v>
      </c>
      <c r="AX14" s="54">
        <v>290.616</v>
      </c>
      <c r="AY14" s="54">
        <v>15.7</v>
      </c>
      <c r="AZ14" s="54">
        <v>1</v>
      </c>
      <c r="BA14" s="18">
        <v>0</v>
      </c>
      <c r="BB14" s="191">
        <f>ESF!H15/1000</f>
        <v>2605.5696000000003</v>
      </c>
      <c r="BC14" s="190">
        <v>2080.69188</v>
      </c>
      <c r="BD14" s="54">
        <v>1940.016</v>
      </c>
      <c r="BE14" s="54">
        <v>1035.343</v>
      </c>
      <c r="BF14" s="54">
        <v>675</v>
      </c>
      <c r="BG14" s="18">
        <v>586</v>
      </c>
      <c r="BH14" s="159">
        <f t="shared" si="3"/>
        <v>20783.928099999994</v>
      </c>
      <c r="BI14" s="54">
        <f t="shared" si="3"/>
        <v>17842.71288</v>
      </c>
      <c r="BJ14" s="54">
        <v>10470.796</v>
      </c>
      <c r="BK14" s="54">
        <v>7238.95529</v>
      </c>
      <c r="BL14" s="54">
        <v>5545.467</v>
      </c>
      <c r="BM14" s="160">
        <v>7881</v>
      </c>
    </row>
    <row r="15" spans="1:65" s="11" customFormat="1" ht="11.25">
      <c r="A15" s="15"/>
      <c r="B15" s="17"/>
      <c r="C15" s="17"/>
      <c r="D15" s="17" t="s">
        <v>9</v>
      </c>
      <c r="E15" s="60">
        <v>13</v>
      </c>
      <c r="F15" s="191">
        <f>LF!H16/1000</f>
        <v>26284.016219999998</v>
      </c>
      <c r="G15" s="190">
        <v>6624.98638</v>
      </c>
      <c r="H15" s="186">
        <v>5285.11772</v>
      </c>
      <c r="I15" s="54">
        <v>3681.8791699999997</v>
      </c>
      <c r="J15" s="54">
        <v>2214</v>
      </c>
      <c r="K15" s="18">
        <v>981</v>
      </c>
      <c r="L15" s="191">
        <f>'FF'!H16/1000</f>
        <v>7298.42929</v>
      </c>
      <c r="M15" s="190">
        <v>3242.91906</v>
      </c>
      <c r="N15" s="186">
        <v>4289.20362</v>
      </c>
      <c r="O15" s="54">
        <v>2760.13256</v>
      </c>
      <c r="P15" s="54">
        <v>1203</v>
      </c>
      <c r="Q15" s="18">
        <v>642</v>
      </c>
      <c r="R15" s="191">
        <f>PrF!H16/1000</f>
        <v>5340.01738</v>
      </c>
      <c r="S15" s="190">
        <v>2054.61713</v>
      </c>
      <c r="T15" s="54">
        <v>2377.10067</v>
      </c>
      <c r="U15" s="54">
        <v>1225.45781</v>
      </c>
      <c r="V15" s="54">
        <v>1096</v>
      </c>
      <c r="W15" s="18">
        <v>3056</v>
      </c>
      <c r="X15" s="191">
        <f>FSS!H16/1000</f>
        <v>5352.87039</v>
      </c>
      <c r="Y15" s="190">
        <v>2233.78064</v>
      </c>
      <c r="Z15" s="54">
        <v>1513.17622</v>
      </c>
      <c r="AA15" s="54">
        <v>1001.71338</v>
      </c>
      <c r="AB15" s="54">
        <v>832</v>
      </c>
      <c r="AC15" s="18">
        <v>627</v>
      </c>
      <c r="AD15" s="191">
        <f>PřF!H16/1000</f>
        <v>10693.59</v>
      </c>
      <c r="AE15" s="190">
        <v>8440.779919999999</v>
      </c>
      <c r="AF15" s="54">
        <v>4403.80945</v>
      </c>
      <c r="AG15" s="54">
        <v>-368.57703999999995</v>
      </c>
      <c r="AH15" s="54">
        <v>2746</v>
      </c>
      <c r="AI15" s="18">
        <v>3213</v>
      </c>
      <c r="AJ15" s="191">
        <f>'FI'!H16/1000</f>
        <v>12824.88931</v>
      </c>
      <c r="AK15" s="190">
        <v>-1584.25082</v>
      </c>
      <c r="AL15" s="54">
        <v>1760.19804</v>
      </c>
      <c r="AM15" s="54">
        <v>-303.80232</v>
      </c>
      <c r="AN15" s="54">
        <v>1237</v>
      </c>
      <c r="AO15" s="18">
        <v>369</v>
      </c>
      <c r="AP15" s="191">
        <f>PdF!H16/1000</f>
        <v>4943.59054</v>
      </c>
      <c r="AQ15" s="190">
        <v>1919.57258</v>
      </c>
      <c r="AR15" s="54">
        <v>1270.95205</v>
      </c>
      <c r="AS15" s="54">
        <v>1184.41172</v>
      </c>
      <c r="AT15" s="54">
        <v>903.33</v>
      </c>
      <c r="AU15" s="18">
        <v>435</v>
      </c>
      <c r="AV15" s="191">
        <f>FSpS!H16/1000</f>
        <v>3226.9799900000003</v>
      </c>
      <c r="AW15" s="190">
        <v>1240.74893</v>
      </c>
      <c r="AX15" s="54">
        <v>1677.18533</v>
      </c>
      <c r="AY15" s="54">
        <v>1211.74287</v>
      </c>
      <c r="AZ15" s="54">
        <v>478</v>
      </c>
      <c r="BA15" s="18">
        <v>62</v>
      </c>
      <c r="BB15" s="191">
        <f>ESF!H16/1000</f>
        <v>3377.95786</v>
      </c>
      <c r="BC15" s="190">
        <v>2221.59953</v>
      </c>
      <c r="BD15" s="54">
        <v>1468.53547</v>
      </c>
      <c r="BE15" s="54">
        <v>970.42499</v>
      </c>
      <c r="BF15" s="54">
        <v>525</v>
      </c>
      <c r="BG15" s="18">
        <v>187</v>
      </c>
      <c r="BH15" s="159">
        <f t="shared" si="3"/>
        <v>79342.34098</v>
      </c>
      <c r="BI15" s="54">
        <f t="shared" si="3"/>
        <v>26394.75335</v>
      </c>
      <c r="BJ15" s="54">
        <v>24045.27857</v>
      </c>
      <c r="BK15" s="54">
        <v>11363.38314</v>
      </c>
      <c r="BL15" s="54">
        <v>11234.33</v>
      </c>
      <c r="BM15" s="160">
        <v>9572</v>
      </c>
    </row>
    <row r="16" spans="1:65" ht="11.25">
      <c r="A16" s="12"/>
      <c r="B16" s="20" t="s">
        <v>14</v>
      </c>
      <c r="C16" s="21"/>
      <c r="D16" s="21"/>
      <c r="E16" s="60">
        <v>14</v>
      </c>
      <c r="F16" s="97">
        <f>LF!H17/1000</f>
        <v>16731</v>
      </c>
      <c r="G16" s="187">
        <v>14657</v>
      </c>
      <c r="H16" s="187">
        <v>11820</v>
      </c>
      <c r="I16" s="55">
        <v>8849.299</v>
      </c>
      <c r="J16" s="55">
        <v>6768</v>
      </c>
      <c r="K16" s="22">
        <v>4005</v>
      </c>
      <c r="L16" s="97">
        <f>'FF'!H17/1000</f>
        <v>18780</v>
      </c>
      <c r="M16" s="187">
        <v>16892</v>
      </c>
      <c r="N16" s="187">
        <v>14440</v>
      </c>
      <c r="O16" s="55">
        <v>11325</v>
      </c>
      <c r="P16" s="55">
        <v>8784</v>
      </c>
      <c r="Q16" s="22">
        <v>5940</v>
      </c>
      <c r="R16" s="97">
        <f>PrF!H17/1000</f>
        <v>3063</v>
      </c>
      <c r="S16" s="190">
        <v>2419</v>
      </c>
      <c r="T16" s="55">
        <v>1568.75</v>
      </c>
      <c r="U16" s="55">
        <v>862.5</v>
      </c>
      <c r="V16" s="55">
        <v>314</v>
      </c>
      <c r="W16" s="22">
        <v>65</v>
      </c>
      <c r="X16" s="97">
        <f>FSS!H17/1000</f>
        <v>12041</v>
      </c>
      <c r="Y16" s="190">
        <v>12279.5</v>
      </c>
      <c r="Z16" s="55">
        <v>9000</v>
      </c>
      <c r="AA16" s="55">
        <v>6093.75</v>
      </c>
      <c r="AB16" s="55">
        <v>4374</v>
      </c>
      <c r="AC16" s="22">
        <v>3375</v>
      </c>
      <c r="AD16" s="97">
        <f>PřF!H17/1000</f>
        <v>30357</v>
      </c>
      <c r="AE16" s="190">
        <v>30033</v>
      </c>
      <c r="AF16" s="55">
        <v>28540</v>
      </c>
      <c r="AG16" s="55">
        <v>23119.534</v>
      </c>
      <c r="AH16" s="55">
        <v>19422</v>
      </c>
      <c r="AI16" s="22">
        <v>13916</v>
      </c>
      <c r="AJ16" s="97">
        <f>'FI'!H17/1000</f>
        <v>4035</v>
      </c>
      <c r="AK16" s="190">
        <v>3854</v>
      </c>
      <c r="AL16" s="192">
        <v>3491.25</v>
      </c>
      <c r="AM16" s="192">
        <v>2906.25</v>
      </c>
      <c r="AN16" s="55">
        <v>2556</v>
      </c>
      <c r="AO16" s="22">
        <v>2340</v>
      </c>
      <c r="AP16" s="97">
        <f>PdF!H17/1000</f>
        <v>5767</v>
      </c>
      <c r="AQ16" s="190">
        <v>5617</v>
      </c>
      <c r="AR16" s="55">
        <v>4715</v>
      </c>
      <c r="AS16" s="55">
        <v>3463.75</v>
      </c>
      <c r="AT16" s="55">
        <v>2061.882</v>
      </c>
      <c r="AU16" s="22">
        <v>2114</v>
      </c>
      <c r="AV16" s="97">
        <f>FSpS!H17/1000</f>
        <v>1500</v>
      </c>
      <c r="AW16" s="190">
        <v>1374</v>
      </c>
      <c r="AX16" s="55">
        <v>1280</v>
      </c>
      <c r="AY16" s="55">
        <v>1361.768</v>
      </c>
      <c r="AZ16" s="55">
        <v>1296</v>
      </c>
      <c r="BA16" s="22">
        <v>0</v>
      </c>
      <c r="BB16" s="97">
        <f>ESF!H17/1000</f>
        <v>5746</v>
      </c>
      <c r="BC16" s="190">
        <v>6047.5</v>
      </c>
      <c r="BD16" s="55">
        <v>6060</v>
      </c>
      <c r="BE16" s="55">
        <v>4575</v>
      </c>
      <c r="BF16" s="55">
        <v>3294</v>
      </c>
      <c r="BG16" s="22">
        <v>2130</v>
      </c>
      <c r="BH16" s="178">
        <f t="shared" si="3"/>
        <v>98020</v>
      </c>
      <c r="BI16" s="192">
        <f t="shared" si="3"/>
        <v>93173</v>
      </c>
      <c r="BJ16" s="192">
        <v>80915</v>
      </c>
      <c r="BK16" s="55">
        <v>62556.850999999995</v>
      </c>
      <c r="BL16" s="55">
        <v>48869.882</v>
      </c>
      <c r="BM16" s="163">
        <v>33885</v>
      </c>
    </row>
    <row r="17" spans="1:65" ht="11.25">
      <c r="A17" s="12"/>
      <c r="B17" s="20" t="s">
        <v>15</v>
      </c>
      <c r="C17" s="21"/>
      <c r="D17" s="21"/>
      <c r="E17" s="60">
        <v>15</v>
      </c>
      <c r="F17" s="97">
        <f>LF!H18/1000</f>
        <v>1108</v>
      </c>
      <c r="G17" s="187">
        <v>877</v>
      </c>
      <c r="H17" s="187">
        <v>874.817</v>
      </c>
      <c r="I17" s="55">
        <v>1595</v>
      </c>
      <c r="J17" s="55">
        <v>2145</v>
      </c>
      <c r="K17" s="22">
        <v>1925</v>
      </c>
      <c r="L17" s="97">
        <f>'FF'!H18/1000</f>
        <v>5036.10924</v>
      </c>
      <c r="M17" s="187">
        <v>2974</v>
      </c>
      <c r="N17" s="187">
        <v>1526.009</v>
      </c>
      <c r="O17" s="55">
        <v>1308.2</v>
      </c>
      <c r="P17" s="55">
        <v>1102</v>
      </c>
      <c r="Q17" s="22">
        <v>1271</v>
      </c>
      <c r="R17" s="97">
        <f>PrF!H18/1000</f>
        <v>24</v>
      </c>
      <c r="S17" s="187">
        <v>160</v>
      </c>
      <c r="T17" s="55">
        <v>406.228</v>
      </c>
      <c r="U17" s="55">
        <v>488.06919</v>
      </c>
      <c r="V17" s="55">
        <v>601</v>
      </c>
      <c r="W17" s="22">
        <v>503</v>
      </c>
      <c r="X17" s="97">
        <f>FSS!H18/1000</f>
        <v>1154</v>
      </c>
      <c r="Y17" s="187">
        <v>1024.5</v>
      </c>
      <c r="Z17" s="55">
        <v>669.878</v>
      </c>
      <c r="AA17" s="55">
        <v>557</v>
      </c>
      <c r="AB17" s="55">
        <v>492</v>
      </c>
      <c r="AC17" s="22">
        <v>287</v>
      </c>
      <c r="AD17" s="97">
        <f>PřF!H18/1000</f>
        <v>1137</v>
      </c>
      <c r="AE17" s="187">
        <v>764.353</v>
      </c>
      <c r="AF17" s="55">
        <v>411.6955</v>
      </c>
      <c r="AG17" s="55">
        <v>511.7665</v>
      </c>
      <c r="AH17" s="55">
        <v>695</v>
      </c>
      <c r="AI17" s="22">
        <v>834</v>
      </c>
      <c r="AJ17" s="97">
        <f>'FI'!H18/1000</f>
        <v>513</v>
      </c>
      <c r="AK17" s="187">
        <v>115</v>
      </c>
      <c r="AL17" s="192">
        <v>0</v>
      </c>
      <c r="AM17" s="192">
        <v>0</v>
      </c>
      <c r="AN17" s="55">
        <v>0</v>
      </c>
      <c r="AO17" s="22">
        <v>0</v>
      </c>
      <c r="AP17" s="97">
        <f>PdF!H18/1000</f>
        <v>241.95497</v>
      </c>
      <c r="AQ17" s="187">
        <v>258.551</v>
      </c>
      <c r="AR17" s="55">
        <v>333.09</v>
      </c>
      <c r="AS17" s="55">
        <v>347.9226</v>
      </c>
      <c r="AT17" s="55">
        <v>275.844</v>
      </c>
      <c r="AU17" s="22">
        <v>321</v>
      </c>
      <c r="AV17" s="97">
        <f>FSpS!H18/1000</f>
        <v>81</v>
      </c>
      <c r="AW17" s="187">
        <v>140</v>
      </c>
      <c r="AX17" s="55">
        <v>148.09</v>
      </c>
      <c r="AY17" s="55">
        <v>160.67735000000002</v>
      </c>
      <c r="AZ17" s="55">
        <v>89</v>
      </c>
      <c r="BA17" s="22">
        <v>0</v>
      </c>
      <c r="BB17" s="97">
        <f>ESF!H18/1000</f>
        <v>500</v>
      </c>
      <c r="BC17" s="187">
        <v>323</v>
      </c>
      <c r="BD17" s="55">
        <v>403.147</v>
      </c>
      <c r="BE17" s="55">
        <v>420</v>
      </c>
      <c r="BF17" s="55">
        <v>485</v>
      </c>
      <c r="BG17" s="22">
        <v>525</v>
      </c>
      <c r="BH17" s="178">
        <f t="shared" si="3"/>
        <v>9795.06421</v>
      </c>
      <c r="BI17" s="192">
        <f t="shared" si="3"/>
        <v>6636.404</v>
      </c>
      <c r="BJ17" s="192">
        <v>4772.9545</v>
      </c>
      <c r="BK17" s="55">
        <v>5388.6356399999995</v>
      </c>
      <c r="BL17" s="55">
        <v>5884.844</v>
      </c>
      <c r="BM17" s="163">
        <v>5666</v>
      </c>
    </row>
    <row r="18" spans="1:65" ht="11.25">
      <c r="A18" s="12"/>
      <c r="B18" s="20" t="s">
        <v>20</v>
      </c>
      <c r="C18" s="21"/>
      <c r="D18" s="21"/>
      <c r="E18" s="60">
        <v>16</v>
      </c>
      <c r="F18" s="97">
        <f>LF!H19/1000</f>
        <v>11411.849</v>
      </c>
      <c r="G18" s="187">
        <v>9128.68157</v>
      </c>
      <c r="H18" s="187">
        <v>4370</v>
      </c>
      <c r="I18" s="55">
        <v>4636.6145</v>
      </c>
      <c r="J18" s="55">
        <v>11516</v>
      </c>
      <c r="K18" s="22">
        <v>2721</v>
      </c>
      <c r="L18" s="97">
        <f>'FF'!H19/1000</f>
        <v>4767.9</v>
      </c>
      <c r="M18" s="187">
        <v>10499.90646</v>
      </c>
      <c r="N18" s="187">
        <v>8509.4</v>
      </c>
      <c r="O18" s="55">
        <v>5121.9</v>
      </c>
      <c r="P18" s="55">
        <v>12426</v>
      </c>
      <c r="Q18" s="22">
        <v>0</v>
      </c>
      <c r="R18" s="97">
        <f>PrF!H19/1000</f>
        <v>1060.8</v>
      </c>
      <c r="S18" s="187">
        <v>2105.65501</v>
      </c>
      <c r="T18" s="55">
        <v>1777</v>
      </c>
      <c r="U18" s="55">
        <v>3781.04973</v>
      </c>
      <c r="V18" s="55">
        <v>348</v>
      </c>
      <c r="W18" s="22">
        <v>229</v>
      </c>
      <c r="X18" s="97">
        <f>FSS!H19/1000</f>
        <v>9147.951130000001</v>
      </c>
      <c r="Y18" s="187">
        <v>10660.2439</v>
      </c>
      <c r="Z18" s="55">
        <v>2780</v>
      </c>
      <c r="AA18" s="55">
        <v>3579.67994</v>
      </c>
      <c r="AB18" s="55">
        <v>2150</v>
      </c>
      <c r="AC18" s="22">
        <v>0</v>
      </c>
      <c r="AD18" s="97">
        <f>PřF!H19/1000</f>
        <v>3159.4995</v>
      </c>
      <c r="AE18" s="187">
        <v>5872.71096</v>
      </c>
      <c r="AF18" s="55">
        <v>3992</v>
      </c>
      <c r="AG18" s="55">
        <v>8474.0499</v>
      </c>
      <c r="AH18" s="55">
        <v>10687</v>
      </c>
      <c r="AI18" s="22">
        <v>6967</v>
      </c>
      <c r="AJ18" s="97">
        <f>'FI'!H19/1000</f>
        <v>7464.815259999999</v>
      </c>
      <c r="AK18" s="187">
        <v>1984.3162</v>
      </c>
      <c r="AL18" s="192">
        <v>2825</v>
      </c>
      <c r="AM18" s="192">
        <v>961</v>
      </c>
      <c r="AN18" s="55">
        <v>2714</v>
      </c>
      <c r="AO18" s="22">
        <v>2324</v>
      </c>
      <c r="AP18" s="97">
        <f>PdF!H19/1000</f>
        <v>8166</v>
      </c>
      <c r="AQ18" s="187">
        <v>10255.418300000001</v>
      </c>
      <c r="AR18" s="55">
        <v>8590</v>
      </c>
      <c r="AS18" s="55">
        <v>20383.95</v>
      </c>
      <c r="AT18" s="55">
        <v>27868.41</v>
      </c>
      <c r="AU18" s="22">
        <v>24104</v>
      </c>
      <c r="AV18" s="97">
        <f>FSpS!H19/1000</f>
        <v>1391.7</v>
      </c>
      <c r="AW18" s="187">
        <v>2759.83197</v>
      </c>
      <c r="AX18" s="55">
        <v>1750</v>
      </c>
      <c r="AY18" s="55">
        <v>510</v>
      </c>
      <c r="AZ18" s="55">
        <v>2170</v>
      </c>
      <c r="BA18" s="22">
        <v>0</v>
      </c>
      <c r="BB18" s="97">
        <f>ESF!H19/1000</f>
        <v>2862</v>
      </c>
      <c r="BC18" s="187">
        <v>4212.152</v>
      </c>
      <c r="BD18" s="55">
        <v>2153</v>
      </c>
      <c r="BE18" s="55">
        <v>1144.95</v>
      </c>
      <c r="BF18" s="55">
        <v>2642</v>
      </c>
      <c r="BG18" s="22">
        <v>0</v>
      </c>
      <c r="BH18" s="178">
        <f t="shared" si="3"/>
        <v>49432.51488999999</v>
      </c>
      <c r="BI18" s="192">
        <f t="shared" si="3"/>
        <v>57478.916370000006</v>
      </c>
      <c r="BJ18" s="192">
        <v>36746.4</v>
      </c>
      <c r="BK18" s="55">
        <v>48593.19407</v>
      </c>
      <c r="BL18" s="55">
        <v>72521.41</v>
      </c>
      <c r="BM18" s="163">
        <v>36345</v>
      </c>
    </row>
    <row r="19" spans="1:65" ht="11.25">
      <c r="A19" s="12"/>
      <c r="B19" s="20" t="s">
        <v>16</v>
      </c>
      <c r="C19" s="21"/>
      <c r="D19" s="21"/>
      <c r="E19" s="60">
        <v>17</v>
      </c>
      <c r="F19" s="97">
        <f>LF!H20/1000</f>
        <v>461</v>
      </c>
      <c r="G19" s="187">
        <v>970</v>
      </c>
      <c r="H19" s="187">
        <v>1328.69427</v>
      </c>
      <c r="I19" s="55">
        <v>1189</v>
      </c>
      <c r="J19" s="55">
        <v>880</v>
      </c>
      <c r="K19" s="22">
        <v>1318</v>
      </c>
      <c r="L19" s="97">
        <f>'FF'!H20/1000</f>
        <v>2276</v>
      </c>
      <c r="M19" s="187">
        <v>1392</v>
      </c>
      <c r="N19" s="187">
        <v>1241</v>
      </c>
      <c r="O19" s="55">
        <v>2305</v>
      </c>
      <c r="P19" s="55">
        <v>981</v>
      </c>
      <c r="Q19" s="22">
        <v>861</v>
      </c>
      <c r="R19" s="97">
        <f>PrF!H20/1000</f>
        <v>0</v>
      </c>
      <c r="S19" s="187">
        <v>95</v>
      </c>
      <c r="T19" s="55">
        <v>23</v>
      </c>
      <c r="U19" s="55">
        <v>660.8239</v>
      </c>
      <c r="V19" s="55">
        <v>216</v>
      </c>
      <c r="W19" s="22">
        <v>71</v>
      </c>
      <c r="X19" s="97">
        <f>FSS!H20/1000</f>
        <v>419</v>
      </c>
      <c r="Y19" s="187">
        <v>389</v>
      </c>
      <c r="Z19" s="192">
        <v>549</v>
      </c>
      <c r="AA19" s="55">
        <v>668.324</v>
      </c>
      <c r="AB19" s="55">
        <v>1079</v>
      </c>
      <c r="AC19" s="22">
        <v>177</v>
      </c>
      <c r="AD19" s="97">
        <f>PřF!H20/1000</f>
        <v>3622</v>
      </c>
      <c r="AE19" s="187">
        <v>6353</v>
      </c>
      <c r="AF19" s="55">
        <v>4890</v>
      </c>
      <c r="AG19" s="55">
        <v>5942</v>
      </c>
      <c r="AH19" s="55">
        <v>3829</v>
      </c>
      <c r="AI19" s="22">
        <v>5620</v>
      </c>
      <c r="AJ19" s="97">
        <f>'FI'!H20/1000</f>
        <v>95</v>
      </c>
      <c r="AK19" s="187">
        <v>300</v>
      </c>
      <c r="AL19" s="192">
        <v>325</v>
      </c>
      <c r="AM19" s="192">
        <v>101</v>
      </c>
      <c r="AN19" s="55">
        <v>716</v>
      </c>
      <c r="AO19" s="22">
        <v>308</v>
      </c>
      <c r="AP19" s="97">
        <f>PdF!H20/1000</f>
        <v>820.333</v>
      </c>
      <c r="AQ19" s="187">
        <v>347</v>
      </c>
      <c r="AR19" s="55">
        <v>959.7253000000001</v>
      </c>
      <c r="AS19" s="55">
        <v>1793.92985</v>
      </c>
      <c r="AT19" s="55">
        <v>839.537</v>
      </c>
      <c r="AU19" s="22">
        <v>2944</v>
      </c>
      <c r="AV19" s="97">
        <f>FSpS!H20/1000</f>
        <v>1070</v>
      </c>
      <c r="AW19" s="187">
        <v>257</v>
      </c>
      <c r="AX19" s="55">
        <v>380</v>
      </c>
      <c r="AY19" s="55">
        <v>108</v>
      </c>
      <c r="AZ19" s="55">
        <v>83</v>
      </c>
      <c r="BA19" s="22">
        <v>0</v>
      </c>
      <c r="BB19" s="97">
        <f>ESF!H20/1000</f>
        <v>0</v>
      </c>
      <c r="BC19" s="187">
        <v>0</v>
      </c>
      <c r="BD19" s="55">
        <v>0</v>
      </c>
      <c r="BE19" s="55">
        <v>365</v>
      </c>
      <c r="BF19" s="55">
        <v>162</v>
      </c>
      <c r="BG19" s="22">
        <v>564</v>
      </c>
      <c r="BH19" s="178">
        <f t="shared" si="3"/>
        <v>8763.332999999999</v>
      </c>
      <c r="BI19" s="192">
        <f t="shared" si="3"/>
        <v>10103</v>
      </c>
      <c r="BJ19" s="192">
        <v>9696.41957</v>
      </c>
      <c r="BK19" s="55">
        <v>13133.07775</v>
      </c>
      <c r="BL19" s="55">
        <v>8785.537</v>
      </c>
      <c r="BM19" s="163">
        <v>11863</v>
      </c>
    </row>
    <row r="20" spans="1:65" ht="11.25">
      <c r="A20" s="12"/>
      <c r="B20" s="20" t="s">
        <v>24</v>
      </c>
      <c r="C20" s="20"/>
      <c r="D20" s="20"/>
      <c r="E20" s="60">
        <v>18</v>
      </c>
      <c r="F20" s="97">
        <f>LF!H21/1000</f>
        <v>128</v>
      </c>
      <c r="G20" s="187">
        <v>1486.8885</v>
      </c>
      <c r="H20" s="187">
        <v>599.8192700000001</v>
      </c>
      <c r="I20" s="55">
        <v>2598.8819</v>
      </c>
      <c r="J20" s="55">
        <v>1124</v>
      </c>
      <c r="K20" s="22">
        <v>1280</v>
      </c>
      <c r="L20" s="97">
        <f>'FF'!H21/1000</f>
        <v>729.4659499999999</v>
      </c>
      <c r="M20" s="187">
        <v>547.1406</v>
      </c>
      <c r="N20" s="187">
        <v>304.13806</v>
      </c>
      <c r="O20" s="55">
        <v>70</v>
      </c>
      <c r="P20" s="55">
        <v>85</v>
      </c>
      <c r="Q20" s="22">
        <v>160</v>
      </c>
      <c r="R20" s="97">
        <f>PrF!H21/1000</f>
        <v>0</v>
      </c>
      <c r="S20" s="187">
        <v>0</v>
      </c>
      <c r="T20" s="55">
        <v>0</v>
      </c>
      <c r="U20" s="55">
        <v>0</v>
      </c>
      <c r="V20" s="55">
        <v>0</v>
      </c>
      <c r="W20" s="22">
        <v>0</v>
      </c>
      <c r="X20" s="97">
        <f>FSS!H21/1000</f>
        <v>1310.3</v>
      </c>
      <c r="Y20" s="187">
        <v>0</v>
      </c>
      <c r="Z20" s="55">
        <v>0</v>
      </c>
      <c r="AA20" s="55">
        <v>0</v>
      </c>
      <c r="AB20" s="55">
        <v>50</v>
      </c>
      <c r="AC20" s="22">
        <v>11</v>
      </c>
      <c r="AD20" s="97">
        <f>PřF!H21/1000</f>
        <v>138</v>
      </c>
      <c r="AE20" s="187">
        <v>359.7733</v>
      </c>
      <c r="AF20" s="55">
        <v>0</v>
      </c>
      <c r="AG20" s="55">
        <v>0</v>
      </c>
      <c r="AH20" s="55">
        <v>0</v>
      </c>
      <c r="AI20" s="22">
        <v>0</v>
      </c>
      <c r="AJ20" s="97">
        <f>'FI'!H21/1000</f>
        <v>0</v>
      </c>
      <c r="AK20" s="187">
        <v>0</v>
      </c>
      <c r="AL20" s="192">
        <v>0</v>
      </c>
      <c r="AM20" s="192">
        <v>0</v>
      </c>
      <c r="AN20" s="55">
        <v>0</v>
      </c>
      <c r="AO20" s="22">
        <v>0</v>
      </c>
      <c r="AP20" s="97">
        <f>PdF!H21/1000</f>
        <v>839</v>
      </c>
      <c r="AQ20" s="187">
        <v>777.6</v>
      </c>
      <c r="AR20" s="55">
        <v>1405</v>
      </c>
      <c r="AS20" s="55">
        <v>718.2772</v>
      </c>
      <c r="AT20" s="55">
        <v>807.157</v>
      </c>
      <c r="AU20" s="22">
        <v>0</v>
      </c>
      <c r="AV20" s="97">
        <f>FSpS!H21/1000</f>
        <v>0</v>
      </c>
      <c r="AW20" s="187">
        <v>0</v>
      </c>
      <c r="AX20" s="55">
        <v>0</v>
      </c>
      <c r="AY20" s="55">
        <v>0</v>
      </c>
      <c r="AZ20" s="55">
        <v>0</v>
      </c>
      <c r="BA20" s="22">
        <v>0</v>
      </c>
      <c r="BB20" s="97">
        <f>ESF!H21/1000</f>
        <v>249.824</v>
      </c>
      <c r="BC20" s="187">
        <v>240.40658</v>
      </c>
      <c r="BD20" s="55">
        <v>0</v>
      </c>
      <c r="BE20" s="55">
        <v>0</v>
      </c>
      <c r="BF20" s="55">
        <v>0</v>
      </c>
      <c r="BG20" s="22">
        <v>0</v>
      </c>
      <c r="BH20" s="178">
        <f t="shared" si="3"/>
        <v>3394.58995</v>
      </c>
      <c r="BI20" s="192">
        <f t="shared" si="3"/>
        <v>3411.80898</v>
      </c>
      <c r="BJ20" s="192">
        <v>2308.95733</v>
      </c>
      <c r="BK20" s="55">
        <v>3387.1591</v>
      </c>
      <c r="BL20" s="55">
        <v>2066.157</v>
      </c>
      <c r="BM20" s="163">
        <v>1451</v>
      </c>
    </row>
    <row r="21" spans="1:65" ht="11.25">
      <c r="A21" s="12"/>
      <c r="B21" s="20" t="s">
        <v>31</v>
      </c>
      <c r="C21" s="20"/>
      <c r="D21" s="20"/>
      <c r="E21" s="60">
        <v>19</v>
      </c>
      <c r="F21" s="97">
        <f>LF!H22/1000</f>
        <v>30</v>
      </c>
      <c r="G21" s="187">
        <v>27.844</v>
      </c>
      <c r="H21" s="187">
        <v>62.69236</v>
      </c>
      <c r="I21" s="55">
        <v>15</v>
      </c>
      <c r="J21" s="55">
        <v>87</v>
      </c>
      <c r="K21" s="22">
        <v>46</v>
      </c>
      <c r="L21" s="97">
        <f>'FF'!H22/1000</f>
        <v>7321.762019999999</v>
      </c>
      <c r="M21" s="187">
        <v>4042.17968</v>
      </c>
      <c r="N21" s="187">
        <v>4414.21028</v>
      </c>
      <c r="O21" s="55">
        <v>3377.6879900000004</v>
      </c>
      <c r="P21" s="55">
        <v>3759</v>
      </c>
      <c r="Q21" s="22">
        <v>2802</v>
      </c>
      <c r="R21" s="97">
        <f>PrF!H22/1000</f>
        <v>0</v>
      </c>
      <c r="S21" s="187">
        <v>284.6096</v>
      </c>
      <c r="T21" s="55">
        <v>628.9259300000001</v>
      </c>
      <c r="U21" s="55">
        <v>531.51001</v>
      </c>
      <c r="V21" s="55">
        <v>485</v>
      </c>
      <c r="W21" s="22">
        <v>308</v>
      </c>
      <c r="X21" s="97">
        <f>FSS!H22/1000</f>
        <v>11432.89816</v>
      </c>
      <c r="Y21" s="187">
        <v>1223.0886699999999</v>
      </c>
      <c r="Z21" s="55">
        <v>1095.1225900000002</v>
      </c>
      <c r="AA21" s="55">
        <v>2398.88825</v>
      </c>
      <c r="AB21" s="55">
        <v>1004</v>
      </c>
      <c r="AC21" s="22">
        <v>1465</v>
      </c>
      <c r="AD21" s="97">
        <f>PřF!H22/1000</f>
        <v>3546.39328</v>
      </c>
      <c r="AE21" s="187">
        <v>7676.6575</v>
      </c>
      <c r="AF21" s="55">
        <v>4347.01428</v>
      </c>
      <c r="AG21" s="55">
        <v>8799.668210000002</v>
      </c>
      <c r="AH21" s="55">
        <v>9092</v>
      </c>
      <c r="AI21" s="22">
        <v>4499</v>
      </c>
      <c r="AJ21" s="97">
        <f>'FI'!H22/1000</f>
        <v>2002.0231</v>
      </c>
      <c r="AK21" s="187">
        <v>1905.07992</v>
      </c>
      <c r="AL21" s="192">
        <v>111.9083</v>
      </c>
      <c r="AM21" s="192">
        <v>62.21246</v>
      </c>
      <c r="AN21" s="55">
        <v>1212</v>
      </c>
      <c r="AO21" s="22">
        <v>301</v>
      </c>
      <c r="AP21" s="97">
        <f>PdF!H22/1000</f>
        <v>10182.97916</v>
      </c>
      <c r="AQ21" s="187">
        <v>7832.5749000000005</v>
      </c>
      <c r="AR21" s="55">
        <v>10166.111439999999</v>
      </c>
      <c r="AS21" s="55">
        <v>8409.41283</v>
      </c>
      <c r="AT21" s="55">
        <v>3312.068</v>
      </c>
      <c r="AU21" s="22">
        <v>3253</v>
      </c>
      <c r="AV21" s="97">
        <f>FSpS!H22/1000</f>
        <v>2999.227</v>
      </c>
      <c r="AW21" s="187">
        <v>2949.5054</v>
      </c>
      <c r="AX21" s="55">
        <v>894.6388000000001</v>
      </c>
      <c r="AY21" s="55">
        <v>0</v>
      </c>
      <c r="AZ21" s="55">
        <v>100</v>
      </c>
      <c r="BA21" s="22">
        <v>0</v>
      </c>
      <c r="BB21" s="97">
        <f>ESF!H22/1000</f>
        <v>1718.0641</v>
      </c>
      <c r="BC21" s="187">
        <v>2945.74887</v>
      </c>
      <c r="BD21" s="55">
        <v>490.44723</v>
      </c>
      <c r="BE21" s="55">
        <v>458.10318</v>
      </c>
      <c r="BF21" s="55">
        <v>101</v>
      </c>
      <c r="BG21" s="22">
        <v>0</v>
      </c>
      <c r="BH21" s="178">
        <f t="shared" si="3"/>
        <v>39233.34682</v>
      </c>
      <c r="BI21" s="192">
        <f t="shared" si="3"/>
        <v>28887.288539999998</v>
      </c>
      <c r="BJ21" s="192">
        <v>22211.07121</v>
      </c>
      <c r="BK21" s="55">
        <v>24052.48293</v>
      </c>
      <c r="BL21" s="55">
        <v>19152.068</v>
      </c>
      <c r="BM21" s="163">
        <v>12674</v>
      </c>
    </row>
    <row r="22" spans="1:65" ht="11.25">
      <c r="A22" s="12"/>
      <c r="B22" s="20" t="s">
        <v>25</v>
      </c>
      <c r="C22" s="20"/>
      <c r="D22" s="20"/>
      <c r="E22" s="60">
        <v>20</v>
      </c>
      <c r="F22" s="97">
        <f>LF!H23/1000</f>
        <v>30504.28984</v>
      </c>
      <c r="G22" s="187">
        <v>31033.891</v>
      </c>
      <c r="H22" s="187">
        <v>24972</v>
      </c>
      <c r="I22" s="55">
        <v>25840.42241</v>
      </c>
      <c r="J22" s="55">
        <v>21901</v>
      </c>
      <c r="K22" s="22">
        <v>21368</v>
      </c>
      <c r="L22" s="97">
        <f>'FF'!H23/1000</f>
        <v>19230.2</v>
      </c>
      <c r="M22" s="187">
        <v>18801</v>
      </c>
      <c r="N22" s="187">
        <v>3870</v>
      </c>
      <c r="O22" s="55">
        <v>3638</v>
      </c>
      <c r="P22" s="55">
        <v>3456</v>
      </c>
      <c r="Q22" s="22">
        <v>3527</v>
      </c>
      <c r="R22" s="97">
        <f>PrF!H23/1000</f>
        <v>6267</v>
      </c>
      <c r="S22" s="187">
        <v>6118</v>
      </c>
      <c r="T22" s="55">
        <v>0</v>
      </c>
      <c r="U22" s="55">
        <v>0</v>
      </c>
      <c r="V22" s="55">
        <v>0</v>
      </c>
      <c r="W22" s="22">
        <v>0</v>
      </c>
      <c r="X22" s="97">
        <f>FSS!H23/1000</f>
        <v>27255.9415</v>
      </c>
      <c r="Y22" s="187">
        <v>26587</v>
      </c>
      <c r="Z22" s="55">
        <v>6350</v>
      </c>
      <c r="AA22" s="55">
        <v>6142</v>
      </c>
      <c r="AB22" s="55">
        <v>5977</v>
      </c>
      <c r="AC22" s="22">
        <v>5617</v>
      </c>
      <c r="AD22" s="97">
        <f>PřF!H23/1000</f>
        <v>153303.30080000003</v>
      </c>
      <c r="AE22" s="187">
        <v>150606</v>
      </c>
      <c r="AF22" s="55">
        <v>64548</v>
      </c>
      <c r="AG22" s="55">
        <v>63794</v>
      </c>
      <c r="AH22" s="55">
        <v>56587</v>
      </c>
      <c r="AI22" s="22">
        <v>53222</v>
      </c>
      <c r="AJ22" s="97">
        <f>'FI'!H23/1000</f>
        <v>11219.86339</v>
      </c>
      <c r="AK22" s="187">
        <v>11316</v>
      </c>
      <c r="AL22" s="192">
        <v>11368</v>
      </c>
      <c r="AM22" s="192">
        <v>11091</v>
      </c>
      <c r="AN22" s="55">
        <v>10125</v>
      </c>
      <c r="AO22" s="22">
        <v>9467</v>
      </c>
      <c r="AP22" s="97">
        <f>PdF!H23/1000</f>
        <v>8860</v>
      </c>
      <c r="AQ22" s="187">
        <v>9199</v>
      </c>
      <c r="AR22" s="55">
        <v>742</v>
      </c>
      <c r="AS22" s="55">
        <v>728</v>
      </c>
      <c r="AT22" s="55">
        <v>676</v>
      </c>
      <c r="AU22" s="22">
        <v>594</v>
      </c>
      <c r="AV22" s="97">
        <f>FSpS!H23/1000</f>
        <v>0</v>
      </c>
      <c r="AW22" s="187">
        <v>0</v>
      </c>
      <c r="AX22" s="55">
        <v>0</v>
      </c>
      <c r="AY22" s="55">
        <v>0</v>
      </c>
      <c r="AZ22" s="55">
        <v>0</v>
      </c>
      <c r="BA22" s="22">
        <v>0</v>
      </c>
      <c r="BB22" s="97">
        <f>ESF!H23/1000</f>
        <v>884</v>
      </c>
      <c r="BC22" s="187">
        <v>904</v>
      </c>
      <c r="BD22" s="55">
        <v>1786</v>
      </c>
      <c r="BE22" s="55">
        <v>1756.00034</v>
      </c>
      <c r="BF22" s="55">
        <v>1631</v>
      </c>
      <c r="BG22" s="22">
        <v>1533</v>
      </c>
      <c r="BH22" s="178">
        <f t="shared" si="3"/>
        <v>257524.59553000005</v>
      </c>
      <c r="BI22" s="192">
        <f t="shared" si="3"/>
        <v>254564.891</v>
      </c>
      <c r="BJ22" s="192">
        <v>113636</v>
      </c>
      <c r="BK22" s="55">
        <v>112989.42275</v>
      </c>
      <c r="BL22" s="55">
        <v>100353</v>
      </c>
      <c r="BM22" s="163">
        <v>95328</v>
      </c>
    </row>
    <row r="23" spans="1:65" ht="11.25">
      <c r="A23" s="12"/>
      <c r="B23" s="20" t="s">
        <v>26</v>
      </c>
      <c r="C23" s="20"/>
      <c r="D23" s="20"/>
      <c r="E23" s="60">
        <v>21</v>
      </c>
      <c r="F23" s="97">
        <f>LF!H24/1000</f>
        <v>67018.02103</v>
      </c>
      <c r="G23" s="187">
        <v>51436.34439</v>
      </c>
      <c r="H23" s="187">
        <v>27655.725100000003</v>
      </c>
      <c r="I23" s="55">
        <v>28405.89747</v>
      </c>
      <c r="J23" s="55">
        <v>22604</v>
      </c>
      <c r="K23" s="22">
        <v>17504</v>
      </c>
      <c r="L23" s="97">
        <f>'FF'!H24/1000</f>
        <v>22106.88856</v>
      </c>
      <c r="M23" s="187">
        <v>21117.06298</v>
      </c>
      <c r="N23" s="187">
        <v>18747.97568</v>
      </c>
      <c r="O23" s="55">
        <v>17163</v>
      </c>
      <c r="P23" s="55">
        <v>12545</v>
      </c>
      <c r="Q23" s="22">
        <v>10472</v>
      </c>
      <c r="R23" s="97">
        <f>PrF!H24/1000</f>
        <v>823</v>
      </c>
      <c r="S23" s="187">
        <v>590.94832</v>
      </c>
      <c r="T23" s="55">
        <v>751.1555</v>
      </c>
      <c r="U23" s="55">
        <v>792.45415</v>
      </c>
      <c r="V23" s="55">
        <v>479</v>
      </c>
      <c r="W23" s="22">
        <v>704</v>
      </c>
      <c r="X23" s="97">
        <f>FSS!H24/1000</f>
        <v>11450.23844</v>
      </c>
      <c r="Y23" s="187">
        <v>9020.30615</v>
      </c>
      <c r="Z23" s="55">
        <v>16455.35802</v>
      </c>
      <c r="AA23" s="55">
        <v>18235.36789</v>
      </c>
      <c r="AB23" s="55">
        <v>12564</v>
      </c>
      <c r="AC23" s="22">
        <v>13894</v>
      </c>
      <c r="AD23" s="97">
        <f>PřF!H24/1000</f>
        <v>70390.83728</v>
      </c>
      <c r="AE23" s="187">
        <v>40162.78157</v>
      </c>
      <c r="AF23" s="55">
        <v>45294.58533</v>
      </c>
      <c r="AG23" s="55">
        <v>44798.99665</v>
      </c>
      <c r="AH23" s="55">
        <v>38913</v>
      </c>
      <c r="AI23" s="22">
        <v>31809</v>
      </c>
      <c r="AJ23" s="97">
        <f>'FI'!H24/1000</f>
        <v>23481.918</v>
      </c>
      <c r="AK23" s="187">
        <v>19086.846</v>
      </c>
      <c r="AL23" s="192">
        <v>8315.468</v>
      </c>
      <c r="AM23" s="192">
        <v>6566.6497</v>
      </c>
      <c r="AN23" s="55">
        <v>4614</v>
      </c>
      <c r="AO23" s="22">
        <v>4187</v>
      </c>
      <c r="AP23" s="97">
        <f>PdF!H24/1000</f>
        <v>5591.43</v>
      </c>
      <c r="AQ23" s="187">
        <v>3815.1204</v>
      </c>
      <c r="AR23" s="55">
        <v>2154.75902</v>
      </c>
      <c r="AS23" s="55">
        <v>1825.62214</v>
      </c>
      <c r="AT23" s="55">
        <v>820.674</v>
      </c>
      <c r="AU23" s="22">
        <v>1778</v>
      </c>
      <c r="AV23" s="97">
        <f>FSpS!H24/1000</f>
        <v>0</v>
      </c>
      <c r="AW23" s="187">
        <v>417</v>
      </c>
      <c r="AX23" s="55">
        <v>223</v>
      </c>
      <c r="AY23" s="55">
        <v>274</v>
      </c>
      <c r="AZ23" s="55">
        <v>93</v>
      </c>
      <c r="BA23" s="22">
        <v>0</v>
      </c>
      <c r="BB23" s="97">
        <f>ESF!H24/1000</f>
        <v>22095.646109999998</v>
      </c>
      <c r="BC23" s="187">
        <v>19865.416149999997</v>
      </c>
      <c r="BD23" s="55">
        <v>3902.702</v>
      </c>
      <c r="BE23" s="55">
        <v>5272</v>
      </c>
      <c r="BF23" s="55">
        <v>2452</v>
      </c>
      <c r="BG23" s="22">
        <v>1051</v>
      </c>
      <c r="BH23" s="178">
        <f t="shared" si="3"/>
        <v>222957.97942000002</v>
      </c>
      <c r="BI23" s="192">
        <f t="shared" si="3"/>
        <v>165511.82596</v>
      </c>
      <c r="BJ23" s="192">
        <v>123500.72864999999</v>
      </c>
      <c r="BK23" s="55">
        <v>123333.988</v>
      </c>
      <c r="BL23" s="55">
        <v>95084.674</v>
      </c>
      <c r="BM23" s="163">
        <v>81399</v>
      </c>
    </row>
    <row r="24" spans="1:65" ht="11.25">
      <c r="A24" s="12"/>
      <c r="B24" s="20" t="s">
        <v>27</v>
      </c>
      <c r="C24" s="20"/>
      <c r="D24" s="20"/>
      <c r="E24" s="60">
        <v>22</v>
      </c>
      <c r="F24" s="97">
        <f>LF!H25/1000</f>
        <v>9487.01942</v>
      </c>
      <c r="G24" s="187">
        <v>4318.9920999999995</v>
      </c>
      <c r="H24" s="187">
        <v>3940.41828</v>
      </c>
      <c r="I24" s="55">
        <v>2623.0329300000003</v>
      </c>
      <c r="J24" s="55">
        <v>2339</v>
      </c>
      <c r="K24" s="22">
        <v>1790</v>
      </c>
      <c r="L24" s="97">
        <f>'FF'!H25/1000</f>
        <v>210.82277</v>
      </c>
      <c r="M24" s="187">
        <v>959.8710500000001</v>
      </c>
      <c r="N24" s="187">
        <v>1931.0675</v>
      </c>
      <c r="O24" s="55">
        <v>2022.337</v>
      </c>
      <c r="P24" s="55">
        <v>1351</v>
      </c>
      <c r="Q24" s="22">
        <v>1690</v>
      </c>
      <c r="R24" s="97">
        <f>PrF!H25/1000</f>
        <v>15.30903</v>
      </c>
      <c r="S24" s="187">
        <v>51.19915</v>
      </c>
      <c r="T24" s="55">
        <v>46.34585</v>
      </c>
      <c r="U24" s="55">
        <v>77.72663</v>
      </c>
      <c r="V24" s="55">
        <v>167</v>
      </c>
      <c r="W24" s="22">
        <v>219</v>
      </c>
      <c r="X24" s="97">
        <f>FSS!H25/1000</f>
        <v>3962.93225</v>
      </c>
      <c r="Y24" s="187">
        <v>2791.0902</v>
      </c>
      <c r="Z24" s="55">
        <v>1965.33402</v>
      </c>
      <c r="AA24" s="55">
        <v>1659.51378</v>
      </c>
      <c r="AB24" s="55">
        <v>285</v>
      </c>
      <c r="AC24" s="22">
        <v>958</v>
      </c>
      <c r="AD24" s="97">
        <f>PřF!H25/1000</f>
        <v>37760.37606</v>
      </c>
      <c r="AE24" s="187">
        <v>33397.00177</v>
      </c>
      <c r="AF24" s="55">
        <v>20771.27303</v>
      </c>
      <c r="AG24" s="55">
        <v>11415.876189999999</v>
      </c>
      <c r="AH24" s="55">
        <v>10480</v>
      </c>
      <c r="AI24" s="22">
        <v>6762</v>
      </c>
      <c r="AJ24" s="97">
        <f>'FI'!H25/1000</f>
        <v>9809.29978</v>
      </c>
      <c r="AK24" s="187">
        <v>6894.92303</v>
      </c>
      <c r="AL24" s="192">
        <v>3606.81284</v>
      </c>
      <c r="AM24" s="192">
        <v>2786.0802799999997</v>
      </c>
      <c r="AN24" s="55">
        <v>1942</v>
      </c>
      <c r="AO24" s="22">
        <v>1264</v>
      </c>
      <c r="AP24" s="97">
        <f>PdF!H25/1000</f>
        <v>1643.271</v>
      </c>
      <c r="AQ24" s="187">
        <v>1260.6966699999998</v>
      </c>
      <c r="AR24" s="55">
        <v>1019.67248</v>
      </c>
      <c r="AS24" s="55">
        <v>263.44415000000004</v>
      </c>
      <c r="AT24" s="55">
        <v>191.95</v>
      </c>
      <c r="AU24" s="22">
        <v>1265</v>
      </c>
      <c r="AV24" s="97">
        <f>FSpS!H25/1000</f>
        <v>247.11319</v>
      </c>
      <c r="AW24" s="187">
        <v>185.588</v>
      </c>
      <c r="AX24" s="55">
        <v>200</v>
      </c>
      <c r="AY24" s="55">
        <v>0</v>
      </c>
      <c r="AZ24" s="55">
        <v>0</v>
      </c>
      <c r="BA24" s="22">
        <v>0</v>
      </c>
      <c r="BB24" s="97">
        <f>ESF!H25/1000</f>
        <v>417.739</v>
      </c>
      <c r="BC24" s="187">
        <v>255</v>
      </c>
      <c r="BD24" s="55">
        <v>294</v>
      </c>
      <c r="BE24" s="55">
        <v>226</v>
      </c>
      <c r="BF24" s="55">
        <v>38</v>
      </c>
      <c r="BG24" s="22">
        <v>28</v>
      </c>
      <c r="BH24" s="178">
        <f t="shared" si="3"/>
        <v>63553.88250000001</v>
      </c>
      <c r="BI24" s="192">
        <f t="shared" si="3"/>
        <v>50114.36197</v>
      </c>
      <c r="BJ24" s="192">
        <v>33774.924</v>
      </c>
      <c r="BK24" s="55">
        <v>21074.01096</v>
      </c>
      <c r="BL24" s="55">
        <v>16793.95</v>
      </c>
      <c r="BM24" s="163">
        <v>13976</v>
      </c>
    </row>
    <row r="25" spans="1:65" ht="12" thickBot="1">
      <c r="A25" s="12"/>
      <c r="B25" s="20" t="s">
        <v>30</v>
      </c>
      <c r="C25" s="20"/>
      <c r="D25" s="20"/>
      <c r="E25" s="58">
        <v>23</v>
      </c>
      <c r="F25" s="97">
        <f>LF!H26/1000</f>
        <v>2497.31556</v>
      </c>
      <c r="G25" s="187">
        <v>6375.62711</v>
      </c>
      <c r="H25" s="187">
        <v>4961.47504</v>
      </c>
      <c r="I25" s="55">
        <v>2354.02617</v>
      </c>
      <c r="J25" s="55">
        <v>2795</v>
      </c>
      <c r="K25" s="22">
        <v>2606</v>
      </c>
      <c r="L25" s="97">
        <f>'FF'!H26/1000</f>
        <v>352.75</v>
      </c>
      <c r="M25" s="187">
        <v>0</v>
      </c>
      <c r="N25" s="187">
        <v>0</v>
      </c>
      <c r="O25" s="55">
        <v>239.0563</v>
      </c>
      <c r="P25" s="55">
        <v>236</v>
      </c>
      <c r="Q25" s="22">
        <v>456</v>
      </c>
      <c r="R25" s="97">
        <f>PrF!H26/1000</f>
        <v>280.6365</v>
      </c>
      <c r="S25" s="187">
        <v>337.5055</v>
      </c>
      <c r="T25" s="55">
        <v>172.47519</v>
      </c>
      <c r="U25" s="55">
        <v>149.6794</v>
      </c>
      <c r="V25" s="55">
        <v>161</v>
      </c>
      <c r="W25" s="22">
        <v>1898</v>
      </c>
      <c r="X25" s="97">
        <f>FSS!H26/1000</f>
        <v>575.51495</v>
      </c>
      <c r="Y25" s="187">
        <v>306.98833</v>
      </c>
      <c r="Z25" s="55">
        <v>273.11606</v>
      </c>
      <c r="AA25" s="55">
        <v>1.578</v>
      </c>
      <c r="AB25" s="55">
        <v>21</v>
      </c>
      <c r="AC25" s="22">
        <v>97</v>
      </c>
      <c r="AD25" s="97">
        <f>PřF!H26/1000</f>
        <v>17072.903710000002</v>
      </c>
      <c r="AE25" s="187">
        <v>16825.34025</v>
      </c>
      <c r="AF25" s="55">
        <v>18820.474260000003</v>
      </c>
      <c r="AG25" s="55">
        <v>5488.53064</v>
      </c>
      <c r="AH25" s="55">
        <v>16223</v>
      </c>
      <c r="AI25" s="22">
        <v>16306</v>
      </c>
      <c r="AJ25" s="97">
        <f>'FI'!H26/1000</f>
        <v>11.729</v>
      </c>
      <c r="AK25" s="187">
        <v>0</v>
      </c>
      <c r="AL25" s="192">
        <v>107.49616999999999</v>
      </c>
      <c r="AM25" s="192">
        <v>0</v>
      </c>
      <c r="AN25" s="55">
        <v>0</v>
      </c>
      <c r="AO25" s="22">
        <v>0</v>
      </c>
      <c r="AP25" s="97">
        <f>PdF!H26/1000</f>
        <v>11.8875</v>
      </c>
      <c r="AQ25" s="187">
        <v>13.515</v>
      </c>
      <c r="AR25" s="55">
        <v>4.498399999999999</v>
      </c>
      <c r="AS25" s="55">
        <v>18.3783</v>
      </c>
      <c r="AT25" s="55">
        <v>34.528</v>
      </c>
      <c r="AU25" s="22">
        <v>657</v>
      </c>
      <c r="AV25" s="97">
        <f>FSpS!H26/1000</f>
        <v>1245.70351</v>
      </c>
      <c r="AW25" s="187">
        <v>367.02715</v>
      </c>
      <c r="AX25" s="55">
        <v>584.2626</v>
      </c>
      <c r="AY25" s="55">
        <v>161.1224</v>
      </c>
      <c r="AZ25" s="55">
        <v>307</v>
      </c>
      <c r="BA25" s="22">
        <v>0</v>
      </c>
      <c r="BB25" s="97">
        <f>ESF!H26/1000</f>
        <v>5878.03255</v>
      </c>
      <c r="BC25" s="187">
        <v>4005.7945299999997</v>
      </c>
      <c r="BD25" s="55">
        <v>5602.243820000001</v>
      </c>
      <c r="BE25" s="55">
        <v>4874.90435</v>
      </c>
      <c r="BF25" s="55">
        <v>3770</v>
      </c>
      <c r="BG25" s="22">
        <v>2319</v>
      </c>
      <c r="BH25" s="178">
        <f t="shared" si="3"/>
        <v>27926.473280000002</v>
      </c>
      <c r="BI25" s="192">
        <f t="shared" si="3"/>
        <v>28231.797870000002</v>
      </c>
      <c r="BJ25" s="192">
        <v>30526.041540000002</v>
      </c>
      <c r="BK25" s="55">
        <v>13287.275560000002</v>
      </c>
      <c r="BL25" s="55">
        <v>23547.528</v>
      </c>
      <c r="BM25" s="163">
        <v>24339</v>
      </c>
    </row>
    <row r="26" spans="1:65" ht="12" thickBot="1">
      <c r="A26" s="117" t="s">
        <v>34</v>
      </c>
      <c r="B26" s="118"/>
      <c r="C26" s="118"/>
      <c r="D26" s="118"/>
      <c r="E26" s="127">
        <v>24</v>
      </c>
      <c r="F26" s="119">
        <f>SUM(F27:F41)</f>
        <v>454393.5109</v>
      </c>
      <c r="G26" s="188">
        <f>SUM(G27:G41)</f>
        <v>401301.63584999996</v>
      </c>
      <c r="H26" s="188">
        <f>SUM(H27:H41)</f>
        <v>331131.57246999996</v>
      </c>
      <c r="I26" s="121">
        <f>SUM(I27:I41)</f>
        <v>264802.92042</v>
      </c>
      <c r="J26" s="121">
        <f>SUM(J27:J41)</f>
        <v>233547</v>
      </c>
      <c r="K26" s="129">
        <f aca="true" t="shared" si="4" ref="K26:AI26">SUM(K27:K41)</f>
        <v>198425</v>
      </c>
      <c r="L26" s="119">
        <f>SUM(L27:L41)</f>
        <v>311744.84053</v>
      </c>
      <c r="M26" s="188">
        <f>SUM(M27:M41)</f>
        <v>275349.70115</v>
      </c>
      <c r="N26" s="188">
        <f t="shared" si="4"/>
        <v>229846.86024999997</v>
      </c>
      <c r="O26" s="121">
        <f t="shared" si="4"/>
        <v>169839.24172999998</v>
      </c>
      <c r="P26" s="121">
        <f t="shared" si="4"/>
        <v>145599</v>
      </c>
      <c r="Q26" s="129">
        <f t="shared" si="4"/>
        <v>109073</v>
      </c>
      <c r="R26" s="119">
        <f>PrF!H27/1000</f>
        <v>129096.82281</v>
      </c>
      <c r="S26" s="188">
        <f>SUM(S27:S41)</f>
        <v>114111.5179</v>
      </c>
      <c r="T26" s="121">
        <f t="shared" si="4"/>
        <v>98618.83131</v>
      </c>
      <c r="U26" s="121">
        <f t="shared" si="4"/>
        <v>76283.15469</v>
      </c>
      <c r="V26" s="121">
        <f t="shared" si="4"/>
        <v>64679</v>
      </c>
      <c r="W26" s="129">
        <f t="shared" si="4"/>
        <v>57726</v>
      </c>
      <c r="X26" s="119">
        <f>SUM(X27:X41)</f>
        <v>181494.64356</v>
      </c>
      <c r="Y26" s="188">
        <f>SUM(Y27:Y41)</f>
        <v>146969.15067</v>
      </c>
      <c r="Z26" s="121">
        <f t="shared" si="4"/>
        <v>104570.57368999999</v>
      </c>
      <c r="AA26" s="121">
        <f t="shared" si="4"/>
        <v>87970.89429</v>
      </c>
      <c r="AB26" s="121">
        <f t="shared" si="4"/>
        <v>82430</v>
      </c>
      <c r="AC26" s="129">
        <f t="shared" si="4"/>
        <v>61090</v>
      </c>
      <c r="AD26" s="119">
        <f>PřF!H27/1000</f>
        <v>606386.01039</v>
      </c>
      <c r="AE26" s="188">
        <f>SUM(AE27:AE41)</f>
        <v>541177.59515</v>
      </c>
      <c r="AF26" s="121">
        <f t="shared" si="4"/>
        <v>426920.68340000004</v>
      </c>
      <c r="AG26" s="121">
        <f t="shared" si="4"/>
        <v>365090.8499699999</v>
      </c>
      <c r="AH26" s="121">
        <f t="shared" si="4"/>
        <v>348018</v>
      </c>
      <c r="AI26" s="121">
        <f t="shared" si="4"/>
        <v>291974</v>
      </c>
      <c r="AJ26" s="119">
        <f>SUM(AJ27:AJ41)</f>
        <v>165677.47176999997</v>
      </c>
      <c r="AK26" s="188">
        <f>SUM(AK27:AK41)</f>
        <v>136912.68649999998</v>
      </c>
      <c r="AL26" s="121">
        <f aca="true" t="shared" si="5" ref="AL26:BG26">SUM(AL27:AL41)</f>
        <v>117524.11969000002</v>
      </c>
      <c r="AM26" s="121">
        <f t="shared" si="5"/>
        <v>88497.40926</v>
      </c>
      <c r="AN26" s="121">
        <f t="shared" si="5"/>
        <v>88653</v>
      </c>
      <c r="AO26" s="129">
        <f t="shared" si="5"/>
        <v>65327</v>
      </c>
      <c r="AP26" s="119">
        <f>SUM(AP27:AP41)</f>
        <v>232649.31693000003</v>
      </c>
      <c r="AQ26" s="188">
        <f>SUM(AQ27:AQ41)</f>
        <v>219711.78239000004</v>
      </c>
      <c r="AR26" s="121">
        <f t="shared" si="5"/>
        <v>180355.64886</v>
      </c>
      <c r="AS26" s="121">
        <f t="shared" si="5"/>
        <v>148588.27285000004</v>
      </c>
      <c r="AT26" s="121">
        <f t="shared" si="5"/>
        <v>142211.13799999998</v>
      </c>
      <c r="AU26" s="129">
        <f t="shared" si="5"/>
        <v>125404</v>
      </c>
      <c r="AV26" s="119">
        <f>SUM(AV27:AV41)</f>
        <v>77537.97125</v>
      </c>
      <c r="AW26" s="188">
        <f>SUM(AW27:AW41)</f>
        <v>68843.69651000001</v>
      </c>
      <c r="AX26" s="121">
        <f>SUM(AX27:AX41)</f>
        <v>59600.444299999996</v>
      </c>
      <c r="AY26" s="121">
        <f t="shared" si="5"/>
        <v>44150.576349999996</v>
      </c>
      <c r="AZ26" s="121">
        <f t="shared" si="5"/>
        <v>34331</v>
      </c>
      <c r="BA26" s="129">
        <f t="shared" si="5"/>
        <v>15332</v>
      </c>
      <c r="BB26" s="119">
        <f>SUM(BB27:BB41)</f>
        <v>149923.99610999998</v>
      </c>
      <c r="BC26" s="188">
        <f>SUM(BC27:BC41)</f>
        <v>143005.33655</v>
      </c>
      <c r="BD26" s="121">
        <f t="shared" si="5"/>
        <v>114308.8341</v>
      </c>
      <c r="BE26" s="121">
        <f t="shared" si="5"/>
        <v>90750.87225999999</v>
      </c>
      <c r="BF26" s="121">
        <f t="shared" si="5"/>
        <v>73129</v>
      </c>
      <c r="BG26" s="121">
        <f t="shared" si="5"/>
        <v>58964</v>
      </c>
      <c r="BH26" s="498">
        <f aca="true" t="shared" si="6" ref="BH26:BI41">F26+L26+R26+X26+AD26+AJ26+AP26+AV26+BB26</f>
        <v>2308904.5842500003</v>
      </c>
      <c r="BI26" s="121">
        <f t="shared" si="6"/>
        <v>2047383.10267</v>
      </c>
      <c r="BJ26" s="121">
        <v>1662877.5680700003</v>
      </c>
      <c r="BK26" s="121">
        <v>1335974.19182</v>
      </c>
      <c r="BL26" s="121">
        <v>1212597.138</v>
      </c>
      <c r="BM26" s="166">
        <v>983315</v>
      </c>
    </row>
    <row r="27" spans="1:65" ht="11.25">
      <c r="A27" s="12" t="s">
        <v>10</v>
      </c>
      <c r="B27" s="21" t="s">
        <v>23</v>
      </c>
      <c r="C27" s="21"/>
      <c r="D27" s="21"/>
      <c r="E27" s="60">
        <v>25</v>
      </c>
      <c r="F27" s="97">
        <f>LF!H28/1000</f>
        <v>227574.986</v>
      </c>
      <c r="G27" s="493">
        <v>203825.19994999998</v>
      </c>
      <c r="H27" s="187">
        <v>197728.47269</v>
      </c>
      <c r="I27" s="55">
        <v>139095.95463999998</v>
      </c>
      <c r="J27" s="55">
        <v>117481</v>
      </c>
      <c r="K27" s="22">
        <v>97174</v>
      </c>
      <c r="L27" s="97">
        <f>'FF'!H28/1000</f>
        <v>193872.459</v>
      </c>
      <c r="M27" s="493">
        <v>163615.664</v>
      </c>
      <c r="N27" s="187">
        <v>148453.946</v>
      </c>
      <c r="O27" s="55">
        <v>97075</v>
      </c>
      <c r="P27" s="55">
        <v>79917</v>
      </c>
      <c r="Q27" s="22">
        <v>59310</v>
      </c>
      <c r="R27" s="97">
        <f>PrF!H28/1000</f>
        <v>83371.464</v>
      </c>
      <c r="S27" s="493">
        <v>74304.458</v>
      </c>
      <c r="T27" s="55">
        <v>66152.307</v>
      </c>
      <c r="U27" s="55">
        <v>47497.87589</v>
      </c>
      <c r="V27" s="55">
        <v>44076</v>
      </c>
      <c r="W27" s="22">
        <v>36526</v>
      </c>
      <c r="X27" s="97">
        <f>FSS!H28/1000</f>
        <v>75928.243</v>
      </c>
      <c r="Y27" s="493">
        <v>63268.231</v>
      </c>
      <c r="Z27" s="55">
        <v>47955.266</v>
      </c>
      <c r="AA27" s="55">
        <v>33674.081</v>
      </c>
      <c r="AB27" s="55">
        <v>38404</v>
      </c>
      <c r="AC27" s="22">
        <v>24531</v>
      </c>
      <c r="AD27" s="97">
        <f>PřF!H28/1000</f>
        <v>174413.5292</v>
      </c>
      <c r="AE27" s="493">
        <v>153682.969</v>
      </c>
      <c r="AF27" s="55">
        <v>179365.719</v>
      </c>
      <c r="AG27" s="55">
        <v>124935.66</v>
      </c>
      <c r="AH27" s="55">
        <v>101859</v>
      </c>
      <c r="AI27" s="22">
        <v>91673</v>
      </c>
      <c r="AJ27" s="97">
        <f>'FI'!H28/1000</f>
        <v>79935.96865000001</v>
      </c>
      <c r="AK27" s="493">
        <v>67787.711</v>
      </c>
      <c r="AL27" s="55">
        <v>76297.989</v>
      </c>
      <c r="AM27" s="55">
        <v>54795.999990000004</v>
      </c>
      <c r="AN27" s="55">
        <v>46486</v>
      </c>
      <c r="AO27" s="22">
        <v>34931</v>
      </c>
      <c r="AP27" s="97">
        <f>PdF!H28/1000</f>
        <v>159561.718</v>
      </c>
      <c r="AQ27" s="493">
        <v>152827.771</v>
      </c>
      <c r="AR27" s="55">
        <v>132861.233</v>
      </c>
      <c r="AS27" s="55">
        <v>92424</v>
      </c>
      <c r="AT27" s="55">
        <v>90604</v>
      </c>
      <c r="AU27" s="22">
        <v>76663</v>
      </c>
      <c r="AV27" s="97">
        <f>FSpS!H28/1000</f>
        <v>60671.504</v>
      </c>
      <c r="AW27" s="493">
        <v>53330.961</v>
      </c>
      <c r="AX27" s="55">
        <v>45951.672</v>
      </c>
      <c r="AY27" s="55">
        <v>35079.02</v>
      </c>
      <c r="AZ27" s="55">
        <v>27194</v>
      </c>
      <c r="BA27" s="22">
        <v>14901</v>
      </c>
      <c r="BB27" s="97">
        <f>ESF!H28/1000</f>
        <v>85657.703</v>
      </c>
      <c r="BC27" s="493">
        <v>79854.911</v>
      </c>
      <c r="BD27" s="55">
        <v>74222.049</v>
      </c>
      <c r="BE27" s="55">
        <v>53976</v>
      </c>
      <c r="BF27" s="55">
        <v>46919</v>
      </c>
      <c r="BG27" s="22">
        <v>40280</v>
      </c>
      <c r="BH27" s="511">
        <f t="shared" si="6"/>
        <v>1140987.57485</v>
      </c>
      <c r="BI27" s="55">
        <f t="shared" si="6"/>
        <v>1012497.87595</v>
      </c>
      <c r="BJ27" s="55">
        <v>968988.65369</v>
      </c>
      <c r="BK27" s="55">
        <v>678553.59152</v>
      </c>
      <c r="BL27" s="55">
        <v>592940</v>
      </c>
      <c r="BM27" s="163">
        <v>475989</v>
      </c>
    </row>
    <row r="28" spans="1:65" ht="11.25">
      <c r="A28" s="12"/>
      <c r="B28" s="20" t="s">
        <v>14</v>
      </c>
      <c r="C28" s="20"/>
      <c r="D28" s="20"/>
      <c r="E28" s="60">
        <v>26</v>
      </c>
      <c r="F28" s="97">
        <f>LF!H29/1000</f>
        <v>16731</v>
      </c>
      <c r="G28" s="187">
        <v>14657</v>
      </c>
      <c r="H28" s="187">
        <v>11820</v>
      </c>
      <c r="I28" s="55">
        <v>8849.299</v>
      </c>
      <c r="J28" s="55">
        <v>6768</v>
      </c>
      <c r="K28" s="22">
        <v>4005</v>
      </c>
      <c r="L28" s="97">
        <f>'FF'!H29/1000</f>
        <v>18780</v>
      </c>
      <c r="M28" s="187">
        <v>16892</v>
      </c>
      <c r="N28" s="187">
        <v>14440</v>
      </c>
      <c r="O28" s="55">
        <v>11325</v>
      </c>
      <c r="P28" s="55">
        <v>8784</v>
      </c>
      <c r="Q28" s="22">
        <v>5940</v>
      </c>
      <c r="R28" s="97">
        <f>PrF!H29/1000</f>
        <v>3063</v>
      </c>
      <c r="S28" s="187">
        <v>2419</v>
      </c>
      <c r="T28" s="55">
        <v>1568.75</v>
      </c>
      <c r="U28" s="55">
        <v>862.5</v>
      </c>
      <c r="V28" s="55">
        <v>314</v>
      </c>
      <c r="W28" s="22">
        <v>65</v>
      </c>
      <c r="X28" s="97">
        <f>FSS!H29/1000</f>
        <v>12041</v>
      </c>
      <c r="Y28" s="187">
        <v>12279.5</v>
      </c>
      <c r="Z28" s="55">
        <v>9000</v>
      </c>
      <c r="AA28" s="55">
        <v>6093.75</v>
      </c>
      <c r="AB28" s="55">
        <v>4374</v>
      </c>
      <c r="AC28" s="22">
        <v>3375</v>
      </c>
      <c r="AD28" s="97">
        <f>PřF!H29/1000</f>
        <v>30357</v>
      </c>
      <c r="AE28" s="187">
        <v>30033</v>
      </c>
      <c r="AF28" s="55">
        <v>28540</v>
      </c>
      <c r="AG28" s="55">
        <v>23119.534</v>
      </c>
      <c r="AH28" s="55">
        <v>19422</v>
      </c>
      <c r="AI28" s="22">
        <v>13916</v>
      </c>
      <c r="AJ28" s="97">
        <f>'FI'!H29/1000</f>
        <v>4035</v>
      </c>
      <c r="AK28" s="187">
        <v>3854</v>
      </c>
      <c r="AL28" s="55">
        <v>3491.25</v>
      </c>
      <c r="AM28" s="55">
        <v>2906.25</v>
      </c>
      <c r="AN28" s="55">
        <v>2556</v>
      </c>
      <c r="AO28" s="22">
        <v>2340</v>
      </c>
      <c r="AP28" s="97">
        <f>PdF!H29/1000</f>
        <v>5767</v>
      </c>
      <c r="AQ28" s="187">
        <v>5617</v>
      </c>
      <c r="AR28" s="55">
        <v>4715</v>
      </c>
      <c r="AS28" s="55">
        <v>3463.75</v>
      </c>
      <c r="AT28" s="55">
        <v>2061.882</v>
      </c>
      <c r="AU28" s="22">
        <v>2114</v>
      </c>
      <c r="AV28" s="97">
        <f>FSpS!H29/1000</f>
        <v>1500</v>
      </c>
      <c r="AW28" s="187">
        <v>1374</v>
      </c>
      <c r="AX28" s="55">
        <v>1280</v>
      </c>
      <c r="AY28" s="55">
        <v>1361.768</v>
      </c>
      <c r="AZ28" s="55">
        <v>1296</v>
      </c>
      <c r="BA28" s="22">
        <v>0</v>
      </c>
      <c r="BB28" s="97">
        <f>ESF!H29/1000</f>
        <v>5746</v>
      </c>
      <c r="BC28" s="187">
        <v>6047.5</v>
      </c>
      <c r="BD28" s="55">
        <v>6060</v>
      </c>
      <c r="BE28" s="55">
        <v>4575</v>
      </c>
      <c r="BF28" s="55">
        <v>3294</v>
      </c>
      <c r="BG28" s="22">
        <v>2130</v>
      </c>
      <c r="BH28" s="511">
        <f t="shared" si="6"/>
        <v>98020</v>
      </c>
      <c r="BI28" s="55">
        <f t="shared" si="6"/>
        <v>93173</v>
      </c>
      <c r="BJ28" s="55">
        <v>80915</v>
      </c>
      <c r="BK28" s="55">
        <v>62556.850999999995</v>
      </c>
      <c r="BL28" s="55">
        <v>48869.882</v>
      </c>
      <c r="BM28" s="163">
        <v>33885</v>
      </c>
    </row>
    <row r="29" spans="1:65" ht="11.25">
      <c r="A29" s="12"/>
      <c r="B29" s="20" t="s">
        <v>15</v>
      </c>
      <c r="C29" s="20"/>
      <c r="D29" s="20"/>
      <c r="E29" s="60">
        <v>27</v>
      </c>
      <c r="F29" s="97">
        <f>LF!H30/1000</f>
        <v>1108</v>
      </c>
      <c r="G29" s="187">
        <v>877</v>
      </c>
      <c r="H29" s="187">
        <v>874.817</v>
      </c>
      <c r="I29" s="55">
        <v>1595</v>
      </c>
      <c r="J29" s="55">
        <v>2145</v>
      </c>
      <c r="K29" s="22">
        <v>1925</v>
      </c>
      <c r="L29" s="97">
        <f>'FF'!H30/1000</f>
        <v>5036.10924</v>
      </c>
      <c r="M29" s="187">
        <v>2974</v>
      </c>
      <c r="N29" s="187">
        <v>1526.009</v>
      </c>
      <c r="O29" s="55">
        <v>1308.2</v>
      </c>
      <c r="P29" s="55">
        <v>1102</v>
      </c>
      <c r="Q29" s="22">
        <v>1271</v>
      </c>
      <c r="R29" s="97">
        <f>PrF!H30/1000</f>
        <v>24</v>
      </c>
      <c r="S29" s="187">
        <v>160</v>
      </c>
      <c r="T29" s="55">
        <v>406.228</v>
      </c>
      <c r="U29" s="55">
        <v>488.06919</v>
      </c>
      <c r="V29" s="55">
        <v>601</v>
      </c>
      <c r="W29" s="22">
        <v>503</v>
      </c>
      <c r="X29" s="97">
        <f>FSS!H30/1000</f>
        <v>1154</v>
      </c>
      <c r="Y29" s="187">
        <v>1024.5</v>
      </c>
      <c r="Z29" s="55">
        <v>669.878</v>
      </c>
      <c r="AA29" s="55">
        <v>557</v>
      </c>
      <c r="AB29" s="55">
        <v>492</v>
      </c>
      <c r="AC29" s="22">
        <v>287</v>
      </c>
      <c r="AD29" s="97">
        <f>PřF!H30/1000</f>
        <v>1137</v>
      </c>
      <c r="AE29" s="187">
        <v>764.353</v>
      </c>
      <c r="AF29" s="55">
        <v>411.6955</v>
      </c>
      <c r="AG29" s="55">
        <v>511.7665</v>
      </c>
      <c r="AH29" s="55">
        <v>695</v>
      </c>
      <c r="AI29" s="22">
        <v>849</v>
      </c>
      <c r="AJ29" s="97">
        <f>'FI'!H30/1000</f>
        <v>513</v>
      </c>
      <c r="AK29" s="187">
        <v>115</v>
      </c>
      <c r="AL29" s="55">
        <v>0</v>
      </c>
      <c r="AM29" s="55">
        <v>0</v>
      </c>
      <c r="AN29" s="55">
        <v>0</v>
      </c>
      <c r="AO29" s="22">
        <v>0</v>
      </c>
      <c r="AP29" s="97">
        <f>PdF!H30/1000</f>
        <v>241.95497</v>
      </c>
      <c r="AQ29" s="187">
        <v>258.551</v>
      </c>
      <c r="AR29" s="55">
        <v>333.09</v>
      </c>
      <c r="AS29" s="55">
        <v>347.9226</v>
      </c>
      <c r="AT29" s="55">
        <v>275.844</v>
      </c>
      <c r="AU29" s="22">
        <v>321</v>
      </c>
      <c r="AV29" s="97">
        <f>FSpS!H30/1000</f>
        <v>81</v>
      </c>
      <c r="AW29" s="187">
        <v>140</v>
      </c>
      <c r="AX29" s="55">
        <v>148.09</v>
      </c>
      <c r="AY29" s="55">
        <v>153</v>
      </c>
      <c r="AZ29" s="55">
        <v>89</v>
      </c>
      <c r="BA29" s="22">
        <v>0</v>
      </c>
      <c r="BB29" s="97">
        <f>ESF!H30/1000</f>
        <v>500</v>
      </c>
      <c r="BC29" s="187">
        <v>323</v>
      </c>
      <c r="BD29" s="55">
        <v>403.147</v>
      </c>
      <c r="BE29" s="55">
        <v>420</v>
      </c>
      <c r="BF29" s="55">
        <v>485</v>
      </c>
      <c r="BG29" s="22">
        <v>525</v>
      </c>
      <c r="BH29" s="511">
        <f t="shared" si="6"/>
        <v>9795.06421</v>
      </c>
      <c r="BI29" s="55">
        <f t="shared" si="6"/>
        <v>6636.404</v>
      </c>
      <c r="BJ29" s="55">
        <v>4772.9545</v>
      </c>
      <c r="BK29" s="55">
        <v>5380.95829</v>
      </c>
      <c r="BL29" s="55">
        <v>5884.844</v>
      </c>
      <c r="BM29" s="163">
        <v>5681</v>
      </c>
    </row>
    <row r="30" spans="1:65" ht="11.25">
      <c r="A30" s="12"/>
      <c r="B30" s="20" t="s">
        <v>20</v>
      </c>
      <c r="C30" s="21"/>
      <c r="D30" s="21"/>
      <c r="E30" s="60">
        <v>28</v>
      </c>
      <c r="F30" s="97">
        <f>LF!H31/1000</f>
        <v>11411.849</v>
      </c>
      <c r="G30" s="187">
        <v>9128.68157</v>
      </c>
      <c r="H30" s="187">
        <v>4370</v>
      </c>
      <c r="I30" s="55">
        <v>4636.6145</v>
      </c>
      <c r="J30" s="55">
        <v>11516</v>
      </c>
      <c r="K30" s="22">
        <v>2721</v>
      </c>
      <c r="L30" s="97">
        <f>'FF'!H31/1000</f>
        <v>4767.9</v>
      </c>
      <c r="M30" s="187">
        <v>10499.90646</v>
      </c>
      <c r="N30" s="187">
        <v>8509.4</v>
      </c>
      <c r="O30" s="55">
        <v>5121.9</v>
      </c>
      <c r="P30" s="55">
        <v>12426</v>
      </c>
      <c r="Q30" s="22">
        <v>8016</v>
      </c>
      <c r="R30" s="97">
        <f>PrF!H31/1000</f>
        <v>1060.8</v>
      </c>
      <c r="S30" s="187">
        <v>2105.65501</v>
      </c>
      <c r="T30" s="55">
        <v>1777</v>
      </c>
      <c r="U30" s="55">
        <v>3781</v>
      </c>
      <c r="V30" s="55">
        <v>348</v>
      </c>
      <c r="W30" s="22">
        <v>228</v>
      </c>
      <c r="X30" s="97">
        <f>FSS!H31/1000</f>
        <v>9147.951130000001</v>
      </c>
      <c r="Y30" s="187">
        <v>10660.2439</v>
      </c>
      <c r="Z30" s="55">
        <v>2780</v>
      </c>
      <c r="AA30" s="55">
        <v>3579.68</v>
      </c>
      <c r="AB30" s="55">
        <v>2150</v>
      </c>
      <c r="AC30" s="22">
        <v>100</v>
      </c>
      <c r="AD30" s="97">
        <f>PřF!H31/1000</f>
        <v>3159.4995</v>
      </c>
      <c r="AE30" s="187">
        <v>5872.71096</v>
      </c>
      <c r="AF30" s="55">
        <v>3992</v>
      </c>
      <c r="AG30" s="55">
        <v>8474.05</v>
      </c>
      <c r="AH30" s="55">
        <v>10687</v>
      </c>
      <c r="AI30" s="22">
        <v>6967</v>
      </c>
      <c r="AJ30" s="97">
        <f>'FI'!H31/1000</f>
        <v>7464.815259999999</v>
      </c>
      <c r="AK30" s="187">
        <v>1984.3162</v>
      </c>
      <c r="AL30" s="55">
        <v>2825</v>
      </c>
      <c r="AM30" s="55">
        <v>961</v>
      </c>
      <c r="AN30" s="55">
        <v>2714</v>
      </c>
      <c r="AO30" s="22">
        <v>2320</v>
      </c>
      <c r="AP30" s="97">
        <f>PdF!H31/1000</f>
        <v>8166</v>
      </c>
      <c r="AQ30" s="187">
        <v>10255.418300000001</v>
      </c>
      <c r="AR30" s="55">
        <v>8590</v>
      </c>
      <c r="AS30" s="55">
        <v>20383.950109999998</v>
      </c>
      <c r="AT30" s="55">
        <v>27868.41</v>
      </c>
      <c r="AU30" s="22">
        <v>24104</v>
      </c>
      <c r="AV30" s="97">
        <f>FSpS!H31/1000</f>
        <v>1391.7</v>
      </c>
      <c r="AW30" s="187">
        <v>2759.83197</v>
      </c>
      <c r="AX30" s="55">
        <v>1750</v>
      </c>
      <c r="AY30" s="55">
        <v>510.00002</v>
      </c>
      <c r="AZ30" s="55">
        <v>2170</v>
      </c>
      <c r="BA30" s="22">
        <v>0</v>
      </c>
      <c r="BB30" s="97">
        <f>ESF!H31/1000</f>
        <v>2862</v>
      </c>
      <c r="BC30" s="187">
        <v>4212.152</v>
      </c>
      <c r="BD30" s="55">
        <v>2153</v>
      </c>
      <c r="BE30" s="55">
        <v>1144.95</v>
      </c>
      <c r="BF30" s="55">
        <v>2642</v>
      </c>
      <c r="BG30" s="22">
        <v>100</v>
      </c>
      <c r="BH30" s="511">
        <f t="shared" si="6"/>
        <v>49432.51488999999</v>
      </c>
      <c r="BI30" s="55">
        <f t="shared" si="6"/>
        <v>57478.916370000006</v>
      </c>
      <c r="BJ30" s="55">
        <v>36746.4</v>
      </c>
      <c r="BK30" s="55">
        <v>48593.14462999999</v>
      </c>
      <c r="BL30" s="55">
        <v>72521.41</v>
      </c>
      <c r="BM30" s="163">
        <v>44556</v>
      </c>
    </row>
    <row r="31" spans="1:65" ht="11.25">
      <c r="A31" s="12"/>
      <c r="B31" s="20" t="s">
        <v>16</v>
      </c>
      <c r="C31" s="20"/>
      <c r="D31" s="20"/>
      <c r="E31" s="60">
        <v>29</v>
      </c>
      <c r="F31" s="97">
        <f>LF!H32/1000</f>
        <v>461</v>
      </c>
      <c r="G31" s="187">
        <v>970</v>
      </c>
      <c r="H31" s="187">
        <v>1328.69427</v>
      </c>
      <c r="I31" s="55">
        <v>1189</v>
      </c>
      <c r="J31" s="55">
        <v>880</v>
      </c>
      <c r="K31" s="22">
        <v>1318</v>
      </c>
      <c r="L31" s="97">
        <f>'FF'!H32/1000</f>
        <v>2276</v>
      </c>
      <c r="M31" s="187">
        <v>1392</v>
      </c>
      <c r="N31" s="187">
        <v>1241</v>
      </c>
      <c r="O31" s="55">
        <v>2305</v>
      </c>
      <c r="P31" s="55">
        <v>981</v>
      </c>
      <c r="Q31" s="22">
        <v>861</v>
      </c>
      <c r="R31" s="97">
        <f>PrF!H32/1000</f>
        <v>0</v>
      </c>
      <c r="S31" s="187">
        <v>95</v>
      </c>
      <c r="T31" s="55">
        <v>23</v>
      </c>
      <c r="U31" s="55">
        <v>660.8239</v>
      </c>
      <c r="V31" s="55">
        <v>216</v>
      </c>
      <c r="W31" s="22">
        <v>70</v>
      </c>
      <c r="X31" s="97">
        <f>FSS!H32/1000</f>
        <v>419</v>
      </c>
      <c r="Y31" s="187">
        <v>389</v>
      </c>
      <c r="Z31" s="55">
        <v>549</v>
      </c>
      <c r="AA31" s="55">
        <v>668.324</v>
      </c>
      <c r="AB31" s="55">
        <v>1079</v>
      </c>
      <c r="AC31" s="22">
        <v>177</v>
      </c>
      <c r="AD31" s="97">
        <f>PřF!H32/1000</f>
        <v>3622</v>
      </c>
      <c r="AE31" s="187">
        <v>6353</v>
      </c>
      <c r="AF31" s="55">
        <v>4890</v>
      </c>
      <c r="AG31" s="55">
        <v>5942</v>
      </c>
      <c r="AH31" s="55">
        <v>3829</v>
      </c>
      <c r="AI31" s="22">
        <v>5620</v>
      </c>
      <c r="AJ31" s="97">
        <f>'FI'!H32/1000</f>
        <v>95</v>
      </c>
      <c r="AK31" s="187">
        <v>300</v>
      </c>
      <c r="AL31" s="55">
        <v>325</v>
      </c>
      <c r="AM31" s="55">
        <v>101</v>
      </c>
      <c r="AN31" s="55">
        <v>716</v>
      </c>
      <c r="AO31" s="22">
        <v>308</v>
      </c>
      <c r="AP31" s="97">
        <f>PdF!H32/1000</f>
        <v>820.333</v>
      </c>
      <c r="AQ31" s="187">
        <v>347</v>
      </c>
      <c r="AR31" s="55">
        <v>959.7253000000001</v>
      </c>
      <c r="AS31" s="55">
        <v>1793.92985</v>
      </c>
      <c r="AT31" s="55">
        <v>839.537</v>
      </c>
      <c r="AU31" s="22">
        <v>2944</v>
      </c>
      <c r="AV31" s="97">
        <f>FSpS!H32/1000</f>
        <v>1070</v>
      </c>
      <c r="AW31" s="187">
        <v>257</v>
      </c>
      <c r="AX31" s="55">
        <v>380</v>
      </c>
      <c r="AY31" s="55">
        <v>108</v>
      </c>
      <c r="AZ31" s="55">
        <v>83</v>
      </c>
      <c r="BA31" s="22">
        <v>0</v>
      </c>
      <c r="BB31" s="97">
        <f>ESF!H32/1000</f>
        <v>0</v>
      </c>
      <c r="BC31" s="187">
        <v>0</v>
      </c>
      <c r="BD31" s="55">
        <v>0</v>
      </c>
      <c r="BE31" s="55">
        <v>365</v>
      </c>
      <c r="BF31" s="55">
        <v>162</v>
      </c>
      <c r="BG31" s="22">
        <v>564</v>
      </c>
      <c r="BH31" s="511">
        <f t="shared" si="6"/>
        <v>8763.332999999999</v>
      </c>
      <c r="BI31" s="55">
        <f t="shared" si="6"/>
        <v>10103</v>
      </c>
      <c r="BJ31" s="55">
        <v>9696.41957</v>
      </c>
      <c r="BK31" s="55">
        <v>13133.07775</v>
      </c>
      <c r="BL31" s="55">
        <v>8785.537</v>
      </c>
      <c r="BM31" s="163">
        <v>11862</v>
      </c>
    </row>
    <row r="32" spans="1:65" ht="11.25">
      <c r="A32" s="12"/>
      <c r="B32" s="20" t="s">
        <v>22</v>
      </c>
      <c r="C32" s="20"/>
      <c r="D32" s="20"/>
      <c r="E32" s="60">
        <v>30</v>
      </c>
      <c r="F32" s="97">
        <f>LF!H33/1000</f>
        <v>0</v>
      </c>
      <c r="G32" s="187">
        <v>0</v>
      </c>
      <c r="H32" s="187">
        <v>0</v>
      </c>
      <c r="I32" s="55">
        <v>0</v>
      </c>
      <c r="J32" s="55">
        <v>0</v>
      </c>
      <c r="K32" s="22">
        <v>0</v>
      </c>
      <c r="L32" s="97">
        <f>'FF'!H33/1000</f>
        <v>0</v>
      </c>
      <c r="M32" s="187">
        <v>0</v>
      </c>
      <c r="N32" s="187">
        <v>0</v>
      </c>
      <c r="O32" s="55">
        <v>0</v>
      </c>
      <c r="P32" s="55">
        <v>0</v>
      </c>
      <c r="Q32" s="22">
        <v>0</v>
      </c>
      <c r="R32" s="97">
        <f>PrF!H33/1000</f>
        <v>0</v>
      </c>
      <c r="S32" s="187">
        <v>0</v>
      </c>
      <c r="T32" s="55">
        <v>0</v>
      </c>
      <c r="U32" s="55">
        <v>0</v>
      </c>
      <c r="V32" s="55">
        <v>0</v>
      </c>
      <c r="W32" s="22">
        <v>0</v>
      </c>
      <c r="X32" s="97">
        <f>FSS!H33/1000</f>
        <v>0</v>
      </c>
      <c r="Y32" s="187">
        <v>0</v>
      </c>
      <c r="Z32" s="55">
        <v>0</v>
      </c>
      <c r="AA32" s="55">
        <v>0</v>
      </c>
      <c r="AB32" s="55">
        <v>0</v>
      </c>
      <c r="AC32" s="22">
        <v>0</v>
      </c>
      <c r="AD32" s="97">
        <f>PřF!H33/1000</f>
        <v>0</v>
      </c>
      <c r="AE32" s="187">
        <v>0</v>
      </c>
      <c r="AF32" s="55">
        <v>0</v>
      </c>
      <c r="AG32" s="55">
        <v>0</v>
      </c>
      <c r="AH32" s="55">
        <v>0</v>
      </c>
      <c r="AI32" s="22">
        <v>0</v>
      </c>
      <c r="AJ32" s="97">
        <f>'FI'!H33/1000</f>
        <v>0</v>
      </c>
      <c r="AK32" s="187">
        <v>0</v>
      </c>
      <c r="AL32" s="55">
        <v>0</v>
      </c>
      <c r="AM32" s="55">
        <v>0</v>
      </c>
      <c r="AN32" s="55">
        <v>0</v>
      </c>
      <c r="AO32" s="22">
        <v>0</v>
      </c>
      <c r="AP32" s="97">
        <f>PdF!H33/1000</f>
        <v>0</v>
      </c>
      <c r="AQ32" s="187">
        <v>0</v>
      </c>
      <c r="AR32" s="55">
        <v>0</v>
      </c>
      <c r="AS32" s="55">
        <v>0</v>
      </c>
      <c r="AT32" s="55">
        <v>0</v>
      </c>
      <c r="AU32" s="22">
        <v>0</v>
      </c>
      <c r="AV32" s="97">
        <f>FSpS!H33/1000</f>
        <v>0</v>
      </c>
      <c r="AW32" s="187">
        <v>0</v>
      </c>
      <c r="AX32" s="55">
        <v>0</v>
      </c>
      <c r="AY32" s="55">
        <v>0</v>
      </c>
      <c r="AZ32" s="55">
        <v>0</v>
      </c>
      <c r="BA32" s="22">
        <v>0</v>
      </c>
      <c r="BB32" s="97">
        <f>ESF!H33/1000</f>
        <v>0</v>
      </c>
      <c r="BC32" s="187">
        <v>0</v>
      </c>
      <c r="BD32" s="55">
        <v>0</v>
      </c>
      <c r="BE32" s="55">
        <v>0</v>
      </c>
      <c r="BF32" s="55">
        <v>0</v>
      </c>
      <c r="BG32" s="22">
        <v>0</v>
      </c>
      <c r="BH32" s="511">
        <f t="shared" si="6"/>
        <v>0</v>
      </c>
      <c r="BI32" s="55">
        <f t="shared" si="6"/>
        <v>0</v>
      </c>
      <c r="BJ32" s="55">
        <v>0</v>
      </c>
      <c r="BK32" s="55">
        <v>0</v>
      </c>
      <c r="BL32" s="55">
        <v>0</v>
      </c>
      <c r="BM32" s="163">
        <v>0</v>
      </c>
    </row>
    <row r="33" spans="1:65" ht="11.25">
      <c r="A33" s="12"/>
      <c r="B33" s="20" t="s">
        <v>24</v>
      </c>
      <c r="C33" s="20"/>
      <c r="D33" s="20"/>
      <c r="E33" s="60">
        <v>31</v>
      </c>
      <c r="F33" s="97">
        <f>LF!H34/1000</f>
        <v>128</v>
      </c>
      <c r="G33" s="187">
        <v>1486.8885</v>
      </c>
      <c r="H33" s="187">
        <v>599.8190999999999</v>
      </c>
      <c r="I33" s="55">
        <v>2598.8817999999997</v>
      </c>
      <c r="J33" s="55">
        <v>1124</v>
      </c>
      <c r="K33" s="22">
        <v>1280</v>
      </c>
      <c r="L33" s="97">
        <f>'FF'!H34/1000</f>
        <v>729.4659499999999</v>
      </c>
      <c r="M33" s="187">
        <v>547.1406</v>
      </c>
      <c r="N33" s="187">
        <v>304.13806</v>
      </c>
      <c r="O33" s="55">
        <v>70</v>
      </c>
      <c r="P33" s="55">
        <v>85</v>
      </c>
      <c r="Q33" s="22">
        <v>160</v>
      </c>
      <c r="R33" s="97">
        <f>PrF!H34/1000</f>
        <v>0</v>
      </c>
      <c r="S33" s="187">
        <v>0</v>
      </c>
      <c r="T33" s="55">
        <v>0</v>
      </c>
      <c r="U33" s="55">
        <v>0</v>
      </c>
      <c r="V33" s="55">
        <v>0</v>
      </c>
      <c r="W33" s="22">
        <v>0</v>
      </c>
      <c r="X33" s="97">
        <f>FSS!H34/1000</f>
        <v>1310.3</v>
      </c>
      <c r="Y33" s="187">
        <v>0</v>
      </c>
      <c r="Z33" s="55">
        <v>0</v>
      </c>
      <c r="AA33" s="55">
        <v>0</v>
      </c>
      <c r="AB33" s="55">
        <v>50</v>
      </c>
      <c r="AC33" s="22">
        <v>11</v>
      </c>
      <c r="AD33" s="97">
        <f>PřF!H34/1000</f>
        <v>138</v>
      </c>
      <c r="AE33" s="187">
        <v>359.7733</v>
      </c>
      <c r="AF33" s="55">
        <v>0</v>
      </c>
      <c r="AG33" s="55">
        <v>0</v>
      </c>
      <c r="AH33" s="55">
        <v>0</v>
      </c>
      <c r="AI33" s="22">
        <v>0</v>
      </c>
      <c r="AJ33" s="97">
        <f>'FI'!H34/1000</f>
        <v>0</v>
      </c>
      <c r="AK33" s="187">
        <v>0</v>
      </c>
      <c r="AL33" s="55">
        <v>0</v>
      </c>
      <c r="AM33" s="55">
        <v>0</v>
      </c>
      <c r="AN33" s="55">
        <v>0</v>
      </c>
      <c r="AO33" s="22">
        <v>0</v>
      </c>
      <c r="AP33" s="97">
        <f>PdF!H34/1000</f>
        <v>839</v>
      </c>
      <c r="AQ33" s="187">
        <v>777.6</v>
      </c>
      <c r="AR33" s="55">
        <v>1405</v>
      </c>
      <c r="AS33" s="55">
        <v>718.2772</v>
      </c>
      <c r="AT33" s="55">
        <v>807.157</v>
      </c>
      <c r="AU33" s="22">
        <v>0</v>
      </c>
      <c r="AV33" s="97">
        <f>FSpS!H34/1000</f>
        <v>0</v>
      </c>
      <c r="AW33" s="187">
        <v>0</v>
      </c>
      <c r="AX33" s="55">
        <v>0</v>
      </c>
      <c r="AY33" s="55">
        <v>0</v>
      </c>
      <c r="AZ33" s="55">
        <v>0</v>
      </c>
      <c r="BA33" s="22">
        <v>0</v>
      </c>
      <c r="BB33" s="97">
        <f>ESF!H34/1000</f>
        <v>249.824</v>
      </c>
      <c r="BC33" s="187">
        <v>240.40658</v>
      </c>
      <c r="BD33" s="55">
        <v>0</v>
      </c>
      <c r="BE33" s="55">
        <v>0</v>
      </c>
      <c r="BF33" s="55">
        <v>0</v>
      </c>
      <c r="BG33" s="22">
        <v>0</v>
      </c>
      <c r="BH33" s="511">
        <f t="shared" si="6"/>
        <v>3394.58995</v>
      </c>
      <c r="BI33" s="55">
        <f t="shared" si="6"/>
        <v>3411.80898</v>
      </c>
      <c r="BJ33" s="55">
        <v>2308.95716</v>
      </c>
      <c r="BK33" s="55">
        <v>3387.1589999999997</v>
      </c>
      <c r="BL33" s="55">
        <v>2066.157</v>
      </c>
      <c r="BM33" s="163">
        <v>1451</v>
      </c>
    </row>
    <row r="34" spans="1:65" ht="11.25">
      <c r="A34" s="12"/>
      <c r="B34" s="20" t="s">
        <v>31</v>
      </c>
      <c r="C34" s="20"/>
      <c r="D34" s="20"/>
      <c r="E34" s="60">
        <v>32</v>
      </c>
      <c r="F34" s="97">
        <f>LF!H35/1000</f>
        <v>30</v>
      </c>
      <c r="G34" s="187">
        <v>27.844</v>
      </c>
      <c r="H34" s="187">
        <v>62.69236</v>
      </c>
      <c r="I34" s="55">
        <v>15</v>
      </c>
      <c r="J34" s="55">
        <v>88</v>
      </c>
      <c r="K34" s="22">
        <v>46</v>
      </c>
      <c r="L34" s="97">
        <f>'FF'!H35/1000</f>
        <v>7321.762019999999</v>
      </c>
      <c r="M34" s="187">
        <v>4042.17968</v>
      </c>
      <c r="N34" s="187">
        <v>4414.21028</v>
      </c>
      <c r="O34" s="55">
        <v>3377.6879900000004</v>
      </c>
      <c r="P34" s="55">
        <v>3759</v>
      </c>
      <c r="Q34" s="22">
        <v>2802</v>
      </c>
      <c r="R34" s="97">
        <f>PrF!H35/1000</f>
        <v>0</v>
      </c>
      <c r="S34" s="187">
        <v>14.787</v>
      </c>
      <c r="T34" s="55">
        <v>353.5272</v>
      </c>
      <c r="U34" s="55">
        <v>445.54015999999996</v>
      </c>
      <c r="V34" s="55">
        <v>405</v>
      </c>
      <c r="W34" s="22">
        <v>1346</v>
      </c>
      <c r="X34" s="97">
        <f>FSS!H35/1000</f>
        <v>11437.41266</v>
      </c>
      <c r="Y34" s="187">
        <v>1220.99559</v>
      </c>
      <c r="Z34" s="55">
        <v>1803.87221</v>
      </c>
      <c r="AA34" s="55">
        <v>2398.88825</v>
      </c>
      <c r="AB34" s="55">
        <v>1022</v>
      </c>
      <c r="AC34" s="22">
        <v>1465</v>
      </c>
      <c r="AD34" s="97">
        <f>PřF!H35/1000</f>
        <v>3569.57813</v>
      </c>
      <c r="AE34" s="187">
        <v>7625.635719999999</v>
      </c>
      <c r="AF34" s="55">
        <v>4632.837759999999</v>
      </c>
      <c r="AG34" s="55">
        <v>8952.25058</v>
      </c>
      <c r="AH34" s="55">
        <v>9147</v>
      </c>
      <c r="AI34" s="22">
        <v>4523</v>
      </c>
      <c r="AJ34" s="97">
        <f>'FI'!H35/1000</f>
        <v>2351.6972400000004</v>
      </c>
      <c r="AK34" s="187">
        <v>2351.03422</v>
      </c>
      <c r="AL34" s="55">
        <v>0</v>
      </c>
      <c r="AM34" s="55">
        <v>62.21214</v>
      </c>
      <c r="AN34" s="55">
        <v>1212</v>
      </c>
      <c r="AO34" s="22">
        <v>301</v>
      </c>
      <c r="AP34" s="97">
        <f>PdF!H35/1000</f>
        <v>10205.025720000001</v>
      </c>
      <c r="AQ34" s="187">
        <v>8191.664769999999</v>
      </c>
      <c r="AR34" s="55">
        <v>10244.50025</v>
      </c>
      <c r="AS34" s="55">
        <v>9854.81316</v>
      </c>
      <c r="AT34" s="55">
        <v>4386.415</v>
      </c>
      <c r="AU34" s="22">
        <v>6801</v>
      </c>
      <c r="AV34" s="97">
        <f>FSpS!H35/1000</f>
        <v>2999.227</v>
      </c>
      <c r="AW34" s="187">
        <v>2776.5787400000004</v>
      </c>
      <c r="AX34" s="55">
        <v>894.6388000000001</v>
      </c>
      <c r="AY34" s="55">
        <v>0</v>
      </c>
      <c r="AZ34" s="55">
        <v>100</v>
      </c>
      <c r="BA34" s="22">
        <v>0</v>
      </c>
      <c r="BB34" s="97">
        <f>ESF!H35/1000</f>
        <v>1693.35844</v>
      </c>
      <c r="BC34" s="187">
        <v>2945.74887</v>
      </c>
      <c r="BD34" s="55">
        <v>497.7407</v>
      </c>
      <c r="BE34" s="55">
        <v>475.23091999999997</v>
      </c>
      <c r="BF34" s="55">
        <v>101</v>
      </c>
      <c r="BG34" s="22">
        <v>0</v>
      </c>
      <c r="BH34" s="511">
        <f t="shared" si="6"/>
        <v>39608.06121</v>
      </c>
      <c r="BI34" s="55">
        <f t="shared" si="6"/>
        <v>29196.468589999997</v>
      </c>
      <c r="BJ34" s="55">
        <v>22904.019559999997</v>
      </c>
      <c r="BK34" s="55">
        <v>25581.6232</v>
      </c>
      <c r="BL34" s="55">
        <v>20220.415</v>
      </c>
      <c r="BM34" s="163">
        <v>17284</v>
      </c>
    </row>
    <row r="35" spans="1:65" ht="11.25">
      <c r="A35" s="12"/>
      <c r="B35" s="20" t="s">
        <v>36</v>
      </c>
      <c r="C35" s="20"/>
      <c r="D35" s="20"/>
      <c r="E35" s="60">
        <v>33</v>
      </c>
      <c r="F35" s="97">
        <f>LF!H36/1000</f>
        <v>24126</v>
      </c>
      <c r="G35" s="187">
        <v>22281</v>
      </c>
      <c r="H35" s="187">
        <v>22237</v>
      </c>
      <c r="I35" s="55">
        <v>19854</v>
      </c>
      <c r="J35" s="55">
        <v>17655</v>
      </c>
      <c r="K35" s="22">
        <v>13852</v>
      </c>
      <c r="L35" s="97">
        <f>'FF'!H36/1000</f>
        <v>13132</v>
      </c>
      <c r="M35" s="187">
        <v>11509</v>
      </c>
      <c r="N35" s="187">
        <v>10686</v>
      </c>
      <c r="O35" s="55">
        <v>8399</v>
      </c>
      <c r="P35" s="55">
        <v>5507</v>
      </c>
      <c r="Q35" s="22">
        <v>3726</v>
      </c>
      <c r="R35" s="97">
        <f>PrF!H36/1000</f>
        <v>1619</v>
      </c>
      <c r="S35" s="187">
        <v>666</v>
      </c>
      <c r="T35" s="55">
        <v>674</v>
      </c>
      <c r="U35" s="55">
        <v>453</v>
      </c>
      <c r="V35" s="55">
        <v>286</v>
      </c>
      <c r="W35" s="22">
        <v>105</v>
      </c>
      <c r="X35" s="97">
        <f>FSS!H36/1000</f>
        <v>9892</v>
      </c>
      <c r="Y35" s="187">
        <v>9211</v>
      </c>
      <c r="Z35" s="55">
        <v>9396</v>
      </c>
      <c r="AA35" s="55">
        <v>8442</v>
      </c>
      <c r="AB35" s="55">
        <v>8513</v>
      </c>
      <c r="AC35" s="22">
        <v>3570</v>
      </c>
      <c r="AD35" s="97">
        <f>PřF!H36/1000</f>
        <v>49027</v>
      </c>
      <c r="AE35" s="187">
        <v>43916</v>
      </c>
      <c r="AF35" s="55">
        <v>43444</v>
      </c>
      <c r="AG35" s="55">
        <v>46487</v>
      </c>
      <c r="AH35" s="55">
        <v>48232</v>
      </c>
      <c r="AI35" s="22">
        <v>36940</v>
      </c>
      <c r="AJ35" s="97">
        <f>'FI'!H36/1000</f>
        <v>6980</v>
      </c>
      <c r="AK35" s="187">
        <v>6684</v>
      </c>
      <c r="AL35" s="55">
        <v>6690</v>
      </c>
      <c r="AM35" s="55">
        <v>6819.99999</v>
      </c>
      <c r="AN35" s="55">
        <v>7230</v>
      </c>
      <c r="AO35" s="22">
        <v>4805</v>
      </c>
      <c r="AP35" s="97">
        <f>PdF!H36/1000</f>
        <v>3134</v>
      </c>
      <c r="AQ35" s="187">
        <v>1780</v>
      </c>
      <c r="AR35" s="55">
        <v>1600</v>
      </c>
      <c r="AS35" s="55">
        <v>1155</v>
      </c>
      <c r="AT35" s="55">
        <v>914</v>
      </c>
      <c r="AU35" s="22">
        <v>2093</v>
      </c>
      <c r="AV35" s="97">
        <f>FSpS!H36/1000</f>
        <v>297</v>
      </c>
      <c r="AW35" s="187">
        <v>249</v>
      </c>
      <c r="AX35" s="55">
        <v>223</v>
      </c>
      <c r="AY35" s="55">
        <v>109</v>
      </c>
      <c r="AZ35" s="55">
        <v>62</v>
      </c>
      <c r="BA35" s="22">
        <v>0</v>
      </c>
      <c r="BB35" s="97">
        <f>ESF!H36/1000</f>
        <v>4708</v>
      </c>
      <c r="BC35" s="187">
        <v>3173</v>
      </c>
      <c r="BD35" s="55">
        <v>3064</v>
      </c>
      <c r="BE35" s="55">
        <v>1981</v>
      </c>
      <c r="BF35" s="55">
        <v>1233</v>
      </c>
      <c r="BG35" s="22">
        <v>825</v>
      </c>
      <c r="BH35" s="511">
        <f t="shared" si="6"/>
        <v>112915</v>
      </c>
      <c r="BI35" s="55">
        <f t="shared" si="6"/>
        <v>99469</v>
      </c>
      <c r="BJ35" s="55">
        <v>98014</v>
      </c>
      <c r="BK35" s="55">
        <v>93699.99999</v>
      </c>
      <c r="BL35" s="55">
        <v>89632</v>
      </c>
      <c r="BM35" s="163">
        <v>65916</v>
      </c>
    </row>
    <row r="36" spans="1:65" ht="11.25">
      <c r="A36" s="12"/>
      <c r="B36" s="20" t="s">
        <v>25</v>
      </c>
      <c r="C36" s="20"/>
      <c r="D36" s="20"/>
      <c r="E36" s="60">
        <v>34</v>
      </c>
      <c r="F36" s="97">
        <f>LF!H37/1000</f>
        <v>30504.28984</v>
      </c>
      <c r="G36" s="187">
        <v>31033.891</v>
      </c>
      <c r="H36" s="187">
        <v>24972</v>
      </c>
      <c r="I36" s="55">
        <v>25840.42241</v>
      </c>
      <c r="J36" s="55">
        <v>21901</v>
      </c>
      <c r="K36" s="22">
        <v>21368</v>
      </c>
      <c r="L36" s="97">
        <f>'FF'!H37/1000</f>
        <v>19230.2</v>
      </c>
      <c r="M36" s="187">
        <v>18800.999789999998</v>
      </c>
      <c r="N36" s="187">
        <v>3870</v>
      </c>
      <c r="O36" s="55">
        <v>3638</v>
      </c>
      <c r="P36" s="55">
        <v>3456</v>
      </c>
      <c r="Q36" s="22">
        <v>3527</v>
      </c>
      <c r="R36" s="97">
        <f>PrF!H37/1000</f>
        <v>6267</v>
      </c>
      <c r="S36" s="187">
        <v>6118</v>
      </c>
      <c r="T36" s="55">
        <v>0</v>
      </c>
      <c r="U36" s="55">
        <v>0</v>
      </c>
      <c r="V36" s="55">
        <v>0</v>
      </c>
      <c r="W36" s="22">
        <v>0</v>
      </c>
      <c r="X36" s="97">
        <f>FSS!H37/1000</f>
        <v>27255.9415</v>
      </c>
      <c r="Y36" s="187">
        <v>26587</v>
      </c>
      <c r="Z36" s="55">
        <v>6350</v>
      </c>
      <c r="AA36" s="55">
        <v>6142</v>
      </c>
      <c r="AB36" s="55">
        <v>5977</v>
      </c>
      <c r="AC36" s="22">
        <v>5617</v>
      </c>
      <c r="AD36" s="97">
        <f>PřF!H37/1000</f>
        <v>153303.30080000003</v>
      </c>
      <c r="AE36" s="187">
        <v>150606</v>
      </c>
      <c r="AF36" s="55">
        <v>64548</v>
      </c>
      <c r="AG36" s="55">
        <v>63794</v>
      </c>
      <c r="AH36" s="55">
        <v>56587</v>
      </c>
      <c r="AI36" s="22">
        <v>53222</v>
      </c>
      <c r="AJ36" s="97">
        <f>'FI'!H37/1000</f>
        <v>11219.86339</v>
      </c>
      <c r="AK36" s="187">
        <v>11316</v>
      </c>
      <c r="AL36" s="55">
        <v>11368.00001</v>
      </c>
      <c r="AM36" s="55">
        <v>11091</v>
      </c>
      <c r="AN36" s="55">
        <v>10125</v>
      </c>
      <c r="AO36" s="22">
        <v>9467</v>
      </c>
      <c r="AP36" s="97">
        <f>PdF!H37/1000</f>
        <v>8860</v>
      </c>
      <c r="AQ36" s="187">
        <v>9198.99983</v>
      </c>
      <c r="AR36" s="55">
        <v>742</v>
      </c>
      <c r="AS36" s="55">
        <v>728</v>
      </c>
      <c r="AT36" s="55">
        <v>676</v>
      </c>
      <c r="AU36" s="22">
        <v>594</v>
      </c>
      <c r="AV36" s="97">
        <f>FSpS!H37/1000</f>
        <v>0</v>
      </c>
      <c r="AW36" s="187">
        <v>0</v>
      </c>
      <c r="AX36" s="55">
        <v>0</v>
      </c>
      <c r="AY36" s="55">
        <v>0</v>
      </c>
      <c r="AZ36" s="55">
        <v>0</v>
      </c>
      <c r="BA36" s="22">
        <v>0</v>
      </c>
      <c r="BB36" s="97">
        <f>ESF!H37/1000</f>
        <v>884</v>
      </c>
      <c r="BC36" s="187">
        <v>904</v>
      </c>
      <c r="BD36" s="55">
        <v>1786</v>
      </c>
      <c r="BE36" s="55">
        <v>1756.00034</v>
      </c>
      <c r="BF36" s="55">
        <v>1631</v>
      </c>
      <c r="BG36" s="22">
        <v>1533</v>
      </c>
      <c r="BH36" s="511">
        <f t="shared" si="6"/>
        <v>257524.59553000005</v>
      </c>
      <c r="BI36" s="55">
        <f t="shared" si="6"/>
        <v>254564.89062000002</v>
      </c>
      <c r="BJ36" s="55">
        <v>113636.00001</v>
      </c>
      <c r="BK36" s="55">
        <v>112989.42275</v>
      </c>
      <c r="BL36" s="55">
        <v>100353</v>
      </c>
      <c r="BM36" s="163">
        <v>95328</v>
      </c>
    </row>
    <row r="37" spans="1:65" ht="11.25">
      <c r="A37" s="12"/>
      <c r="B37" s="20" t="s">
        <v>26</v>
      </c>
      <c r="C37" s="20"/>
      <c r="D37" s="20"/>
      <c r="E37" s="60">
        <v>35</v>
      </c>
      <c r="F37" s="97">
        <f>LF!H38/1000</f>
        <v>67018.02103</v>
      </c>
      <c r="G37" s="187">
        <v>51436.34439</v>
      </c>
      <c r="H37" s="187">
        <v>27655.725100000003</v>
      </c>
      <c r="I37" s="55">
        <v>28405.89747</v>
      </c>
      <c r="J37" s="55">
        <v>22604</v>
      </c>
      <c r="K37" s="22">
        <v>17504</v>
      </c>
      <c r="L37" s="97">
        <f>'FF'!H38/1000</f>
        <v>22106.88856</v>
      </c>
      <c r="M37" s="187">
        <v>21117.06298</v>
      </c>
      <c r="N37" s="187">
        <v>18747.97568</v>
      </c>
      <c r="O37" s="55">
        <v>17163</v>
      </c>
      <c r="P37" s="55">
        <v>12545</v>
      </c>
      <c r="Q37" s="22">
        <v>10472</v>
      </c>
      <c r="R37" s="97">
        <f>PrF!H38/1000</f>
        <v>823</v>
      </c>
      <c r="S37" s="187">
        <v>590.94832</v>
      </c>
      <c r="T37" s="55">
        <v>751.1555</v>
      </c>
      <c r="U37" s="55">
        <v>792.44367</v>
      </c>
      <c r="V37" s="55">
        <v>479</v>
      </c>
      <c r="W37" s="22">
        <v>717</v>
      </c>
      <c r="X37" s="97">
        <f>FSS!H38/1000</f>
        <v>11450.23844</v>
      </c>
      <c r="Y37" s="187">
        <v>9020.30615</v>
      </c>
      <c r="Z37" s="55">
        <v>16455.35802</v>
      </c>
      <c r="AA37" s="55">
        <v>18235.36789</v>
      </c>
      <c r="AB37" s="55">
        <v>12564</v>
      </c>
      <c r="AC37" s="22">
        <v>13894</v>
      </c>
      <c r="AD37" s="97">
        <f>PřF!H38/1000</f>
        <v>70390.83728</v>
      </c>
      <c r="AE37" s="187">
        <v>40162.78157</v>
      </c>
      <c r="AF37" s="55">
        <v>45294.58533</v>
      </c>
      <c r="AG37" s="55">
        <v>44798.99665</v>
      </c>
      <c r="AH37" s="55">
        <v>38913</v>
      </c>
      <c r="AI37" s="22">
        <v>31809</v>
      </c>
      <c r="AJ37" s="97">
        <f>'FI'!H38/1000</f>
        <v>23481.918</v>
      </c>
      <c r="AK37" s="187">
        <v>19086.846</v>
      </c>
      <c r="AL37" s="55">
        <v>8315.468</v>
      </c>
      <c r="AM37" s="55">
        <v>6566.65</v>
      </c>
      <c r="AN37" s="55">
        <v>4614</v>
      </c>
      <c r="AO37" s="22">
        <v>4187</v>
      </c>
      <c r="AP37" s="97">
        <f>PdF!H38/1000</f>
        <v>5591.43</v>
      </c>
      <c r="AQ37" s="187">
        <v>3815.1204</v>
      </c>
      <c r="AR37" s="55">
        <v>2151.34037</v>
      </c>
      <c r="AS37" s="55">
        <v>1825.62214</v>
      </c>
      <c r="AT37" s="55">
        <v>820.674</v>
      </c>
      <c r="AU37" s="22">
        <v>1778</v>
      </c>
      <c r="AV37" s="97">
        <f>FSpS!H38/1000</f>
        <v>0</v>
      </c>
      <c r="AW37" s="187">
        <v>417</v>
      </c>
      <c r="AX37" s="55">
        <v>223</v>
      </c>
      <c r="AY37" s="55">
        <v>274</v>
      </c>
      <c r="AZ37" s="55">
        <v>93</v>
      </c>
      <c r="BA37" s="22">
        <v>0</v>
      </c>
      <c r="BB37" s="97">
        <f>ESF!H38/1000</f>
        <v>22095.646109999998</v>
      </c>
      <c r="BC37" s="187">
        <v>19865.41585</v>
      </c>
      <c r="BD37" s="55">
        <v>3902.702</v>
      </c>
      <c r="BE37" s="55">
        <v>5272</v>
      </c>
      <c r="BF37" s="55">
        <v>2452</v>
      </c>
      <c r="BG37" s="22">
        <v>1051</v>
      </c>
      <c r="BH37" s="511">
        <f t="shared" si="6"/>
        <v>222957.97942000002</v>
      </c>
      <c r="BI37" s="55">
        <f t="shared" si="6"/>
        <v>165511.82565999997</v>
      </c>
      <c r="BJ37" s="55">
        <v>123497.31</v>
      </c>
      <c r="BK37" s="55">
        <v>123333.97782</v>
      </c>
      <c r="BL37" s="55">
        <v>95084.674</v>
      </c>
      <c r="BM37" s="163">
        <v>81412</v>
      </c>
    </row>
    <row r="38" spans="1:65" ht="11.25">
      <c r="A38" s="12"/>
      <c r="B38" s="20" t="s">
        <v>27</v>
      </c>
      <c r="C38" s="20"/>
      <c r="D38" s="20"/>
      <c r="E38" s="60">
        <v>36</v>
      </c>
      <c r="F38" s="97">
        <f>LF!H39/1000</f>
        <v>9487.01942</v>
      </c>
      <c r="G38" s="187">
        <v>4318.9920999999995</v>
      </c>
      <c r="H38" s="187">
        <v>3940.41828</v>
      </c>
      <c r="I38" s="55">
        <v>2623.0329300000003</v>
      </c>
      <c r="J38" s="55">
        <v>2339</v>
      </c>
      <c r="K38" s="22">
        <v>1790</v>
      </c>
      <c r="L38" s="97">
        <f>'FF'!H39/1000</f>
        <v>210.82277</v>
      </c>
      <c r="M38" s="187">
        <v>959.8710500000001</v>
      </c>
      <c r="N38" s="187">
        <v>1931.0675</v>
      </c>
      <c r="O38" s="55">
        <v>2022.337</v>
      </c>
      <c r="P38" s="55">
        <v>1351</v>
      </c>
      <c r="Q38" s="22">
        <v>1690</v>
      </c>
      <c r="R38" s="97">
        <f>PrF!H39/1000</f>
        <v>15.30903</v>
      </c>
      <c r="S38" s="187">
        <v>51.19915</v>
      </c>
      <c r="T38" s="55">
        <v>46.34585</v>
      </c>
      <c r="U38" s="55">
        <v>39.29617</v>
      </c>
      <c r="V38" s="55">
        <v>167</v>
      </c>
      <c r="W38" s="22">
        <v>219</v>
      </c>
      <c r="X38" s="97">
        <f>FSS!H39/1000</f>
        <v>3962.93225</v>
      </c>
      <c r="Y38" s="187">
        <v>2791.0902</v>
      </c>
      <c r="Z38" s="55">
        <v>1965.33402</v>
      </c>
      <c r="AA38" s="55">
        <v>1659.51378</v>
      </c>
      <c r="AB38" s="55">
        <v>285</v>
      </c>
      <c r="AC38" s="22">
        <v>957</v>
      </c>
      <c r="AD38" s="97">
        <f>PřF!H39/1000</f>
        <v>37760.37606</v>
      </c>
      <c r="AE38" s="187">
        <v>33560.071299999996</v>
      </c>
      <c r="AF38" s="55">
        <v>20771.27303</v>
      </c>
      <c r="AG38" s="55">
        <v>11440.99094</v>
      </c>
      <c r="AH38" s="55">
        <v>10523</v>
      </c>
      <c r="AI38" s="22">
        <v>6811</v>
      </c>
      <c r="AJ38" s="97">
        <f>'FI'!H39/1000</f>
        <v>9809.29978</v>
      </c>
      <c r="AK38" s="187">
        <v>6610.12521</v>
      </c>
      <c r="AL38" s="55">
        <v>3606.9971800000003</v>
      </c>
      <c r="AM38" s="55">
        <v>2786.0802799999997</v>
      </c>
      <c r="AN38" s="55">
        <v>1942</v>
      </c>
      <c r="AO38" s="22">
        <v>1264</v>
      </c>
      <c r="AP38" s="97">
        <f>PdF!H39/1000</f>
        <v>1643.271</v>
      </c>
      <c r="AQ38" s="187">
        <v>1260.6966699999998</v>
      </c>
      <c r="AR38" s="55">
        <v>1018.8118000000001</v>
      </c>
      <c r="AS38" s="55">
        <v>262.36795</v>
      </c>
      <c r="AT38" s="55">
        <v>181.571</v>
      </c>
      <c r="AU38" s="22">
        <v>1265</v>
      </c>
      <c r="AV38" s="97">
        <f>FSpS!H39/1000</f>
        <v>247.11319</v>
      </c>
      <c r="AW38" s="187">
        <v>185.588</v>
      </c>
      <c r="AX38" s="55">
        <v>200</v>
      </c>
      <c r="AY38" s="55">
        <v>0</v>
      </c>
      <c r="AZ38" s="55">
        <v>0</v>
      </c>
      <c r="BA38" s="22">
        <v>0</v>
      </c>
      <c r="BB38" s="97">
        <f>ESF!H39/1000</f>
        <v>417.739</v>
      </c>
      <c r="BC38" s="187">
        <v>255</v>
      </c>
      <c r="BD38" s="55">
        <v>294</v>
      </c>
      <c r="BE38" s="55">
        <v>226</v>
      </c>
      <c r="BF38" s="55">
        <v>38</v>
      </c>
      <c r="BG38" s="22">
        <v>28</v>
      </c>
      <c r="BH38" s="511">
        <f t="shared" si="6"/>
        <v>63553.88250000001</v>
      </c>
      <c r="BI38" s="55">
        <f t="shared" si="6"/>
        <v>49992.63367999999</v>
      </c>
      <c r="BJ38" s="55">
        <v>33774.24766</v>
      </c>
      <c r="BK38" s="55">
        <v>21059.619049999998</v>
      </c>
      <c r="BL38" s="55">
        <v>16826.571</v>
      </c>
      <c r="BM38" s="163">
        <v>14024</v>
      </c>
    </row>
    <row r="39" spans="1:65" ht="11.25">
      <c r="A39" s="12"/>
      <c r="B39" s="20" t="s">
        <v>28</v>
      </c>
      <c r="C39" s="20"/>
      <c r="D39" s="20"/>
      <c r="E39" s="60">
        <v>37</v>
      </c>
      <c r="F39" s="97">
        <f>LF!H40/1000</f>
        <v>62563.34472</v>
      </c>
      <c r="G39" s="187">
        <v>54392.63818</v>
      </c>
      <c r="H39" s="187">
        <v>29158.27978</v>
      </c>
      <c r="I39" s="55">
        <v>23862.1696</v>
      </c>
      <c r="J39" s="55">
        <v>25302</v>
      </c>
      <c r="K39" s="22">
        <v>31612</v>
      </c>
      <c r="L39" s="97">
        <f>'FF'!H40/1000</f>
        <v>21633.80099</v>
      </c>
      <c r="M39" s="187">
        <v>19243.41159</v>
      </c>
      <c r="N39" s="187">
        <v>15145.21073</v>
      </c>
      <c r="O39" s="55">
        <v>17128.36644</v>
      </c>
      <c r="P39" s="55">
        <v>14945</v>
      </c>
      <c r="Q39" s="22">
        <v>9659</v>
      </c>
      <c r="R39" s="97">
        <f>PrF!H40/1000</f>
        <v>31325.79278</v>
      </c>
      <c r="S39" s="187">
        <v>26769.33732</v>
      </c>
      <c r="T39" s="55">
        <v>26443.22108</v>
      </c>
      <c r="U39" s="55">
        <v>21100.81107</v>
      </c>
      <c r="V39" s="55">
        <v>17591</v>
      </c>
      <c r="W39" s="22">
        <v>13966</v>
      </c>
      <c r="X39" s="97">
        <f>FSS!H40/1000</f>
        <v>15405.1852</v>
      </c>
      <c r="Y39" s="187">
        <v>9010.00583</v>
      </c>
      <c r="Z39" s="55">
        <v>6606.72084</v>
      </c>
      <c r="AA39" s="55">
        <v>5866.90037</v>
      </c>
      <c r="AB39" s="55">
        <v>7391</v>
      </c>
      <c r="AC39" s="22">
        <v>6844</v>
      </c>
      <c r="AD39" s="97">
        <f>PřF!H40/1000</f>
        <v>60641.34225</v>
      </c>
      <c r="AE39" s="187">
        <v>46513.62418</v>
      </c>
      <c r="AF39" s="55">
        <v>9449.151300000001</v>
      </c>
      <c r="AG39" s="55">
        <v>8546.42257</v>
      </c>
      <c r="AH39" s="55">
        <v>31417</v>
      </c>
      <c r="AI39" s="22">
        <v>22595</v>
      </c>
      <c r="AJ39" s="97">
        <f>'FI'!H40/1000</f>
        <v>16911.60945</v>
      </c>
      <c r="AK39" s="187">
        <v>14506.253869999999</v>
      </c>
      <c r="AL39" s="55">
        <v>4120.4645</v>
      </c>
      <c r="AM39" s="55">
        <v>2381.71686</v>
      </c>
      <c r="AN39" s="55">
        <v>11035</v>
      </c>
      <c r="AO39" s="22">
        <v>5386</v>
      </c>
      <c r="AP39" s="97">
        <f>PdF!H40/1000</f>
        <v>27267.94674</v>
      </c>
      <c r="AQ39" s="187">
        <v>24505.905420000003</v>
      </c>
      <c r="AR39" s="55">
        <v>15470.04974</v>
      </c>
      <c r="AS39" s="55">
        <v>15112.26154</v>
      </c>
      <c r="AT39" s="55">
        <v>12752.145</v>
      </c>
      <c r="AU39" s="22">
        <v>6022</v>
      </c>
      <c r="AV39" s="97">
        <f>FSpS!H40/1000</f>
        <v>7588.80378</v>
      </c>
      <c r="AW39" s="187">
        <v>6405.098599999999</v>
      </c>
      <c r="AX39" s="55">
        <v>7652.39801</v>
      </c>
      <c r="AY39" s="55">
        <v>6152.914650000001</v>
      </c>
      <c r="AZ39" s="55">
        <v>2880</v>
      </c>
      <c r="BA39" s="22">
        <v>14</v>
      </c>
      <c r="BB39" s="97">
        <f>ESF!H40/1000</f>
        <v>17134.2573</v>
      </c>
      <c r="BC39" s="187">
        <v>19276.07384</v>
      </c>
      <c r="BD39" s="55">
        <v>15743.743410000001</v>
      </c>
      <c r="BE39" s="55">
        <v>14811.4586</v>
      </c>
      <c r="BF39" s="55">
        <v>9408</v>
      </c>
      <c r="BG39" s="22">
        <v>8535</v>
      </c>
      <c r="BH39" s="511">
        <f t="shared" si="6"/>
        <v>260472.08320999998</v>
      </c>
      <c r="BI39" s="55">
        <f t="shared" si="6"/>
        <v>220622.34882999997</v>
      </c>
      <c r="BJ39" s="55">
        <v>129789.23939</v>
      </c>
      <c r="BK39" s="55">
        <v>114963.02170000001</v>
      </c>
      <c r="BL39" s="55">
        <v>132721.14500000002</v>
      </c>
      <c r="BM39" s="163">
        <v>104633</v>
      </c>
    </row>
    <row r="40" spans="1:65" ht="11.25">
      <c r="A40" s="12"/>
      <c r="B40" s="20" t="s">
        <v>29</v>
      </c>
      <c r="C40" s="20"/>
      <c r="D40" s="20"/>
      <c r="E40" s="60">
        <v>38</v>
      </c>
      <c r="F40" s="97">
        <f>LF!H41/1000</f>
        <v>599.184</v>
      </c>
      <c r="G40" s="187">
        <v>441.77</v>
      </c>
      <c r="H40" s="187">
        <v>0</v>
      </c>
      <c r="I40" s="55">
        <v>167.079</v>
      </c>
      <c r="J40" s="55">
        <v>161</v>
      </c>
      <c r="K40" s="22">
        <v>379</v>
      </c>
      <c r="L40" s="97">
        <f>'FF'!H41/1000</f>
        <v>2232.432</v>
      </c>
      <c r="M40" s="187">
        <v>3756.465</v>
      </c>
      <c r="N40" s="187">
        <v>577.903</v>
      </c>
      <c r="O40" s="55">
        <v>666.694</v>
      </c>
      <c r="P40" s="55">
        <v>463</v>
      </c>
      <c r="Q40" s="22">
        <v>648</v>
      </c>
      <c r="R40" s="97">
        <f>PrF!H41/1000</f>
        <v>1213.257</v>
      </c>
      <c r="S40" s="187">
        <v>469.243</v>
      </c>
      <c r="T40" s="55">
        <v>245.436</v>
      </c>
      <c r="U40" s="55">
        <v>2.9</v>
      </c>
      <c r="V40" s="55">
        <v>0</v>
      </c>
      <c r="W40" s="22">
        <v>70</v>
      </c>
      <c r="X40" s="97">
        <f>FSS!H41/1000</f>
        <v>1380.93</v>
      </c>
      <c r="Y40" s="187">
        <v>1176.9</v>
      </c>
      <c r="Z40" s="55">
        <v>732.422</v>
      </c>
      <c r="AA40" s="55">
        <v>627.889</v>
      </c>
      <c r="AB40" s="55">
        <v>58</v>
      </c>
      <c r="AC40" s="22">
        <v>110</v>
      </c>
      <c r="AD40" s="97">
        <f>PřF!H41/1000</f>
        <v>875</v>
      </c>
      <c r="AE40" s="187">
        <v>342</v>
      </c>
      <c r="AF40" s="55">
        <v>391</v>
      </c>
      <c r="AG40" s="55">
        <v>0</v>
      </c>
      <c r="AH40" s="55">
        <v>0</v>
      </c>
      <c r="AI40" s="22">
        <v>0</v>
      </c>
      <c r="AJ40" s="97">
        <f>'FI'!H41/1000</f>
        <v>2856.3</v>
      </c>
      <c r="AK40" s="187">
        <v>2307.4</v>
      </c>
      <c r="AL40" s="55">
        <v>368.551</v>
      </c>
      <c r="AM40" s="55">
        <v>25.5</v>
      </c>
      <c r="AN40" s="55">
        <v>23</v>
      </c>
      <c r="AO40" s="22">
        <v>18</v>
      </c>
      <c r="AP40" s="97">
        <f>PdF!H41/1000</f>
        <v>539.75</v>
      </c>
      <c r="AQ40" s="187">
        <v>862.54</v>
      </c>
      <c r="AR40" s="55">
        <v>260.4</v>
      </c>
      <c r="AS40" s="55">
        <v>500</v>
      </c>
      <c r="AT40" s="55">
        <v>0</v>
      </c>
      <c r="AU40" s="22">
        <v>0</v>
      </c>
      <c r="AV40" s="97">
        <f>FSpS!H41/1000</f>
        <v>398.2</v>
      </c>
      <c r="AW40" s="187">
        <v>451.182</v>
      </c>
      <c r="AX40" s="55">
        <v>190.82</v>
      </c>
      <c r="AY40" s="55">
        <v>50</v>
      </c>
      <c r="AZ40" s="55">
        <v>0</v>
      </c>
      <c r="BA40" s="22">
        <v>0</v>
      </c>
      <c r="BB40" s="97">
        <f>ESF!H41/1000</f>
        <v>923.6</v>
      </c>
      <c r="BC40" s="187">
        <v>751.95</v>
      </c>
      <c r="BD40" s="55">
        <v>0</v>
      </c>
      <c r="BE40" s="55">
        <v>300.65</v>
      </c>
      <c r="BF40" s="55">
        <v>305</v>
      </c>
      <c r="BG40" s="22">
        <v>0</v>
      </c>
      <c r="BH40" s="511">
        <f t="shared" si="6"/>
        <v>11018.653</v>
      </c>
      <c r="BI40" s="55">
        <f t="shared" si="6"/>
        <v>10559.45</v>
      </c>
      <c r="BJ40" s="55">
        <v>2766.532</v>
      </c>
      <c r="BK40" s="55">
        <v>2340.712</v>
      </c>
      <c r="BL40" s="55">
        <v>1010</v>
      </c>
      <c r="BM40" s="163">
        <v>1225</v>
      </c>
    </row>
    <row r="41" spans="1:65" ht="12" thickBot="1">
      <c r="A41" s="12"/>
      <c r="B41" s="20" t="s">
        <v>30</v>
      </c>
      <c r="C41" s="20"/>
      <c r="D41" s="20"/>
      <c r="E41" s="60">
        <v>39</v>
      </c>
      <c r="F41" s="97">
        <f>LF!H42/1000</f>
        <v>2650.81689</v>
      </c>
      <c r="G41" s="187">
        <v>6424.38616</v>
      </c>
      <c r="H41" s="187">
        <v>6383.65389</v>
      </c>
      <c r="I41" s="55">
        <v>6070.5690700000005</v>
      </c>
      <c r="J41" s="55">
        <v>3583</v>
      </c>
      <c r="K41" s="22">
        <v>3451</v>
      </c>
      <c r="L41" s="97">
        <f>'FF'!H42/1000</f>
        <v>415</v>
      </c>
      <c r="M41" s="187">
        <v>0</v>
      </c>
      <c r="N41" s="187">
        <v>0</v>
      </c>
      <c r="O41" s="55">
        <v>239.0563</v>
      </c>
      <c r="P41" s="55">
        <v>278</v>
      </c>
      <c r="Q41" s="22">
        <v>991</v>
      </c>
      <c r="R41" s="97">
        <f>PrF!H42/1000</f>
        <v>314.2</v>
      </c>
      <c r="S41" s="187">
        <v>347.89009999999996</v>
      </c>
      <c r="T41" s="55">
        <v>177.86068</v>
      </c>
      <c r="U41" s="55">
        <v>158.89464</v>
      </c>
      <c r="V41" s="55">
        <v>196</v>
      </c>
      <c r="W41" s="22">
        <v>3911</v>
      </c>
      <c r="X41" s="97">
        <f>FSS!H42/1000</f>
        <v>709.50938</v>
      </c>
      <c r="Y41" s="187">
        <v>330.378</v>
      </c>
      <c r="Z41" s="55">
        <v>306.7226</v>
      </c>
      <c r="AA41" s="55">
        <v>25.5</v>
      </c>
      <c r="AB41" s="55">
        <v>71</v>
      </c>
      <c r="AC41" s="22">
        <v>152</v>
      </c>
      <c r="AD41" s="97">
        <f>PřF!H42/1000</f>
        <v>17991.54717</v>
      </c>
      <c r="AE41" s="187">
        <v>21385.67612</v>
      </c>
      <c r="AF41" s="55">
        <v>21190.42148</v>
      </c>
      <c r="AG41" s="55">
        <v>18088.17873</v>
      </c>
      <c r="AH41" s="55">
        <v>16707</v>
      </c>
      <c r="AI41" s="22">
        <v>17049</v>
      </c>
      <c r="AJ41" s="97">
        <f>'FI'!H42/1000</f>
        <v>23</v>
      </c>
      <c r="AK41" s="187">
        <v>10</v>
      </c>
      <c r="AL41" s="55">
        <v>115.4</v>
      </c>
      <c r="AM41" s="55">
        <v>0</v>
      </c>
      <c r="AN41" s="55">
        <v>0</v>
      </c>
      <c r="AO41" s="22">
        <v>0</v>
      </c>
      <c r="AP41" s="97">
        <f>PdF!H42/1000</f>
        <v>11.8875</v>
      </c>
      <c r="AQ41" s="187">
        <v>13.515</v>
      </c>
      <c r="AR41" s="55">
        <v>4.498399999999999</v>
      </c>
      <c r="AS41" s="55">
        <v>18.3783</v>
      </c>
      <c r="AT41" s="55">
        <v>23.503</v>
      </c>
      <c r="AU41" s="22">
        <v>705</v>
      </c>
      <c r="AV41" s="97">
        <f>FSpS!H42/1000</f>
        <v>1293.42328</v>
      </c>
      <c r="AW41" s="187">
        <v>497.4562</v>
      </c>
      <c r="AX41" s="55">
        <v>706.82549</v>
      </c>
      <c r="AY41" s="55">
        <v>352.87368</v>
      </c>
      <c r="AZ41" s="55">
        <v>364</v>
      </c>
      <c r="BA41" s="22">
        <v>417</v>
      </c>
      <c r="BB41" s="97">
        <f>ESF!H42/1000</f>
        <v>7051.86826</v>
      </c>
      <c r="BC41" s="187">
        <v>5156.17841</v>
      </c>
      <c r="BD41" s="55">
        <v>6182.4519900000005</v>
      </c>
      <c r="BE41" s="55">
        <v>5447.5824</v>
      </c>
      <c r="BF41" s="55">
        <v>4459</v>
      </c>
      <c r="BG41" s="22">
        <v>3393</v>
      </c>
      <c r="BH41" s="511">
        <f t="shared" si="6"/>
        <v>30461.25248</v>
      </c>
      <c r="BI41" s="55">
        <f t="shared" si="6"/>
        <v>34165.47999</v>
      </c>
      <c r="BJ41" s="55">
        <v>35067.83453</v>
      </c>
      <c r="BK41" s="55">
        <v>30401.03312</v>
      </c>
      <c r="BL41" s="55">
        <v>25681.503</v>
      </c>
      <c r="BM41" s="163">
        <v>30069</v>
      </c>
    </row>
    <row r="42" spans="1:65" s="11" customFormat="1" ht="12" hidden="1" thickBot="1">
      <c r="A42" s="40" t="s">
        <v>32</v>
      </c>
      <c r="B42" s="41"/>
      <c r="C42" s="41"/>
      <c r="D42" s="41"/>
      <c r="E42" s="58">
        <v>42</v>
      </c>
      <c r="F42" s="189"/>
      <c r="G42" s="489"/>
      <c r="H42" s="187" t="e">
        <f>LF!#REF!/1000</f>
        <v>#REF!</v>
      </c>
      <c r="I42" s="54" t="e">
        <f>LF!#REF!/1000</f>
        <v>#REF!</v>
      </c>
      <c r="J42" s="54" t="e">
        <f>#REF!</f>
        <v>#REF!</v>
      </c>
      <c r="K42" s="63">
        <f>K27+K32+K35+K39+K40+K41-K4-K25</f>
        <v>2087</v>
      </c>
      <c r="L42" s="189"/>
      <c r="M42" s="489"/>
      <c r="N42" s="187"/>
      <c r="O42" s="54" t="e">
        <f>'FF'!#REF!/1000</f>
        <v>#REF!</v>
      </c>
      <c r="P42" s="54" t="e">
        <f>#REF!</f>
        <v>#REF!</v>
      </c>
      <c r="Q42" s="63">
        <f>Q27+Q32+Q35+Q39+Q40+Q41-Q4-Q25</f>
        <v>-6075</v>
      </c>
      <c r="R42" s="189"/>
      <c r="S42" s="489"/>
      <c r="T42" s="186"/>
      <c r="U42" s="54" t="e">
        <f>PrF!#REF!/1000</f>
        <v>#REF!</v>
      </c>
      <c r="V42" s="54" t="e">
        <f>#REF!</f>
        <v>#REF!</v>
      </c>
      <c r="W42" s="63">
        <f>W27+W32+W35+W39+W40+W41-W4-W25</f>
        <v>-465</v>
      </c>
      <c r="X42" s="189"/>
      <c r="Y42" s="489"/>
      <c r="Z42" s="187"/>
      <c r="AA42" s="54" t="e">
        <f>FSS!#REF!/1000</f>
        <v>#REF!</v>
      </c>
      <c r="AB42" s="54" t="e">
        <f>#REF!</f>
        <v>#REF!</v>
      </c>
      <c r="AC42" s="63">
        <f>AC27+AC32+AC35+AC39+AC40+AC41-AC4-AC25</f>
        <v>865</v>
      </c>
      <c r="AD42" s="189"/>
      <c r="AE42" s="489"/>
      <c r="AF42" s="187"/>
      <c r="AG42" s="54" t="e">
        <f>PřF!#REF!/1000</f>
        <v>#REF!</v>
      </c>
      <c r="AH42" s="54" t="e">
        <f>#REF!</f>
        <v>#REF!</v>
      </c>
      <c r="AI42" s="63">
        <f>AI27+AI32+AI35+AI39+AI40+AI41-AI4-AI25</f>
        <v>898</v>
      </c>
      <c r="AJ42" s="189"/>
      <c r="AK42" s="489"/>
      <c r="AL42" s="187"/>
      <c r="AM42" s="54" t="e">
        <f>'FI'!#REF!/1000</f>
        <v>#REF!</v>
      </c>
      <c r="AN42" s="54" t="e">
        <f>#REF!</f>
        <v>#REF!</v>
      </c>
      <c r="AO42" s="63">
        <f>AO27+AO32+AO35+AO39+AO40+AO41-AO4-AO25</f>
        <v>2429</v>
      </c>
      <c r="AP42" s="189"/>
      <c r="AQ42" s="489"/>
      <c r="AR42" s="187"/>
      <c r="AS42" s="54" t="e">
        <f>PdF!#REF!/1000</f>
        <v>#REF!</v>
      </c>
      <c r="AT42" s="54">
        <f>AT27+AT32+AT35+AT39+AT40+AT41-AT4-AT25</f>
        <v>1435.4880000000032</v>
      </c>
      <c r="AU42" s="63">
        <f>AU27+AU32+AU35+AU39+AU40+AU41-AU4-AU25</f>
        <v>-1558</v>
      </c>
      <c r="AV42" s="189"/>
      <c r="AW42" s="489"/>
      <c r="AX42" s="54" t="e">
        <f>FSpS!#REF!/1000</f>
        <v>#REF!</v>
      </c>
      <c r="AY42" s="54" t="e">
        <f>FSpS!#REF!/1000</f>
        <v>#REF!</v>
      </c>
      <c r="AZ42" s="54" t="e">
        <f>#REF!</f>
        <v>#REF!</v>
      </c>
      <c r="BA42" s="63" t="e">
        <f>#REF!</f>
        <v>#REF!</v>
      </c>
      <c r="BB42" s="191">
        <f>ESF!H43/1000</f>
        <v>40964.12993</v>
      </c>
      <c r="BC42" s="489"/>
      <c r="BD42" s="187"/>
      <c r="BE42" s="54" t="e">
        <f>ESF!#REF!/1000</f>
        <v>#REF!</v>
      </c>
      <c r="BF42" s="54" t="e">
        <f>#REF!</f>
        <v>#REF!</v>
      </c>
      <c r="BG42" s="63" t="e">
        <f>ESF!#REF!</f>
        <v>#REF!</v>
      </c>
      <c r="BH42" s="512" t="e">
        <f>H42+L42+R42+X42+AD42+AJ42+AP42+AV42+BB42</f>
        <v>#REF!</v>
      </c>
      <c r="BI42" s="516" t="e">
        <f>I42+M42+S42+Y42+AE42+AK42+AQ42+AW42+BC42</f>
        <v>#REF!</v>
      </c>
      <c r="BJ42" s="516"/>
      <c r="BK42" s="516" t="e">
        <v>#REF!</v>
      </c>
      <c r="BL42" s="516">
        <v>33798.48800000018</v>
      </c>
      <c r="BM42" s="513">
        <v>-889</v>
      </c>
    </row>
    <row r="43" spans="1:65" ht="12" thickBot="1">
      <c r="A43" s="117" t="s">
        <v>33</v>
      </c>
      <c r="B43" s="118"/>
      <c r="C43" s="118"/>
      <c r="D43" s="118"/>
      <c r="E43" s="127">
        <v>40</v>
      </c>
      <c r="F43" s="119">
        <f aca="true" t="shared" si="7" ref="F43:AR43">F26-F3</f>
        <v>10525.471650000021</v>
      </c>
      <c r="G43" s="188">
        <f t="shared" si="7"/>
        <v>11016.811789999949</v>
      </c>
      <c r="H43" s="188">
        <f t="shared" si="7"/>
        <v>10292.316119999974</v>
      </c>
      <c r="I43" s="121">
        <f t="shared" si="7"/>
        <v>11327.609839999961</v>
      </c>
      <c r="J43" s="121">
        <f t="shared" si="7"/>
        <v>14710</v>
      </c>
      <c r="K43" s="129">
        <f t="shared" si="7"/>
        <v>2087</v>
      </c>
      <c r="L43" s="119">
        <f>L26-L3</f>
        <v>5191.140939999954</v>
      </c>
      <c r="M43" s="188">
        <f t="shared" si="7"/>
        <v>4659.612829999998</v>
      </c>
      <c r="N43" s="188">
        <f t="shared" si="7"/>
        <v>6109.39155999996</v>
      </c>
      <c r="O43" s="121">
        <f t="shared" si="7"/>
        <v>4360.125149999978</v>
      </c>
      <c r="P43" s="121">
        <f t="shared" si="7"/>
        <v>3900</v>
      </c>
      <c r="Q43" s="129">
        <f t="shared" si="7"/>
        <v>1941</v>
      </c>
      <c r="R43" s="119">
        <f>R26-R3</f>
        <v>4736.038819999987</v>
      </c>
      <c r="S43" s="188">
        <f t="shared" si="7"/>
        <v>5733.5127900000225</v>
      </c>
      <c r="T43" s="121">
        <f t="shared" si="7"/>
        <v>6041.4395099999965</v>
      </c>
      <c r="U43" s="121">
        <f t="shared" si="7"/>
        <v>3013.722750000001</v>
      </c>
      <c r="V43" s="121">
        <f t="shared" si="7"/>
        <v>2075</v>
      </c>
      <c r="W43" s="129">
        <f t="shared" si="7"/>
        <v>584</v>
      </c>
      <c r="X43" s="119">
        <f>X26-X3</f>
        <v>2877.0621299999475</v>
      </c>
      <c r="Y43" s="188">
        <f>Y26-Y3</f>
        <v>1895.4908200000355</v>
      </c>
      <c r="Z43" s="121">
        <f t="shared" si="7"/>
        <v>2107.144859999986</v>
      </c>
      <c r="AA43" s="121">
        <f t="shared" si="7"/>
        <v>2092.5108400000026</v>
      </c>
      <c r="AB43" s="121">
        <f t="shared" si="7"/>
        <v>4338</v>
      </c>
      <c r="AC43" s="129">
        <f t="shared" si="7"/>
        <v>964</v>
      </c>
      <c r="AD43" s="119">
        <f>AD26-AD3</f>
        <v>3214.546049999888</v>
      </c>
      <c r="AE43" s="188">
        <f>AE26-AE3</f>
        <v>6011.831799999927</v>
      </c>
      <c r="AF43" s="121">
        <f t="shared" si="7"/>
        <v>3312.617050000059</v>
      </c>
      <c r="AG43" s="121">
        <f t="shared" si="7"/>
        <v>14246.52954999992</v>
      </c>
      <c r="AH43" s="121">
        <f t="shared" si="7"/>
        <v>1372</v>
      </c>
      <c r="AI43" s="129">
        <f t="shared" si="7"/>
        <v>986</v>
      </c>
      <c r="AJ43" s="119">
        <f>AJ26-AJ3</f>
        <v>2076.954149999976</v>
      </c>
      <c r="AK43" s="188">
        <f>AK26-AK3</f>
        <v>1356.1278599999787</v>
      </c>
      <c r="AL43" s="121">
        <f t="shared" si="7"/>
        <v>86.73992000002181</v>
      </c>
      <c r="AM43" s="121">
        <f t="shared" si="7"/>
        <v>531.8064100000192</v>
      </c>
      <c r="AN43" s="121">
        <f t="shared" si="7"/>
        <v>3827</v>
      </c>
      <c r="AO43" s="129">
        <f t="shared" si="7"/>
        <v>2425</v>
      </c>
      <c r="AP43" s="119">
        <f>AP26-AP3</f>
        <v>3519.5109300000477</v>
      </c>
      <c r="AQ43" s="188"/>
      <c r="AR43" s="121">
        <f t="shared" si="7"/>
        <v>4785.12500999996</v>
      </c>
      <c r="AS43" s="121">
        <f aca="true" t="shared" si="8" ref="AS43:BH43">AS26-AS3</f>
        <v>4509.119810000033</v>
      </c>
      <c r="AT43" s="121">
        <f t="shared" si="8"/>
        <v>2499.4559999999765</v>
      </c>
      <c r="AU43" s="129">
        <f t="shared" si="8"/>
        <v>1990</v>
      </c>
      <c r="AV43" s="119">
        <f t="shared" si="8"/>
        <v>762.4549699999916</v>
      </c>
      <c r="AW43" s="188">
        <f>AW26-AW3</f>
        <v>1599.9949199999974</v>
      </c>
      <c r="AX43" s="121">
        <f t="shared" si="8"/>
        <v>1270.8960599999918</v>
      </c>
      <c r="AY43" s="121">
        <f t="shared" si="8"/>
        <v>1326.5156699999934</v>
      </c>
      <c r="AZ43" s="121">
        <f t="shared" si="8"/>
        <v>665</v>
      </c>
      <c r="BA43" s="129">
        <f t="shared" si="8"/>
        <v>44</v>
      </c>
      <c r="BB43" s="119">
        <f t="shared" si="8"/>
        <v>1758.082620000001</v>
      </c>
      <c r="BC43" s="188">
        <f>BC26-BC3</f>
        <v>3084.628069999977</v>
      </c>
      <c r="BD43" s="121">
        <f t="shared" si="8"/>
        <v>2474.7554799999634</v>
      </c>
      <c r="BE43" s="121">
        <f t="shared" si="8"/>
        <v>2264.637340000001</v>
      </c>
      <c r="BF43" s="121">
        <f t="shared" si="8"/>
        <v>1513</v>
      </c>
      <c r="BG43" s="129">
        <f t="shared" si="8"/>
        <v>986</v>
      </c>
      <c r="BH43" s="498">
        <f t="shared" si="8"/>
        <v>34661.26226000022</v>
      </c>
      <c r="BI43" s="121">
        <f>BI26-BI3</f>
        <v>39720.73680999968</v>
      </c>
      <c r="BJ43" s="121">
        <v>36480.425570000894</v>
      </c>
      <c r="BK43" s="121">
        <v>43672.577359999996</v>
      </c>
      <c r="BL43" s="121">
        <v>34899.45600000024</v>
      </c>
      <c r="BM43" s="166">
        <v>12007</v>
      </c>
    </row>
    <row r="44" ht="11.25">
      <c r="A44" s="1"/>
    </row>
  </sheetData>
  <mergeCells count="10">
    <mergeCell ref="A1:D1"/>
    <mergeCell ref="L1:Q1"/>
    <mergeCell ref="R1:W1"/>
    <mergeCell ref="X1:AC1"/>
    <mergeCell ref="F1:K1"/>
    <mergeCell ref="AP1:AU1"/>
    <mergeCell ref="AV1:BA1"/>
    <mergeCell ref="BB1:BG1"/>
    <mergeCell ref="AD1:AI1"/>
    <mergeCell ref="AJ1:AO1"/>
  </mergeCells>
  <printOptions/>
  <pageMargins left="0.29" right="0.23" top="0.4" bottom="0.42" header="0.19" footer="0.26"/>
  <pageSetup horizontalDpi="600" verticalDpi="600" orientation="landscape" paperSize="9" scale="88" r:id="rId1"/>
  <headerFooter alignWithMargins="0">
    <oddHeader>&amp;L&amp;"Arial CE,kurzíva\&amp;11Osnova rozpočtu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8"/>
  <dimension ref="A1:BK46"/>
  <sheetViews>
    <sheetView workbookViewId="0" topLeftCell="A1">
      <selection activeCell="N2" sqref="N2"/>
    </sheetView>
  </sheetViews>
  <sheetFormatPr defaultColWidth="9.00390625" defaultRowHeight="12.75"/>
  <cols>
    <col min="1" max="1" width="5.75390625" style="0" customWidth="1"/>
    <col min="2" max="2" width="5.625" style="0" customWidth="1"/>
    <col min="3" max="3" width="6.25390625" style="0" customWidth="1"/>
    <col min="4" max="4" width="24.875" style="0" customWidth="1"/>
    <col min="5" max="5" width="3.75390625" style="0" customWidth="1"/>
    <col min="6" max="8" width="6.625" style="0" customWidth="1"/>
    <col min="9" max="9" width="6.75390625" style="7" customWidth="1"/>
    <col min="10" max="10" width="6.625" style="7" bestFit="1" customWidth="1"/>
    <col min="11" max="11" width="7.125" style="30" customWidth="1"/>
    <col min="12" max="12" width="6.00390625" style="30" customWidth="1"/>
    <col min="13" max="13" width="3.625" style="30" customWidth="1"/>
    <col min="14" max="14" width="5.375" style="30" bestFit="1" customWidth="1"/>
    <col min="15" max="15" width="4.875" style="30" customWidth="1"/>
    <col min="16" max="16" width="3.00390625" style="30" customWidth="1"/>
    <col min="17" max="17" width="5.75390625" style="30" customWidth="1"/>
    <col min="18" max="18" width="6.00390625" style="30" bestFit="1" customWidth="1"/>
    <col min="19" max="19" width="3.375" style="30" customWidth="1"/>
    <col min="20" max="20" width="5.875" style="30" customWidth="1"/>
    <col min="21" max="21" width="3.125" style="30" customWidth="1"/>
    <col min="22" max="22" width="5.25390625" style="0" customWidth="1"/>
    <col min="23" max="23" width="5.75390625" style="0" bestFit="1" customWidth="1"/>
    <col min="24" max="24" width="6.00390625" style="7" bestFit="1" customWidth="1"/>
    <col min="25" max="25" width="5.75390625" style="7" bestFit="1" customWidth="1"/>
    <col min="26" max="26" width="5.875" style="30" customWidth="1"/>
    <col min="27" max="29" width="6.625" style="0" customWidth="1"/>
    <col min="30" max="30" width="6.375" style="7" customWidth="1"/>
    <col min="31" max="31" width="6.25390625" style="7" bestFit="1" customWidth="1"/>
    <col min="32" max="32" width="6.25390625" style="30" bestFit="1" customWidth="1"/>
    <col min="33" max="34" width="6.00390625" style="0" customWidth="1"/>
    <col min="35" max="36" width="6.00390625" style="0" bestFit="1" customWidth="1"/>
    <col min="37" max="37" width="5.75390625" style="7" customWidth="1"/>
    <col min="38" max="38" width="5.375" style="30" bestFit="1" customWidth="1"/>
    <col min="39" max="39" width="6.75390625" style="0" customWidth="1"/>
    <col min="40" max="40" width="6.625" style="0" customWidth="1"/>
    <col min="41" max="41" width="6.00390625" style="0" customWidth="1"/>
    <col min="42" max="42" width="6.25390625" style="7" customWidth="1"/>
    <col min="43" max="43" width="6.75390625" style="7" customWidth="1"/>
    <col min="44" max="44" width="6.25390625" style="30" customWidth="1"/>
    <col min="45" max="47" width="5.875" style="0" customWidth="1"/>
    <col min="48" max="48" width="5.75390625" style="7" customWidth="1"/>
    <col min="49" max="49" width="5.75390625" style="7" bestFit="1" customWidth="1"/>
    <col min="50" max="50" width="5.875" style="30" customWidth="1"/>
    <col min="51" max="53" width="6.625" style="0" customWidth="1"/>
    <col min="54" max="54" width="6.375" style="7" customWidth="1"/>
    <col min="55" max="55" width="6.625" style="7" customWidth="1"/>
    <col min="56" max="56" width="6.875" style="30" customWidth="1"/>
    <col min="57" max="59" width="7.125" style="30" customWidth="1"/>
    <col min="60" max="62" width="7.125" style="30" bestFit="1" customWidth="1"/>
    <col min="63" max="63" width="4.00390625" style="0" customWidth="1"/>
  </cols>
  <sheetData>
    <row r="1" spans="1:62" s="7" customFormat="1" ht="12.75">
      <c r="A1" s="627" t="s">
        <v>130</v>
      </c>
      <c r="B1" s="628"/>
      <c r="C1" s="628"/>
      <c r="D1" s="628"/>
      <c r="E1" s="98"/>
      <c r="F1" s="99"/>
      <c r="G1" s="193"/>
      <c r="H1" s="193"/>
      <c r="I1" s="100" t="s">
        <v>118</v>
      </c>
      <c r="J1" s="100"/>
      <c r="K1" s="101"/>
      <c r="L1" s="629" t="s">
        <v>147</v>
      </c>
      <c r="M1" s="631"/>
      <c r="N1" s="629" t="s">
        <v>132</v>
      </c>
      <c r="O1" s="630"/>
      <c r="P1" s="631"/>
      <c r="Q1" s="629" t="s">
        <v>133</v>
      </c>
      <c r="R1" s="630"/>
      <c r="S1" s="631"/>
      <c r="T1" s="629" t="s">
        <v>220</v>
      </c>
      <c r="U1" s="631"/>
      <c r="V1" s="629" t="s">
        <v>136</v>
      </c>
      <c r="W1" s="630"/>
      <c r="X1" s="630"/>
      <c r="Y1" s="630"/>
      <c r="Z1" s="631"/>
      <c r="AA1" s="99"/>
      <c r="AB1" s="193"/>
      <c r="AC1" s="193"/>
      <c r="AD1" s="100" t="s">
        <v>119</v>
      </c>
      <c r="AE1" s="100"/>
      <c r="AF1" s="101"/>
      <c r="AG1" s="99"/>
      <c r="AH1" s="193"/>
      <c r="AI1" s="193"/>
      <c r="AJ1" s="193" t="s">
        <v>120</v>
      </c>
      <c r="AK1" s="100"/>
      <c r="AL1" s="101"/>
      <c r="AM1" s="99"/>
      <c r="AN1" s="193"/>
      <c r="AO1" s="193"/>
      <c r="AP1" s="100" t="s">
        <v>121</v>
      </c>
      <c r="AQ1" s="100"/>
      <c r="AR1" s="101"/>
      <c r="AS1" s="99"/>
      <c r="AT1" s="193"/>
      <c r="AU1" s="193"/>
      <c r="AV1" s="100" t="s">
        <v>122</v>
      </c>
      <c r="AW1" s="100"/>
      <c r="AX1" s="101"/>
      <c r="AY1" s="99"/>
      <c r="AZ1" s="193"/>
      <c r="BA1" s="193"/>
      <c r="BB1" s="100" t="s">
        <v>123</v>
      </c>
      <c r="BC1" s="100"/>
      <c r="BD1" s="101"/>
      <c r="BE1" s="517" t="s">
        <v>124</v>
      </c>
      <c r="BF1" s="532" t="s">
        <v>124</v>
      </c>
      <c r="BG1" s="532" t="s">
        <v>124</v>
      </c>
      <c r="BH1" s="532" t="s">
        <v>124</v>
      </c>
      <c r="BI1" s="532" t="s">
        <v>124</v>
      </c>
      <c r="BJ1" s="522" t="s">
        <v>124</v>
      </c>
    </row>
    <row r="2" spans="1:62" s="2" customFormat="1" ht="13.5" thickBot="1">
      <c r="A2" s="102" t="s">
        <v>39</v>
      </c>
      <c r="B2" s="25"/>
      <c r="C2" s="25"/>
      <c r="D2" s="26" t="s">
        <v>44</v>
      </c>
      <c r="E2" s="103" t="s">
        <v>21</v>
      </c>
      <c r="F2" s="497">
        <v>2006</v>
      </c>
      <c r="G2" s="500">
        <v>2005</v>
      </c>
      <c r="H2" s="194">
        <v>2004</v>
      </c>
      <c r="I2" s="104">
        <v>2003</v>
      </c>
      <c r="J2" s="104">
        <v>2002</v>
      </c>
      <c r="K2" s="105">
        <v>2001</v>
      </c>
      <c r="L2" s="496">
        <v>2006</v>
      </c>
      <c r="M2" s="603" t="s">
        <v>232</v>
      </c>
      <c r="N2" s="497">
        <v>2006</v>
      </c>
      <c r="O2" s="500">
        <v>2005</v>
      </c>
      <c r="P2" s="603" t="s">
        <v>233</v>
      </c>
      <c r="Q2" s="497">
        <v>2006</v>
      </c>
      <c r="R2" s="500">
        <v>2005</v>
      </c>
      <c r="S2" s="604" t="s">
        <v>233</v>
      </c>
      <c r="T2" s="496">
        <v>2006</v>
      </c>
      <c r="U2" s="603" t="s">
        <v>232</v>
      </c>
      <c r="V2" s="502">
        <v>2005</v>
      </c>
      <c r="W2" s="194">
        <v>2004</v>
      </c>
      <c r="X2" s="104">
        <v>2003</v>
      </c>
      <c r="Y2" s="104">
        <v>2002</v>
      </c>
      <c r="Z2" s="105">
        <v>2001</v>
      </c>
      <c r="AA2" s="497">
        <v>2006</v>
      </c>
      <c r="AB2" s="500">
        <v>2005</v>
      </c>
      <c r="AC2" s="194">
        <v>2004</v>
      </c>
      <c r="AD2" s="104">
        <v>2003</v>
      </c>
      <c r="AE2" s="104">
        <v>2002</v>
      </c>
      <c r="AF2" s="105">
        <v>2001</v>
      </c>
      <c r="AG2" s="497">
        <v>2006</v>
      </c>
      <c r="AH2" s="500">
        <v>2005</v>
      </c>
      <c r="AI2" s="194">
        <v>2004</v>
      </c>
      <c r="AJ2" s="500">
        <v>2003</v>
      </c>
      <c r="AK2" s="104">
        <v>2002</v>
      </c>
      <c r="AL2" s="105">
        <v>2001</v>
      </c>
      <c r="AM2" s="497">
        <v>2006</v>
      </c>
      <c r="AN2" s="500">
        <v>2005</v>
      </c>
      <c r="AO2" s="194">
        <v>2004</v>
      </c>
      <c r="AP2" s="104">
        <v>2003</v>
      </c>
      <c r="AQ2" s="104">
        <v>2002</v>
      </c>
      <c r="AR2" s="105">
        <v>2001</v>
      </c>
      <c r="AS2" s="497">
        <v>2006</v>
      </c>
      <c r="AT2" s="500">
        <v>2005</v>
      </c>
      <c r="AU2" s="194">
        <v>2004</v>
      </c>
      <c r="AV2" s="104">
        <v>2003</v>
      </c>
      <c r="AW2" s="104">
        <v>2002</v>
      </c>
      <c r="AX2" s="105">
        <v>2001</v>
      </c>
      <c r="AY2" s="497">
        <v>2006</v>
      </c>
      <c r="AZ2" s="500">
        <v>2005</v>
      </c>
      <c r="BA2" s="194">
        <v>2004</v>
      </c>
      <c r="BB2" s="104">
        <v>2003</v>
      </c>
      <c r="BC2" s="104">
        <v>2002</v>
      </c>
      <c r="BD2" s="105">
        <v>2001</v>
      </c>
      <c r="BE2" s="518">
        <v>2006</v>
      </c>
      <c r="BF2" s="533">
        <v>2005</v>
      </c>
      <c r="BG2" s="533">
        <v>2004</v>
      </c>
      <c r="BH2" s="533">
        <v>2003</v>
      </c>
      <c r="BI2" s="533">
        <v>2002</v>
      </c>
      <c r="BJ2" s="523">
        <v>2001</v>
      </c>
    </row>
    <row r="3" spans="1:62" s="2" customFormat="1" ht="12" thickBot="1">
      <c r="A3" s="106" t="s">
        <v>35</v>
      </c>
      <c r="B3" s="107"/>
      <c r="C3" s="107"/>
      <c r="D3" s="107"/>
      <c r="E3" s="127">
        <v>1</v>
      </c>
      <c r="F3" s="498">
        <f aca="true" t="shared" si="0" ref="F3:BJ3">SUM(F5:F25)</f>
        <v>152400.61818</v>
      </c>
      <c r="G3" s="121">
        <f>SUM(G5:G25)</f>
        <v>151844.12423999998</v>
      </c>
      <c r="H3" s="120">
        <f t="shared" si="0"/>
        <v>151875.52288</v>
      </c>
      <c r="I3" s="121">
        <f t="shared" si="0"/>
        <v>144936.63642999998</v>
      </c>
      <c r="J3" s="121">
        <f t="shared" si="0"/>
        <v>137547</v>
      </c>
      <c r="K3" s="122">
        <f t="shared" si="0"/>
        <v>132456</v>
      </c>
      <c r="L3" s="119">
        <f>SUM(L5:L25)</f>
        <v>14601.233160000002</v>
      </c>
      <c r="M3" s="197">
        <f>SUM(M5:M25)</f>
        <v>0</v>
      </c>
      <c r="N3" s="498">
        <f>SUM(N5:N25)</f>
        <v>4656.371770000002</v>
      </c>
      <c r="O3" s="121">
        <f>SUM(O5:O25)</f>
        <v>3028.8886200000006</v>
      </c>
      <c r="P3" s="122">
        <f t="shared" si="0"/>
        <v>0</v>
      </c>
      <c r="Q3" s="498">
        <f>SUM(Q5:Q25)</f>
        <v>15608.59545</v>
      </c>
      <c r="R3" s="121">
        <f>SUM(R5:R25)</f>
        <v>10760.541420000001</v>
      </c>
      <c r="S3" s="197">
        <f t="shared" si="0"/>
        <v>0</v>
      </c>
      <c r="T3" s="119">
        <f>SUM(T5:T25)</f>
        <v>34997.574440000004</v>
      </c>
      <c r="U3" s="197">
        <f>SUM(U5:U25)</f>
        <v>0</v>
      </c>
      <c r="V3" s="119">
        <f>SUM(V5:V25)</f>
        <v>8014.5935899999995</v>
      </c>
      <c r="W3" s="108">
        <f t="shared" si="0"/>
        <v>14129.42966</v>
      </c>
      <c r="X3" s="109">
        <f t="shared" si="0"/>
        <v>8975.047240000002</v>
      </c>
      <c r="Y3" s="109">
        <f t="shared" si="0"/>
        <v>11482</v>
      </c>
      <c r="Z3" s="110">
        <f t="shared" si="0"/>
        <v>9902</v>
      </c>
      <c r="AA3" s="498">
        <f>SUM(AA5:AA25)</f>
        <v>187433.77196</v>
      </c>
      <c r="AB3" s="121">
        <f>SUM(AB5:AB25)</f>
        <v>152207.13649</v>
      </c>
      <c r="AC3" s="108">
        <f t="shared" si="0"/>
        <v>129216.96702999999</v>
      </c>
      <c r="AD3" s="109">
        <f t="shared" si="0"/>
        <v>128733.75846000001</v>
      </c>
      <c r="AE3" s="109">
        <f t="shared" si="0"/>
        <v>76220</v>
      </c>
      <c r="AF3" s="110">
        <f t="shared" si="0"/>
        <v>58958</v>
      </c>
      <c r="AG3" s="498">
        <f t="shared" si="0"/>
        <v>1016.7192999999995</v>
      </c>
      <c r="AH3" s="121">
        <f>SUM(AH5:AH25)</f>
        <v>1401.2515199999998</v>
      </c>
      <c r="AI3" s="108">
        <f t="shared" si="0"/>
        <v>1095.9254499999995</v>
      </c>
      <c r="AJ3" s="109">
        <f t="shared" si="0"/>
        <v>903.9964299999998</v>
      </c>
      <c r="AK3" s="109">
        <f t="shared" si="0"/>
        <v>6001</v>
      </c>
      <c r="AL3" s="110">
        <f t="shared" si="0"/>
        <v>5800</v>
      </c>
      <c r="AM3" s="498">
        <f t="shared" si="0"/>
        <v>27858.485960000005</v>
      </c>
      <c r="AN3" s="121">
        <f>SUM(AN5:AN25)</f>
        <v>21223.784109999997</v>
      </c>
      <c r="AO3" s="108">
        <f t="shared" si="0"/>
        <v>20063.586550000004</v>
      </c>
      <c r="AP3" s="109">
        <f t="shared" si="0"/>
        <v>17957.755550000005</v>
      </c>
      <c r="AQ3" s="109">
        <f t="shared" si="0"/>
        <v>15942</v>
      </c>
      <c r="AR3" s="110">
        <f t="shared" si="0"/>
        <v>12729</v>
      </c>
      <c r="AS3" s="498">
        <f t="shared" si="0"/>
        <v>59034.04575</v>
      </c>
      <c r="AT3" s="121">
        <f>SUM(AT5:AT25)</f>
        <v>49301.037979999994</v>
      </c>
      <c r="AU3" s="108">
        <f t="shared" si="0"/>
        <v>44483.5849</v>
      </c>
      <c r="AV3" s="109">
        <f t="shared" si="0"/>
        <v>36668.90282</v>
      </c>
      <c r="AW3" s="109">
        <f t="shared" si="0"/>
        <v>37330</v>
      </c>
      <c r="AX3" s="110">
        <f t="shared" si="0"/>
        <v>30295</v>
      </c>
      <c r="AY3" s="498">
        <f t="shared" si="0"/>
        <v>342606.26726999995</v>
      </c>
      <c r="AZ3" s="121">
        <f>SUM(AZ5:AZ25)</f>
        <v>211017.6035</v>
      </c>
      <c r="BA3" s="108">
        <f t="shared" si="0"/>
        <v>187386.66826</v>
      </c>
      <c r="BB3" s="109">
        <f t="shared" si="0"/>
        <v>226141.40467</v>
      </c>
      <c r="BC3" s="109">
        <f t="shared" si="0"/>
        <v>241993</v>
      </c>
      <c r="BD3" s="110">
        <f t="shared" si="0"/>
        <v>233485</v>
      </c>
      <c r="BE3" s="519">
        <f t="shared" si="0"/>
        <v>840213.6832399999</v>
      </c>
      <c r="BF3" s="534">
        <f>SUM(BF5:BF25)</f>
        <v>608798.96147</v>
      </c>
      <c r="BG3" s="534">
        <f t="shared" si="0"/>
        <v>548251.6847299999</v>
      </c>
      <c r="BH3" s="534">
        <f t="shared" si="0"/>
        <v>564317.5016000001</v>
      </c>
      <c r="BI3" s="534">
        <f t="shared" si="0"/>
        <v>526515</v>
      </c>
      <c r="BJ3" s="524">
        <f t="shared" si="0"/>
        <v>483625</v>
      </c>
    </row>
    <row r="4" spans="1:62" s="2" customFormat="1" ht="11.25">
      <c r="A4" s="12" t="s">
        <v>125</v>
      </c>
      <c r="B4" s="13" t="s">
        <v>91</v>
      </c>
      <c r="C4" s="13"/>
      <c r="D4" s="13"/>
      <c r="E4" s="59">
        <v>2</v>
      </c>
      <c r="F4" s="61">
        <f aca="true" t="shared" si="1" ref="F4:BJ4">SUM(F5:F15)</f>
        <v>127012.0644</v>
      </c>
      <c r="G4" s="53">
        <f>SUM(G5:G15)</f>
        <v>128257.76993999998</v>
      </c>
      <c r="H4" s="111">
        <f t="shared" si="1"/>
        <v>130619.35822000002</v>
      </c>
      <c r="I4" s="53">
        <f t="shared" si="1"/>
        <v>125766.28133999999</v>
      </c>
      <c r="J4" s="53">
        <f t="shared" si="1"/>
        <v>120258</v>
      </c>
      <c r="K4" s="112">
        <f t="shared" si="1"/>
        <v>114233</v>
      </c>
      <c r="L4" s="61">
        <f>SUM(L5:L15)</f>
        <v>14601.233160000002</v>
      </c>
      <c r="M4" s="198">
        <f>SUM(M5:M15)</f>
        <v>0</v>
      </c>
      <c r="N4" s="61">
        <f>SUM(N5:N15)</f>
        <v>4656.371770000002</v>
      </c>
      <c r="O4" s="53">
        <f>SUM(O5:O15)</f>
        <v>3028.8886200000006</v>
      </c>
      <c r="P4" s="198">
        <f t="shared" si="1"/>
        <v>0</v>
      </c>
      <c r="Q4" s="61">
        <f>SUM(Q5:Q15)</f>
        <v>3036.57992</v>
      </c>
      <c r="R4" s="53">
        <f>SUM(R5:R15)</f>
        <v>3231.68844</v>
      </c>
      <c r="S4" s="198">
        <f t="shared" si="1"/>
        <v>0</v>
      </c>
      <c r="T4" s="61">
        <f>SUM(T5:T15)</f>
        <v>29627.721250000002</v>
      </c>
      <c r="U4" s="198">
        <f>SUM(U5:U15)</f>
        <v>0</v>
      </c>
      <c r="V4" s="61">
        <f>SUM(V5:V15)</f>
        <v>6968.2347899999995</v>
      </c>
      <c r="W4" s="111">
        <f t="shared" si="1"/>
        <v>6800.9668</v>
      </c>
      <c r="X4" s="53">
        <f t="shared" si="1"/>
        <v>4492.505330000001</v>
      </c>
      <c r="Y4" s="53">
        <f t="shared" si="1"/>
        <v>6384</v>
      </c>
      <c r="Z4" s="112">
        <f t="shared" si="1"/>
        <v>6709</v>
      </c>
      <c r="AA4" s="61">
        <f>SUM(AA5:AA15)</f>
        <v>134700.04116000002</v>
      </c>
      <c r="AB4" s="53">
        <f>SUM(AB5:AB15)</f>
        <v>112152.90862000002</v>
      </c>
      <c r="AC4" s="111">
        <f t="shared" si="1"/>
        <v>97154.87883999999</v>
      </c>
      <c r="AD4" s="53">
        <f t="shared" si="1"/>
        <v>72156.29863</v>
      </c>
      <c r="AE4" s="53">
        <f t="shared" si="1"/>
        <v>56060</v>
      </c>
      <c r="AF4" s="112">
        <f t="shared" si="1"/>
        <v>45807</v>
      </c>
      <c r="AG4" s="61">
        <f t="shared" si="1"/>
        <v>175.3529499999995</v>
      </c>
      <c r="AH4" s="53">
        <f>SUM(AH5:AH15)</f>
        <v>229.88202999999976</v>
      </c>
      <c r="AI4" s="111">
        <f t="shared" si="1"/>
        <v>-2.8437000000003536</v>
      </c>
      <c r="AJ4" s="53">
        <f t="shared" si="1"/>
        <v>309.16327999999976</v>
      </c>
      <c r="AK4" s="53">
        <f t="shared" si="1"/>
        <v>5209</v>
      </c>
      <c r="AL4" s="112">
        <f t="shared" si="1"/>
        <v>5800</v>
      </c>
      <c r="AM4" s="61">
        <f t="shared" si="1"/>
        <v>23079.765860000003</v>
      </c>
      <c r="AN4" s="53">
        <f>SUM(AN5:AN15)</f>
        <v>19606.682019999997</v>
      </c>
      <c r="AO4" s="111">
        <f t="shared" si="1"/>
        <v>18654.386550000003</v>
      </c>
      <c r="AP4" s="53">
        <f t="shared" si="1"/>
        <v>17114.872850000007</v>
      </c>
      <c r="AQ4" s="53">
        <f t="shared" si="1"/>
        <v>15062</v>
      </c>
      <c r="AR4" s="112">
        <f t="shared" si="1"/>
        <v>12707</v>
      </c>
      <c r="AS4" s="61">
        <f t="shared" si="1"/>
        <v>11791.684249999998</v>
      </c>
      <c r="AT4" s="53">
        <f>SUM(AT5:AT15)</f>
        <v>8632.23215</v>
      </c>
      <c r="AU4" s="111">
        <f t="shared" si="1"/>
        <v>7868.67037</v>
      </c>
      <c r="AV4" s="53">
        <f t="shared" si="1"/>
        <v>7177.76478</v>
      </c>
      <c r="AW4" s="53">
        <f t="shared" si="1"/>
        <v>5804</v>
      </c>
      <c r="AX4" s="112">
        <f t="shared" si="1"/>
        <v>5177</v>
      </c>
      <c r="AY4" s="61">
        <f t="shared" si="1"/>
        <v>322553.9212</v>
      </c>
      <c r="AZ4" s="53">
        <f>SUM(AZ5:AZ15)</f>
        <v>204208.28252</v>
      </c>
      <c r="BA4" s="111">
        <f t="shared" si="1"/>
        <v>177727.07443</v>
      </c>
      <c r="BB4" s="53">
        <f t="shared" si="1"/>
        <v>220016.90297</v>
      </c>
      <c r="BC4" s="53">
        <f t="shared" si="1"/>
        <v>222112</v>
      </c>
      <c r="BD4" s="112">
        <f t="shared" si="1"/>
        <v>204766</v>
      </c>
      <c r="BE4" s="61">
        <f t="shared" si="1"/>
        <v>671234.7359199999</v>
      </c>
      <c r="BF4" s="535">
        <f>SUM(BF5:BF15)</f>
        <v>486316.56912999996</v>
      </c>
      <c r="BG4" s="535">
        <f t="shared" si="1"/>
        <v>438822.49150999996</v>
      </c>
      <c r="BH4" s="535">
        <f t="shared" si="1"/>
        <v>447033.78918000014</v>
      </c>
      <c r="BI4" s="535">
        <f t="shared" si="1"/>
        <v>430889</v>
      </c>
      <c r="BJ4" s="525">
        <f t="shared" si="1"/>
        <v>395199</v>
      </c>
    </row>
    <row r="5" spans="1:63" s="11" customFormat="1" ht="11.25">
      <c r="A5" s="15"/>
      <c r="B5" s="16"/>
      <c r="C5" s="16" t="s">
        <v>13</v>
      </c>
      <c r="D5" s="17" t="s">
        <v>17</v>
      </c>
      <c r="E5" s="60">
        <v>3</v>
      </c>
      <c r="F5" s="62">
        <f>SKM!H6/1000</f>
        <v>29728.75</v>
      </c>
      <c r="G5" s="54">
        <v>29406.395</v>
      </c>
      <c r="H5" s="173">
        <v>27331.962</v>
      </c>
      <c r="I5" s="174">
        <v>28044.65</v>
      </c>
      <c r="J5" s="174">
        <v>26118</v>
      </c>
      <c r="K5" s="18">
        <v>23478</v>
      </c>
      <c r="L5" s="62">
        <f>SUKB!H6/1000</f>
        <v>0</v>
      </c>
      <c r="M5" s="160">
        <v>0</v>
      </c>
      <c r="N5" s="62">
        <f>UCT!H6/1000</f>
        <v>1052.747</v>
      </c>
      <c r="O5" s="54">
        <v>1002.95</v>
      </c>
      <c r="P5" s="18">
        <v>0</v>
      </c>
      <c r="Q5" s="62">
        <f>SPSSN!H6/1000</f>
        <v>1163.536</v>
      </c>
      <c r="R5" s="54">
        <v>1252.543</v>
      </c>
      <c r="S5" s="18">
        <v>0</v>
      </c>
      <c r="T5" s="62">
        <f>IBA!H6/1000</f>
        <v>3455.928</v>
      </c>
      <c r="U5" s="160">
        <v>0</v>
      </c>
      <c r="V5" s="212">
        <v>2535.468</v>
      </c>
      <c r="W5" s="173">
        <v>1706.69</v>
      </c>
      <c r="X5" s="174">
        <v>1817.941</v>
      </c>
      <c r="Y5" s="174">
        <v>1612</v>
      </c>
      <c r="Z5" s="18">
        <v>2260</v>
      </c>
      <c r="AA5" s="212">
        <f>ÚVT!H6/1000</f>
        <v>39768.489</v>
      </c>
      <c r="AB5" s="54">
        <v>34905.904</v>
      </c>
      <c r="AC5" s="173">
        <v>27375.538</v>
      </c>
      <c r="AD5" s="174">
        <v>20656.774</v>
      </c>
      <c r="AE5" s="174">
        <v>14843</v>
      </c>
      <c r="AF5" s="18">
        <v>11710</v>
      </c>
      <c r="AG5" s="212">
        <f>VMU!H6/1000</f>
        <v>1712.579</v>
      </c>
      <c r="AH5" s="54">
        <v>1668.215</v>
      </c>
      <c r="AI5" s="173">
        <v>1583.575</v>
      </c>
      <c r="AJ5" s="174">
        <v>1509.407</v>
      </c>
      <c r="AK5" s="174">
        <v>1455</v>
      </c>
      <c r="AL5" s="18">
        <v>1698</v>
      </c>
      <c r="AM5" s="212">
        <f>CJV!H6/1000</f>
        <v>15432.53</v>
      </c>
      <c r="AN5" s="54">
        <v>12978.623</v>
      </c>
      <c r="AO5" s="173">
        <v>12551.942</v>
      </c>
      <c r="AP5" s="174">
        <v>11209.18</v>
      </c>
      <c r="AQ5" s="174">
        <v>9939</v>
      </c>
      <c r="AR5" s="18">
        <v>8087</v>
      </c>
      <c r="AS5" s="212">
        <f>CZS!H6/1000</f>
        <v>3812.708</v>
      </c>
      <c r="AT5" s="54">
        <v>2715.566</v>
      </c>
      <c r="AU5" s="173">
        <v>2240.176</v>
      </c>
      <c r="AV5" s="174">
        <v>2051.934</v>
      </c>
      <c r="AW5" s="174">
        <v>1672</v>
      </c>
      <c r="AX5" s="195">
        <v>1114</v>
      </c>
      <c r="AY5" s="212">
        <f>RMU!H6/1000</f>
        <v>56725.27833</v>
      </c>
      <c r="AZ5" s="54">
        <v>45905.523</v>
      </c>
      <c r="BA5" s="173">
        <v>44318.203</v>
      </c>
      <c r="BB5" s="174">
        <v>36443.48</v>
      </c>
      <c r="BC5" s="174">
        <v>28405</v>
      </c>
      <c r="BD5" s="18">
        <v>19145</v>
      </c>
      <c r="BE5" s="212">
        <f>F5+L5+N5+Q5+T5+AA5+AG5+AM5+AS5+AY5</f>
        <v>152852.54533</v>
      </c>
      <c r="BF5" s="536">
        <f>G5+M5+O5+R5+V5+AB5+AH5+AN5+AT5+AZ5</f>
        <v>132371.187</v>
      </c>
      <c r="BG5" s="536">
        <f aca="true" t="shared" si="2" ref="BG5:BG25">H5+P5+S5+W5+AC5+AI5+AO5+AU5+BA5</f>
        <v>117108.08600000001</v>
      </c>
      <c r="BH5" s="536">
        <f aca="true" t="shared" si="3" ref="BH5:BH25">I5+X5+AD5+AJ5+AP5+AV5+BB5</f>
        <v>101733.36600000001</v>
      </c>
      <c r="BI5" s="536">
        <f aca="true" t="shared" si="4" ref="BI5:BI25">J5+Y5+AE5+AK5+AQ5+AW5+BC5</f>
        <v>84044</v>
      </c>
      <c r="BJ5" s="526">
        <f aca="true" t="shared" si="5" ref="BJ5:BJ25">K5+Z5+AF5+AL5+AR5+AX5+BD5</f>
        <v>67492</v>
      </c>
      <c r="BK5" s="19"/>
    </row>
    <row r="6" spans="1:62" s="11" customFormat="1" ht="11.25">
      <c r="A6" s="15"/>
      <c r="B6" s="16"/>
      <c r="C6" s="16"/>
      <c r="D6" s="17" t="s">
        <v>18</v>
      </c>
      <c r="E6" s="60">
        <v>4</v>
      </c>
      <c r="F6" s="62">
        <f>SKM!H7/1000</f>
        <v>485.655</v>
      </c>
      <c r="G6" s="54">
        <v>105.463</v>
      </c>
      <c r="H6" s="173">
        <v>32.86</v>
      </c>
      <c r="I6" s="174">
        <v>16.089</v>
      </c>
      <c r="J6" s="174">
        <v>22</v>
      </c>
      <c r="K6" s="18">
        <v>57</v>
      </c>
      <c r="L6" s="62">
        <f>SUKB!H7/1000</f>
        <v>0</v>
      </c>
      <c r="M6" s="160">
        <v>0</v>
      </c>
      <c r="N6" s="62">
        <f>UCT!H7/1000</f>
        <v>139.912</v>
      </c>
      <c r="O6" s="54">
        <v>6.86</v>
      </c>
      <c r="P6" s="18">
        <v>0</v>
      </c>
      <c r="Q6" s="62">
        <f>SPSSN!H7/1000</f>
        <v>46.67</v>
      </c>
      <c r="R6" s="54">
        <v>89.42062</v>
      </c>
      <c r="S6" s="18">
        <v>0</v>
      </c>
      <c r="T6" s="62">
        <f>IBA!H7/1000</f>
        <v>4125.246</v>
      </c>
      <c r="U6" s="160">
        <v>0</v>
      </c>
      <c r="V6" s="212">
        <v>686.382</v>
      </c>
      <c r="W6" s="173">
        <v>1239.81</v>
      </c>
      <c r="X6" s="174">
        <v>555.417</v>
      </c>
      <c r="Y6" s="174">
        <v>1016</v>
      </c>
      <c r="Z6" s="18">
        <v>1130</v>
      </c>
      <c r="AA6" s="212">
        <f>ÚVT!H7/1000</f>
        <v>1639</v>
      </c>
      <c r="AB6" s="54">
        <v>699.265</v>
      </c>
      <c r="AC6" s="173">
        <v>443.41</v>
      </c>
      <c r="AD6" s="174">
        <v>332.117</v>
      </c>
      <c r="AE6" s="174">
        <v>341</v>
      </c>
      <c r="AF6" s="18">
        <v>277</v>
      </c>
      <c r="AG6" s="212">
        <f>VMU!H7/1000</f>
        <v>100.8</v>
      </c>
      <c r="AH6" s="54">
        <v>70.517</v>
      </c>
      <c r="AI6" s="173">
        <v>64.142</v>
      </c>
      <c r="AJ6" s="174">
        <v>175.585</v>
      </c>
      <c r="AK6" s="174">
        <v>166</v>
      </c>
      <c r="AL6" s="18">
        <v>94</v>
      </c>
      <c r="AM6" s="212">
        <f>CJV!H7/1000</f>
        <v>729.9</v>
      </c>
      <c r="AN6" s="54">
        <v>759.922</v>
      </c>
      <c r="AO6" s="173">
        <v>440.11</v>
      </c>
      <c r="AP6" s="174">
        <v>329.65</v>
      </c>
      <c r="AQ6" s="174">
        <v>262</v>
      </c>
      <c r="AR6" s="18">
        <v>660</v>
      </c>
      <c r="AS6" s="212">
        <f>CZS!H7/1000</f>
        <v>371.282</v>
      </c>
      <c r="AT6" s="54">
        <v>293.2</v>
      </c>
      <c r="AU6" s="173">
        <v>179.55</v>
      </c>
      <c r="AV6" s="174">
        <v>121.9</v>
      </c>
      <c r="AW6" s="174">
        <v>145</v>
      </c>
      <c r="AX6" s="195">
        <v>373</v>
      </c>
      <c r="AY6" s="212">
        <f>RMU!H7/1000</f>
        <v>2294.996</v>
      </c>
      <c r="AZ6" s="54">
        <v>1342.855</v>
      </c>
      <c r="BA6" s="173">
        <v>1241.872</v>
      </c>
      <c r="BB6" s="174">
        <v>1746.105</v>
      </c>
      <c r="BC6" s="174">
        <v>680</v>
      </c>
      <c r="BD6" s="18">
        <v>1037</v>
      </c>
      <c r="BE6" s="212">
        <f aca="true" t="shared" si="6" ref="BE6:BE41">F6+L6+N6+Q6+T6+AA6+AG6+AM6+AS6+AY6</f>
        <v>9933.461</v>
      </c>
      <c r="BF6" s="536">
        <f aca="true" t="shared" si="7" ref="BF6:BF41">G6+M6+O6+R6+V6+AB6+AH6+AN6+AT6+AZ6</f>
        <v>4053.88462</v>
      </c>
      <c r="BG6" s="536">
        <f t="shared" si="2"/>
        <v>3641.754</v>
      </c>
      <c r="BH6" s="536">
        <f t="shared" si="3"/>
        <v>3276.8630000000003</v>
      </c>
      <c r="BI6" s="536">
        <f t="shared" si="4"/>
        <v>2632</v>
      </c>
      <c r="BJ6" s="526">
        <f t="shared" si="5"/>
        <v>3628</v>
      </c>
    </row>
    <row r="7" spans="1:62" s="11" customFormat="1" ht="11.25">
      <c r="A7" s="15"/>
      <c r="B7" s="16"/>
      <c r="C7" s="16"/>
      <c r="D7" s="17" t="s">
        <v>19</v>
      </c>
      <c r="E7" s="60">
        <v>5</v>
      </c>
      <c r="F7" s="62">
        <f>SKM!H8/1000</f>
        <v>10515.164</v>
      </c>
      <c r="G7" s="54">
        <v>10281.323</v>
      </c>
      <c r="H7" s="173">
        <v>9626.139</v>
      </c>
      <c r="I7" s="174">
        <v>9680.192</v>
      </c>
      <c r="J7" s="174">
        <v>9041</v>
      </c>
      <c r="K7" s="18">
        <v>8107</v>
      </c>
      <c r="L7" s="62">
        <f>SUKB!H8/1000</f>
        <v>0</v>
      </c>
      <c r="M7" s="160">
        <v>0</v>
      </c>
      <c r="N7" s="62">
        <f>UCT!H8/1000</f>
        <v>417.429</v>
      </c>
      <c r="O7" s="54">
        <v>351.025</v>
      </c>
      <c r="P7" s="18">
        <v>0</v>
      </c>
      <c r="Q7" s="62">
        <f>SPSSN!H8/1000</f>
        <v>409.215</v>
      </c>
      <c r="R7" s="54">
        <v>449.315</v>
      </c>
      <c r="S7" s="18">
        <v>0</v>
      </c>
      <c r="T7" s="62">
        <f>IBA!H8/1000</f>
        <v>1209.934</v>
      </c>
      <c r="U7" s="160">
        <v>0</v>
      </c>
      <c r="V7" s="212">
        <v>895.499</v>
      </c>
      <c r="W7" s="173">
        <v>659.995</v>
      </c>
      <c r="X7" s="174">
        <v>693.061</v>
      </c>
      <c r="Y7" s="174">
        <v>641</v>
      </c>
      <c r="Z7" s="18">
        <v>900</v>
      </c>
      <c r="AA7" s="212">
        <f>ÚVT!H8/1000</f>
        <v>14414.854</v>
      </c>
      <c r="AB7" s="54">
        <v>12416.504</v>
      </c>
      <c r="AC7" s="173">
        <v>9658.842</v>
      </c>
      <c r="AD7" s="174">
        <v>7223.348</v>
      </c>
      <c r="AE7" s="174">
        <v>5210</v>
      </c>
      <c r="AF7" s="18">
        <v>4100</v>
      </c>
      <c r="AG7" s="212">
        <f>VMU!H8/1000</f>
        <v>634.684</v>
      </c>
      <c r="AH7" s="54">
        <v>608.556</v>
      </c>
      <c r="AI7" s="173">
        <v>576.701</v>
      </c>
      <c r="AJ7" s="174">
        <v>542.895</v>
      </c>
      <c r="AK7" s="174">
        <v>519</v>
      </c>
      <c r="AL7" s="18">
        <v>604</v>
      </c>
      <c r="AM7" s="212">
        <f>CJV!H8/1000</f>
        <v>5628.863</v>
      </c>
      <c r="AN7" s="54">
        <v>4725.089</v>
      </c>
      <c r="AO7" s="173">
        <v>4453.962</v>
      </c>
      <c r="AP7" s="174">
        <v>3914.245</v>
      </c>
      <c r="AQ7" s="174">
        <v>3471</v>
      </c>
      <c r="AR7" s="18">
        <v>2992</v>
      </c>
      <c r="AS7" s="212">
        <f>CZS!H8/1000</f>
        <v>1380.052</v>
      </c>
      <c r="AT7" s="54">
        <v>956.229</v>
      </c>
      <c r="AU7" s="173">
        <v>797.601</v>
      </c>
      <c r="AV7" s="174">
        <v>715.135</v>
      </c>
      <c r="AW7" s="174">
        <v>580</v>
      </c>
      <c r="AX7" s="195">
        <v>409</v>
      </c>
      <c r="AY7" s="212">
        <f>RMU!H8/1000</f>
        <v>20787.044670000003</v>
      </c>
      <c r="AZ7" s="54">
        <v>16365.039</v>
      </c>
      <c r="BA7" s="173">
        <v>15781.805</v>
      </c>
      <c r="BB7" s="174">
        <v>12928.6133</v>
      </c>
      <c r="BC7" s="174">
        <v>10108</v>
      </c>
      <c r="BD7" s="18">
        <v>6826</v>
      </c>
      <c r="BE7" s="212">
        <f t="shared" si="6"/>
        <v>55397.23967</v>
      </c>
      <c r="BF7" s="536">
        <f t="shared" si="7"/>
        <v>47048.579</v>
      </c>
      <c r="BG7" s="536">
        <f t="shared" si="2"/>
        <v>41555.045</v>
      </c>
      <c r="BH7" s="536">
        <f t="shared" si="3"/>
        <v>35697.4893</v>
      </c>
      <c r="BI7" s="536">
        <f t="shared" si="4"/>
        <v>29570</v>
      </c>
      <c r="BJ7" s="526">
        <f t="shared" si="5"/>
        <v>23938</v>
      </c>
    </row>
    <row r="8" spans="1:62" s="11" customFormat="1" ht="11.25">
      <c r="A8" s="15"/>
      <c r="B8" s="16"/>
      <c r="C8" s="16"/>
      <c r="D8" s="17" t="s">
        <v>0</v>
      </c>
      <c r="E8" s="60">
        <v>6</v>
      </c>
      <c r="F8" s="62">
        <f>SKM!H9/1000</f>
        <v>28670.05898</v>
      </c>
      <c r="G8" s="54">
        <v>26919.46804</v>
      </c>
      <c r="H8" s="173">
        <v>25805.33718</v>
      </c>
      <c r="I8" s="174">
        <v>25023.75352</v>
      </c>
      <c r="J8" s="174">
        <v>24746</v>
      </c>
      <c r="K8" s="18">
        <v>25439</v>
      </c>
      <c r="L8" s="62">
        <f>SUKB!H9/1000</f>
        <v>0.45982</v>
      </c>
      <c r="M8" s="160">
        <v>0</v>
      </c>
      <c r="N8" s="62">
        <f>UCT!H9/1000</f>
        <v>971.22834</v>
      </c>
      <c r="O8" s="54">
        <v>885.32286</v>
      </c>
      <c r="P8" s="18">
        <v>0</v>
      </c>
      <c r="Q8" s="62">
        <f>SPSSN!H9/1000</f>
        <v>10.6244</v>
      </c>
      <c r="R8" s="54">
        <v>70.606</v>
      </c>
      <c r="S8" s="18">
        <v>0</v>
      </c>
      <c r="T8" s="62">
        <f>IBA!H9/1000</f>
        <v>32.99543</v>
      </c>
      <c r="U8" s="160">
        <v>0</v>
      </c>
      <c r="V8" s="212">
        <v>494.8124</v>
      </c>
      <c r="W8" s="173">
        <v>342.11812</v>
      </c>
      <c r="X8" s="174">
        <v>472.99397</v>
      </c>
      <c r="Y8" s="174">
        <v>368</v>
      </c>
      <c r="Z8" s="18">
        <v>106</v>
      </c>
      <c r="AA8" s="212">
        <f>ÚVT!H9/1000</f>
        <v>2801.83918</v>
      </c>
      <c r="AB8" s="54">
        <v>2574.20219</v>
      </c>
      <c r="AC8" s="173">
        <v>763.59442</v>
      </c>
      <c r="AD8" s="174">
        <v>842.71615</v>
      </c>
      <c r="AE8" s="174">
        <v>1229</v>
      </c>
      <c r="AF8" s="18">
        <v>1186</v>
      </c>
      <c r="AG8" s="212">
        <f>VMU!H9/1000</f>
        <v>204.40679999999998</v>
      </c>
      <c r="AH8" s="54">
        <v>129.51219</v>
      </c>
      <c r="AI8" s="173">
        <v>150.9354</v>
      </c>
      <c r="AJ8" s="174">
        <v>134.2359</v>
      </c>
      <c r="AK8" s="174">
        <v>56</v>
      </c>
      <c r="AL8" s="18">
        <v>130</v>
      </c>
      <c r="AM8" s="212">
        <f>CJV!H9/1000</f>
        <v>25.94948</v>
      </c>
      <c r="AN8" s="54">
        <v>13.41308</v>
      </c>
      <c r="AO8" s="173">
        <v>47.57137</v>
      </c>
      <c r="AP8" s="174">
        <v>33.28511</v>
      </c>
      <c r="AQ8" s="174">
        <v>15</v>
      </c>
      <c r="AR8" s="18">
        <v>0</v>
      </c>
      <c r="AS8" s="212">
        <f>CZS!H9/1000</f>
        <v>85.59552000000001</v>
      </c>
      <c r="AT8" s="54">
        <v>67.56458</v>
      </c>
      <c r="AU8" s="173">
        <v>80.44982</v>
      </c>
      <c r="AV8" s="174">
        <v>59.9228</v>
      </c>
      <c r="AW8" s="174">
        <v>28</v>
      </c>
      <c r="AX8" s="195">
        <v>0</v>
      </c>
      <c r="AY8" s="212">
        <f>RMU!H9/1000</f>
        <v>3525.2140099999997</v>
      </c>
      <c r="AZ8" s="54">
        <v>5407.7684500000005</v>
      </c>
      <c r="BA8" s="173">
        <v>2627.81477</v>
      </c>
      <c r="BB8" s="174">
        <v>2430.60329</v>
      </c>
      <c r="BC8" s="174">
        <v>2191</v>
      </c>
      <c r="BD8" s="18">
        <v>2008</v>
      </c>
      <c r="BE8" s="212">
        <f t="shared" si="6"/>
        <v>36328.371960000004</v>
      </c>
      <c r="BF8" s="536">
        <f t="shared" si="7"/>
        <v>36562.66979</v>
      </c>
      <c r="BG8" s="536">
        <f t="shared" si="2"/>
        <v>29817.82108</v>
      </c>
      <c r="BH8" s="536">
        <f t="shared" si="3"/>
        <v>28997.510739999998</v>
      </c>
      <c r="BI8" s="536">
        <f t="shared" si="4"/>
        <v>28633</v>
      </c>
      <c r="BJ8" s="526">
        <f t="shared" si="5"/>
        <v>28869</v>
      </c>
    </row>
    <row r="9" spans="1:62" s="11" customFormat="1" ht="11.25">
      <c r="A9" s="15"/>
      <c r="B9" s="16"/>
      <c r="C9" s="16"/>
      <c r="D9" s="17" t="s">
        <v>1</v>
      </c>
      <c r="E9" s="60">
        <v>7</v>
      </c>
      <c r="F9" s="62">
        <f>SKM!H10/1000</f>
        <v>13074.77273</v>
      </c>
      <c r="G9" s="54">
        <v>18661.00975</v>
      </c>
      <c r="H9" s="173">
        <v>21973.514460000002</v>
      </c>
      <c r="I9" s="174">
        <v>25589.71938</v>
      </c>
      <c r="J9" s="174">
        <v>24374</v>
      </c>
      <c r="K9" s="18">
        <v>23916</v>
      </c>
      <c r="L9" s="62">
        <f>SUKB!H10/1000</f>
        <v>37.63</v>
      </c>
      <c r="M9" s="160">
        <v>0</v>
      </c>
      <c r="N9" s="62">
        <f>UCT!H10/1000</f>
        <v>260.3051</v>
      </c>
      <c r="O9" s="54">
        <v>20.9832</v>
      </c>
      <c r="P9" s="18">
        <v>0</v>
      </c>
      <c r="Q9" s="62">
        <f>SPSSN!H10/1000</f>
        <v>1.19</v>
      </c>
      <c r="R9" s="54">
        <v>0</v>
      </c>
      <c r="S9" s="18">
        <v>0</v>
      </c>
      <c r="T9" s="62">
        <f>IBA!H10/1000</f>
        <v>0</v>
      </c>
      <c r="U9" s="160">
        <v>0</v>
      </c>
      <c r="V9" s="212">
        <v>59.545480000000005</v>
      </c>
      <c r="W9" s="173">
        <v>86.37261</v>
      </c>
      <c r="X9" s="174">
        <v>24.7591</v>
      </c>
      <c r="Y9" s="174">
        <v>75</v>
      </c>
      <c r="Z9" s="18">
        <v>65</v>
      </c>
      <c r="AA9" s="212">
        <f>ÚVT!H10/1000</f>
        <v>2480.6239</v>
      </c>
      <c r="AB9" s="54">
        <v>1625.5157199999999</v>
      </c>
      <c r="AC9" s="173">
        <v>1299.96545</v>
      </c>
      <c r="AD9" s="174">
        <v>1140.9593</v>
      </c>
      <c r="AE9" s="174">
        <v>1782</v>
      </c>
      <c r="AF9" s="18">
        <v>1664</v>
      </c>
      <c r="AG9" s="212">
        <f>VMU!H10/1000</f>
        <v>248.5259</v>
      </c>
      <c r="AH9" s="54">
        <v>217.59926000000002</v>
      </c>
      <c r="AI9" s="173">
        <v>98.02486</v>
      </c>
      <c r="AJ9" s="174">
        <v>394.25406</v>
      </c>
      <c r="AK9" s="174">
        <v>374</v>
      </c>
      <c r="AL9" s="18">
        <v>395</v>
      </c>
      <c r="AM9" s="212">
        <f>CJV!H10/1000</f>
        <v>42.2455</v>
      </c>
      <c r="AN9" s="54">
        <v>42.8921</v>
      </c>
      <c r="AO9" s="173">
        <v>40.7344</v>
      </c>
      <c r="AP9" s="174">
        <v>7.7714</v>
      </c>
      <c r="AQ9" s="174">
        <v>11</v>
      </c>
      <c r="AR9" s="18">
        <v>8</v>
      </c>
      <c r="AS9" s="212">
        <f>CZS!H10/1000</f>
        <v>6.2906</v>
      </c>
      <c r="AT9" s="54">
        <v>217.16745</v>
      </c>
      <c r="AU9" s="173">
        <v>6.267</v>
      </c>
      <c r="AV9" s="174">
        <v>97.971</v>
      </c>
      <c r="AW9" s="174">
        <v>10</v>
      </c>
      <c r="AX9" s="195">
        <v>14</v>
      </c>
      <c r="AY9" s="212">
        <f>RMU!H10/1000</f>
        <v>14562.36185</v>
      </c>
      <c r="AZ9" s="54">
        <v>15659.99675</v>
      </c>
      <c r="BA9" s="173">
        <v>15387.379789999999</v>
      </c>
      <c r="BB9" s="174">
        <v>17221.151260000002</v>
      </c>
      <c r="BC9" s="174">
        <v>20881</v>
      </c>
      <c r="BD9" s="18">
        <v>12617</v>
      </c>
      <c r="BE9" s="212">
        <f t="shared" si="6"/>
        <v>30713.94558</v>
      </c>
      <c r="BF9" s="536">
        <f t="shared" si="7"/>
        <v>36504.70971</v>
      </c>
      <c r="BG9" s="536">
        <f t="shared" si="2"/>
        <v>38892.258570000005</v>
      </c>
      <c r="BH9" s="536">
        <f t="shared" si="3"/>
        <v>44476.5855</v>
      </c>
      <c r="BI9" s="536">
        <f t="shared" si="4"/>
        <v>47507</v>
      </c>
      <c r="BJ9" s="526">
        <f t="shared" si="5"/>
        <v>38679</v>
      </c>
    </row>
    <row r="10" spans="1:62" s="11" customFormat="1" ht="11.25">
      <c r="A10" s="15"/>
      <c r="B10" s="16"/>
      <c r="C10" s="16"/>
      <c r="D10" s="17" t="s">
        <v>2</v>
      </c>
      <c r="E10" s="60">
        <v>8</v>
      </c>
      <c r="F10" s="62">
        <f>SKM!H11/1000</f>
        <v>22085.35023</v>
      </c>
      <c r="G10" s="54">
        <v>22166.587600000003</v>
      </c>
      <c r="H10" s="173">
        <v>24218.4525</v>
      </c>
      <c r="I10" s="174">
        <v>25425.06301</v>
      </c>
      <c r="J10" s="174">
        <v>21695</v>
      </c>
      <c r="K10" s="18">
        <v>22241</v>
      </c>
      <c r="L10" s="62">
        <f>SUKB!H11/1000</f>
        <v>8.2655</v>
      </c>
      <c r="M10" s="160">
        <v>0</v>
      </c>
      <c r="N10" s="62">
        <f>UCT!H11/1000</f>
        <v>1073.25087</v>
      </c>
      <c r="O10" s="54">
        <v>318.55759</v>
      </c>
      <c r="P10" s="18">
        <v>0</v>
      </c>
      <c r="Q10" s="62">
        <f>SPSSN!H11/1000</f>
        <v>603.1913900000001</v>
      </c>
      <c r="R10" s="54">
        <v>64.67081</v>
      </c>
      <c r="S10" s="18">
        <v>0</v>
      </c>
      <c r="T10" s="62">
        <f>IBA!H11/1000</f>
        <v>46.489940000000004</v>
      </c>
      <c r="U10" s="160">
        <v>0</v>
      </c>
      <c r="V10" s="212">
        <v>789.02972</v>
      </c>
      <c r="W10" s="173">
        <v>603.8496600000001</v>
      </c>
      <c r="X10" s="174">
        <v>203.5726</v>
      </c>
      <c r="Y10" s="174">
        <v>908</v>
      </c>
      <c r="Z10" s="18">
        <v>210</v>
      </c>
      <c r="AA10" s="212">
        <f>ÚVT!H11/1000</f>
        <v>13110.76408</v>
      </c>
      <c r="AB10" s="54">
        <v>5910.44802</v>
      </c>
      <c r="AC10" s="173">
        <v>5033.14515</v>
      </c>
      <c r="AD10" s="174">
        <v>9107.561720000002</v>
      </c>
      <c r="AE10" s="174">
        <v>5853</v>
      </c>
      <c r="AF10" s="18">
        <v>3528</v>
      </c>
      <c r="AG10" s="212">
        <f>VMU!H11/1000</f>
        <v>1078.53826</v>
      </c>
      <c r="AH10" s="54">
        <v>1774.3616200000001</v>
      </c>
      <c r="AI10" s="173">
        <v>1747.30898</v>
      </c>
      <c r="AJ10" s="174">
        <v>1578.75865</v>
      </c>
      <c r="AK10" s="174">
        <v>1548</v>
      </c>
      <c r="AL10" s="18">
        <v>1782</v>
      </c>
      <c r="AM10" s="212">
        <f>CJV!H11/1000</f>
        <v>909.58425</v>
      </c>
      <c r="AN10" s="54">
        <v>948.4396700000001</v>
      </c>
      <c r="AO10" s="173">
        <v>767.6825699999999</v>
      </c>
      <c r="AP10" s="174">
        <v>1209.90265</v>
      </c>
      <c r="AQ10" s="174">
        <v>970</v>
      </c>
      <c r="AR10" s="18">
        <v>686</v>
      </c>
      <c r="AS10" s="212">
        <f>CZS!H11/1000</f>
        <v>814.99022</v>
      </c>
      <c r="AT10" s="54">
        <v>1213.44248</v>
      </c>
      <c r="AU10" s="173">
        <v>718.00433</v>
      </c>
      <c r="AV10" s="174">
        <v>805.02765</v>
      </c>
      <c r="AW10" s="174">
        <v>1089</v>
      </c>
      <c r="AX10" s="195">
        <v>370</v>
      </c>
      <c r="AY10" s="212">
        <f>RMU!H11/1000</f>
        <v>10586.59083</v>
      </c>
      <c r="AZ10" s="54">
        <v>55967.286420000004</v>
      </c>
      <c r="BA10" s="173">
        <v>9763.061699999998</v>
      </c>
      <c r="BB10" s="174">
        <v>28276.871789999997</v>
      </c>
      <c r="BC10" s="174">
        <v>7097</v>
      </c>
      <c r="BD10" s="18">
        <v>10852</v>
      </c>
      <c r="BE10" s="212">
        <f t="shared" si="6"/>
        <v>50317.01557</v>
      </c>
      <c r="BF10" s="536">
        <f t="shared" si="7"/>
        <v>89152.82393000001</v>
      </c>
      <c r="BG10" s="536">
        <f t="shared" si="2"/>
        <v>42851.504890000004</v>
      </c>
      <c r="BH10" s="536">
        <f t="shared" si="3"/>
        <v>66606.75807000001</v>
      </c>
      <c r="BI10" s="536">
        <f t="shared" si="4"/>
        <v>39160</v>
      </c>
      <c r="BJ10" s="526">
        <f t="shared" si="5"/>
        <v>39669</v>
      </c>
    </row>
    <row r="11" spans="1:62" s="11" customFormat="1" ht="11.25">
      <c r="A11" s="15"/>
      <c r="B11" s="16"/>
      <c r="C11" s="16"/>
      <c r="D11" s="17" t="s">
        <v>3</v>
      </c>
      <c r="E11" s="60">
        <v>9</v>
      </c>
      <c r="F11" s="62">
        <f>SKM!H12/1000</f>
        <v>17429.51592</v>
      </c>
      <c r="G11" s="54">
        <v>15939.084869999999</v>
      </c>
      <c r="H11" s="173">
        <v>14799.340689999999</v>
      </c>
      <c r="I11" s="174">
        <v>9844.42743</v>
      </c>
      <c r="J11" s="174">
        <v>8676</v>
      </c>
      <c r="K11" s="18">
        <v>6812</v>
      </c>
      <c r="L11" s="62">
        <f>SUKB!H12/1000</f>
        <v>0</v>
      </c>
      <c r="M11" s="160">
        <v>0</v>
      </c>
      <c r="N11" s="62">
        <f>UCT!H12/1000</f>
        <v>109.6663</v>
      </c>
      <c r="O11" s="54">
        <v>97.36672999999999</v>
      </c>
      <c r="P11" s="18">
        <v>0</v>
      </c>
      <c r="Q11" s="62">
        <f>SPSSN!H12/1000</f>
        <v>177.00773</v>
      </c>
      <c r="R11" s="54">
        <v>468.93145</v>
      </c>
      <c r="S11" s="18">
        <v>0</v>
      </c>
      <c r="T11" s="62">
        <f>IBA!H12/1000</f>
        <v>1015.98765</v>
      </c>
      <c r="U11" s="160">
        <v>0</v>
      </c>
      <c r="V11" s="212">
        <v>690.3321</v>
      </c>
      <c r="W11" s="173">
        <v>994.48999</v>
      </c>
      <c r="X11" s="174">
        <v>355.38286</v>
      </c>
      <c r="Y11" s="174">
        <v>1389</v>
      </c>
      <c r="Z11" s="18">
        <v>1500</v>
      </c>
      <c r="AA11" s="212">
        <f>ÚVT!H12/1000</f>
        <v>20256.40043</v>
      </c>
      <c r="AB11" s="54">
        <v>18482.97855</v>
      </c>
      <c r="AC11" s="173">
        <v>19770.186329999997</v>
      </c>
      <c r="AD11" s="174">
        <v>20930.19148</v>
      </c>
      <c r="AE11" s="174">
        <v>12642</v>
      </c>
      <c r="AF11" s="18">
        <v>11319</v>
      </c>
      <c r="AG11" s="212">
        <f>VMU!H12/1000</f>
        <v>882.97533</v>
      </c>
      <c r="AH11" s="54">
        <v>986.79465</v>
      </c>
      <c r="AI11" s="173">
        <v>770.90939</v>
      </c>
      <c r="AJ11" s="174">
        <v>-1056.45658</v>
      </c>
      <c r="AK11" s="174">
        <v>560</v>
      </c>
      <c r="AL11" s="18">
        <v>675</v>
      </c>
      <c r="AM11" s="212">
        <f>CJV!H12/1000</f>
        <v>90.00557</v>
      </c>
      <c r="AN11" s="54">
        <v>69.21342</v>
      </c>
      <c r="AO11" s="173">
        <v>88.36539</v>
      </c>
      <c r="AP11" s="174">
        <v>127.91814</v>
      </c>
      <c r="AQ11" s="174">
        <v>187</v>
      </c>
      <c r="AR11" s="18">
        <v>141</v>
      </c>
      <c r="AS11" s="212">
        <f>CZS!H12/1000</f>
        <v>1369.2303200000001</v>
      </c>
      <c r="AT11" s="54">
        <v>832.05335</v>
      </c>
      <c r="AU11" s="173">
        <v>1148.24783</v>
      </c>
      <c r="AV11" s="174">
        <v>1106.10522</v>
      </c>
      <c r="AW11" s="174">
        <v>678</v>
      </c>
      <c r="AX11" s="195">
        <v>902</v>
      </c>
      <c r="AY11" s="212">
        <f>RMU!H12/1000</f>
        <v>28402.60905</v>
      </c>
      <c r="AZ11" s="54">
        <v>23467.63775</v>
      </c>
      <c r="BA11" s="173">
        <v>25122.60552</v>
      </c>
      <c r="BB11" s="174">
        <v>15675.52515</v>
      </c>
      <c r="BC11" s="174">
        <v>56097</v>
      </c>
      <c r="BD11" s="18">
        <v>53637</v>
      </c>
      <c r="BE11" s="212">
        <f t="shared" si="6"/>
        <v>69733.3983</v>
      </c>
      <c r="BF11" s="536">
        <f t="shared" si="7"/>
        <v>61034.39287</v>
      </c>
      <c r="BG11" s="536">
        <f t="shared" si="2"/>
        <v>62694.14513999999</v>
      </c>
      <c r="BH11" s="536">
        <f t="shared" si="3"/>
        <v>46983.093700000005</v>
      </c>
      <c r="BI11" s="536">
        <f t="shared" si="4"/>
        <v>80229</v>
      </c>
      <c r="BJ11" s="526">
        <f t="shared" si="5"/>
        <v>74986</v>
      </c>
    </row>
    <row r="12" spans="1:62" s="11" customFormat="1" ht="11.25">
      <c r="A12" s="15"/>
      <c r="B12" s="16"/>
      <c r="C12" s="16"/>
      <c r="D12" s="17" t="s">
        <v>4</v>
      </c>
      <c r="E12" s="60">
        <v>10</v>
      </c>
      <c r="F12" s="62">
        <f>SKM!H13/1000</f>
        <v>102.64383000000001</v>
      </c>
      <c r="G12" s="54">
        <v>118.12562</v>
      </c>
      <c r="H12" s="173">
        <v>90.33852</v>
      </c>
      <c r="I12" s="174">
        <v>72.64491000000001</v>
      </c>
      <c r="J12" s="174">
        <v>75</v>
      </c>
      <c r="K12" s="18">
        <v>78</v>
      </c>
      <c r="L12" s="62">
        <f>SUKB!H13/1000</f>
        <v>0</v>
      </c>
      <c r="M12" s="160">
        <v>0</v>
      </c>
      <c r="N12" s="62">
        <f>UCT!H13/1000</f>
        <v>17.126900000000003</v>
      </c>
      <c r="O12" s="54">
        <v>16.167540000000002</v>
      </c>
      <c r="P12" s="18">
        <v>0</v>
      </c>
      <c r="Q12" s="62">
        <f>SPSSN!H13/1000</f>
        <v>20.727439999999998</v>
      </c>
      <c r="R12" s="54">
        <v>0.3416</v>
      </c>
      <c r="S12" s="18">
        <v>0</v>
      </c>
      <c r="T12" s="62">
        <f>IBA!H13/1000</f>
        <v>397.85254</v>
      </c>
      <c r="U12" s="160">
        <v>0</v>
      </c>
      <c r="V12" s="212">
        <v>17.29317</v>
      </c>
      <c r="W12" s="173">
        <v>24.681669999999997</v>
      </c>
      <c r="X12" s="174">
        <v>13.50109</v>
      </c>
      <c r="Y12" s="174">
        <v>26</v>
      </c>
      <c r="Z12" s="18">
        <v>34</v>
      </c>
      <c r="AA12" s="212">
        <f>ÚVT!H13/1000</f>
        <v>908.15105</v>
      </c>
      <c r="AB12" s="54">
        <v>850.1309200000001</v>
      </c>
      <c r="AC12" s="173">
        <v>825.61865</v>
      </c>
      <c r="AD12" s="174">
        <v>829.7231899999999</v>
      </c>
      <c r="AE12" s="174">
        <v>570</v>
      </c>
      <c r="AF12" s="18">
        <v>561</v>
      </c>
      <c r="AG12" s="212">
        <f>VMU!H13/1000</f>
        <v>0</v>
      </c>
      <c r="AH12" s="54">
        <v>0.04</v>
      </c>
      <c r="AI12" s="173">
        <v>0</v>
      </c>
      <c r="AJ12" s="174">
        <v>0</v>
      </c>
      <c r="AK12" s="174">
        <v>1</v>
      </c>
      <c r="AL12" s="18">
        <v>0</v>
      </c>
      <c r="AM12" s="212">
        <f>CJV!H13/1000</f>
        <v>43.646300000000004</v>
      </c>
      <c r="AN12" s="54">
        <v>73.31578999999999</v>
      </c>
      <c r="AO12" s="173">
        <v>127.47334</v>
      </c>
      <c r="AP12" s="174">
        <v>58.830870000000004</v>
      </c>
      <c r="AQ12" s="174">
        <v>57</v>
      </c>
      <c r="AR12" s="18">
        <v>50</v>
      </c>
      <c r="AS12" s="212">
        <f>CZS!H13/1000</f>
        <v>680.04446</v>
      </c>
      <c r="AT12" s="54">
        <v>545.0490699999999</v>
      </c>
      <c r="AU12" s="173">
        <v>813.87802</v>
      </c>
      <c r="AV12" s="174">
        <v>585.92774</v>
      </c>
      <c r="AW12" s="174">
        <v>483</v>
      </c>
      <c r="AX12" s="195">
        <v>651</v>
      </c>
      <c r="AY12" s="212">
        <f>RMU!H13/1000</f>
        <v>1910.48108</v>
      </c>
      <c r="AZ12" s="54">
        <v>1432.09943</v>
      </c>
      <c r="BA12" s="173">
        <v>1160.6535800000001</v>
      </c>
      <c r="BB12" s="174">
        <v>963.74569</v>
      </c>
      <c r="BC12" s="174">
        <v>1124</v>
      </c>
      <c r="BD12" s="18">
        <v>1212</v>
      </c>
      <c r="BE12" s="212">
        <f t="shared" si="6"/>
        <v>4080.6736</v>
      </c>
      <c r="BF12" s="536">
        <f t="shared" si="7"/>
        <v>3052.56314</v>
      </c>
      <c r="BG12" s="536">
        <f t="shared" si="2"/>
        <v>3042.64378</v>
      </c>
      <c r="BH12" s="536">
        <f t="shared" si="3"/>
        <v>2524.37349</v>
      </c>
      <c r="BI12" s="536">
        <f t="shared" si="4"/>
        <v>2336</v>
      </c>
      <c r="BJ12" s="526">
        <f t="shared" si="5"/>
        <v>2586</v>
      </c>
    </row>
    <row r="13" spans="1:62" s="11" customFormat="1" ht="11.25">
      <c r="A13" s="15"/>
      <c r="B13" s="16"/>
      <c r="C13" s="16"/>
      <c r="D13" s="17" t="s">
        <v>5</v>
      </c>
      <c r="E13" s="60">
        <v>11</v>
      </c>
      <c r="F13" s="62">
        <f>SKM!H14/1000</f>
        <v>10651.9949</v>
      </c>
      <c r="G13" s="54">
        <v>10271.49171</v>
      </c>
      <c r="H13" s="173">
        <v>11810.85591</v>
      </c>
      <c r="I13" s="174">
        <v>5062.751679999999</v>
      </c>
      <c r="J13" s="174">
        <v>4436</v>
      </c>
      <c r="K13" s="18">
        <v>3490</v>
      </c>
      <c r="L13" s="62">
        <f>SUKB!H14/1000</f>
        <v>14554.771</v>
      </c>
      <c r="M13" s="160">
        <v>0</v>
      </c>
      <c r="N13" s="62">
        <f>UCT!H14/1000</f>
        <v>398.676</v>
      </c>
      <c r="O13" s="54">
        <v>310.748</v>
      </c>
      <c r="P13" s="18">
        <v>0</v>
      </c>
      <c r="Q13" s="62">
        <f>SPSSN!H14/1000</f>
        <v>379.074</v>
      </c>
      <c r="R13" s="54">
        <v>168.664</v>
      </c>
      <c r="S13" s="18">
        <v>0</v>
      </c>
      <c r="T13" s="62">
        <f>IBA!H14/1000</f>
        <v>190.235</v>
      </c>
      <c r="U13" s="160">
        <v>0</v>
      </c>
      <c r="V13" s="212">
        <v>796.195</v>
      </c>
      <c r="W13" s="173">
        <v>1012.313</v>
      </c>
      <c r="X13" s="174">
        <v>300.40684999999996</v>
      </c>
      <c r="Y13" s="174">
        <v>194</v>
      </c>
      <c r="Z13" s="18">
        <v>154</v>
      </c>
      <c r="AA13" s="212">
        <f>ÚVT!H14/1000</f>
        <v>34514.79865</v>
      </c>
      <c r="AB13" s="54">
        <v>31892.16584</v>
      </c>
      <c r="AC13" s="173">
        <v>29066.101469999998</v>
      </c>
      <c r="AD13" s="174">
        <v>9870.46591</v>
      </c>
      <c r="AE13" s="174">
        <v>12402</v>
      </c>
      <c r="AF13" s="18">
        <v>10247</v>
      </c>
      <c r="AG13" s="212">
        <f>VMU!H14/1000</f>
        <v>377.1841</v>
      </c>
      <c r="AH13" s="54">
        <v>475.442</v>
      </c>
      <c r="AI13" s="173">
        <v>418.518</v>
      </c>
      <c r="AJ13" s="174">
        <v>1050.547</v>
      </c>
      <c r="AK13" s="174">
        <v>502</v>
      </c>
      <c r="AL13" s="18">
        <v>422</v>
      </c>
      <c r="AM13" s="212">
        <f>CJV!H14/1000</f>
        <v>43.422650000000004</v>
      </c>
      <c r="AN13" s="54">
        <v>46.158</v>
      </c>
      <c r="AO13" s="173">
        <v>60.268</v>
      </c>
      <c r="AP13" s="174">
        <v>35.47522</v>
      </c>
      <c r="AQ13" s="174">
        <v>26</v>
      </c>
      <c r="AR13" s="18">
        <v>36</v>
      </c>
      <c r="AS13" s="212">
        <f>CZS!H14/1000</f>
        <v>80.543</v>
      </c>
      <c r="AT13" s="54">
        <v>74.078</v>
      </c>
      <c r="AU13" s="173">
        <v>67.504</v>
      </c>
      <c r="AV13" s="174">
        <v>57.578230000000005</v>
      </c>
      <c r="AW13" s="174">
        <v>26</v>
      </c>
      <c r="AX13" s="195">
        <v>0</v>
      </c>
      <c r="AY13" s="212">
        <f>RMU!H14/1000</f>
        <v>3895.95648</v>
      </c>
      <c r="AZ13" s="54">
        <v>3558.924</v>
      </c>
      <c r="BA13" s="173">
        <v>3143.76062</v>
      </c>
      <c r="BB13" s="174">
        <v>90740.31923000001</v>
      </c>
      <c r="BC13" s="174">
        <v>88739</v>
      </c>
      <c r="BD13" s="18">
        <v>88916</v>
      </c>
      <c r="BE13" s="212">
        <f t="shared" si="6"/>
        <v>65086.655779999994</v>
      </c>
      <c r="BF13" s="536">
        <f t="shared" si="7"/>
        <v>47593.866550000006</v>
      </c>
      <c r="BG13" s="536">
        <f t="shared" si="2"/>
        <v>45579.320999999996</v>
      </c>
      <c r="BH13" s="536">
        <f t="shared" si="3"/>
        <v>107117.54412</v>
      </c>
      <c r="BI13" s="536">
        <f t="shared" si="4"/>
        <v>106325</v>
      </c>
      <c r="BJ13" s="526">
        <f t="shared" si="5"/>
        <v>103265</v>
      </c>
    </row>
    <row r="14" spans="1:62" s="11" customFormat="1" ht="11.25">
      <c r="A14" s="15"/>
      <c r="B14" s="16"/>
      <c r="C14" s="16"/>
      <c r="D14" s="17" t="s">
        <v>6</v>
      </c>
      <c r="E14" s="60">
        <v>12</v>
      </c>
      <c r="F14" s="62">
        <f>SKM!H15/1000</f>
        <v>0</v>
      </c>
      <c r="G14" s="54">
        <v>0</v>
      </c>
      <c r="H14" s="173">
        <v>0</v>
      </c>
      <c r="I14" s="174">
        <v>0</v>
      </c>
      <c r="J14" s="174">
        <v>0</v>
      </c>
      <c r="K14" s="18">
        <v>0</v>
      </c>
      <c r="L14" s="62">
        <f>SUKB!H15/1000</f>
        <v>0</v>
      </c>
      <c r="M14" s="160">
        <v>0</v>
      </c>
      <c r="N14" s="62">
        <f>UCT!H15/1000</f>
        <v>0</v>
      </c>
      <c r="O14" s="54">
        <v>0</v>
      </c>
      <c r="P14" s="18">
        <v>0</v>
      </c>
      <c r="Q14" s="62">
        <f>SPSSN!H15/1000</f>
        <v>0</v>
      </c>
      <c r="R14" s="54">
        <v>0</v>
      </c>
      <c r="S14" s="18">
        <v>0</v>
      </c>
      <c r="T14" s="62">
        <f>IBA!H15/1000</f>
        <v>0</v>
      </c>
      <c r="U14" s="160">
        <v>0</v>
      </c>
      <c r="V14" s="212">
        <v>0</v>
      </c>
      <c r="W14" s="173">
        <v>0</v>
      </c>
      <c r="X14" s="174">
        <v>0</v>
      </c>
      <c r="Y14" s="174">
        <v>0</v>
      </c>
      <c r="Z14" s="18">
        <v>0</v>
      </c>
      <c r="AA14" s="212">
        <f>ÚVT!H15/1000</f>
        <v>0</v>
      </c>
      <c r="AB14" s="54">
        <v>42</v>
      </c>
      <c r="AC14" s="173">
        <v>116</v>
      </c>
      <c r="AD14" s="174">
        <v>81.5</v>
      </c>
      <c r="AE14" s="174">
        <v>0</v>
      </c>
      <c r="AF14" s="18">
        <v>0</v>
      </c>
      <c r="AG14" s="212">
        <f>VMU!H15/1000</f>
        <v>0</v>
      </c>
      <c r="AH14" s="54">
        <v>0</v>
      </c>
      <c r="AI14" s="173">
        <v>0</v>
      </c>
      <c r="AJ14" s="174">
        <v>0</v>
      </c>
      <c r="AK14" s="174">
        <v>0</v>
      </c>
      <c r="AL14" s="18">
        <v>0</v>
      </c>
      <c r="AM14" s="212">
        <f>CJV!H15/1000</f>
        <v>0</v>
      </c>
      <c r="AN14" s="54">
        <v>0</v>
      </c>
      <c r="AO14" s="173">
        <v>0</v>
      </c>
      <c r="AP14" s="174">
        <v>0</v>
      </c>
      <c r="AQ14" s="174">
        <v>0</v>
      </c>
      <c r="AR14" s="18">
        <v>8</v>
      </c>
      <c r="AS14" s="212">
        <f>CZS!H15/1000</f>
        <v>1165.5105</v>
      </c>
      <c r="AT14" s="54">
        <v>532.02195</v>
      </c>
      <c r="AU14" s="173">
        <v>189.13909</v>
      </c>
      <c r="AV14" s="174">
        <v>392.25673</v>
      </c>
      <c r="AW14" s="174">
        <v>149</v>
      </c>
      <c r="AX14" s="195">
        <v>760</v>
      </c>
      <c r="AY14" s="212">
        <f>RMU!H15/1000</f>
        <v>1214.423</v>
      </c>
      <c r="AZ14" s="54">
        <v>169.7</v>
      </c>
      <c r="BA14" s="173">
        <v>269.145</v>
      </c>
      <c r="BB14" s="174">
        <v>460.631</v>
      </c>
      <c r="BC14" s="174">
        <v>170</v>
      </c>
      <c r="BD14" s="18">
        <v>177</v>
      </c>
      <c r="BE14" s="212">
        <f t="shared" si="6"/>
        <v>2379.9335</v>
      </c>
      <c r="BF14" s="536">
        <f t="shared" si="7"/>
        <v>743.7219499999999</v>
      </c>
      <c r="BG14" s="536">
        <f t="shared" si="2"/>
        <v>574.28409</v>
      </c>
      <c r="BH14" s="536">
        <f t="shared" si="3"/>
        <v>934.3877299999999</v>
      </c>
      <c r="BI14" s="536">
        <f t="shared" si="4"/>
        <v>319</v>
      </c>
      <c r="BJ14" s="526">
        <f t="shared" si="5"/>
        <v>945</v>
      </c>
    </row>
    <row r="15" spans="1:62" s="11" customFormat="1" ht="11.25">
      <c r="A15" s="15"/>
      <c r="B15" s="17"/>
      <c r="C15" s="17"/>
      <c r="D15" s="17" t="s">
        <v>9</v>
      </c>
      <c r="E15" s="60">
        <v>13</v>
      </c>
      <c r="F15" s="62">
        <f>SKM!H16/1000</f>
        <v>-5731.84119</v>
      </c>
      <c r="G15" s="54">
        <v>-5611.178650000001</v>
      </c>
      <c r="H15" s="173">
        <v>-5069.44204</v>
      </c>
      <c r="I15" s="174">
        <v>-2993.0095899999997</v>
      </c>
      <c r="J15" s="174">
        <v>1075</v>
      </c>
      <c r="K15" s="18">
        <v>615</v>
      </c>
      <c r="L15" s="62">
        <f>SUKB!H16/1000</f>
        <v>0.10684</v>
      </c>
      <c r="M15" s="160">
        <v>0</v>
      </c>
      <c r="N15" s="62">
        <f>UCT!H16/1000</f>
        <v>216.03026</v>
      </c>
      <c r="O15" s="54">
        <v>18.907700000000002</v>
      </c>
      <c r="P15" s="18">
        <v>0</v>
      </c>
      <c r="Q15" s="62">
        <f>SPSSN!H16/1000</f>
        <v>225.34395999999998</v>
      </c>
      <c r="R15" s="54">
        <v>667.19596</v>
      </c>
      <c r="S15" s="18">
        <v>0</v>
      </c>
      <c r="T15" s="62">
        <f>IBA!H16/1000</f>
        <v>19153.05269</v>
      </c>
      <c r="U15" s="160">
        <v>0</v>
      </c>
      <c r="V15" s="212">
        <v>3.67792</v>
      </c>
      <c r="W15" s="173">
        <v>130.64675</v>
      </c>
      <c r="X15" s="174">
        <v>55.46986</v>
      </c>
      <c r="Y15" s="174">
        <v>155</v>
      </c>
      <c r="Z15" s="18">
        <v>350</v>
      </c>
      <c r="AA15" s="212">
        <f>ÚVT!H16/1000</f>
        <v>4805.12087</v>
      </c>
      <c r="AB15" s="54">
        <v>2753.79438</v>
      </c>
      <c r="AC15" s="173">
        <v>2802.47737</v>
      </c>
      <c r="AD15" s="174">
        <v>1140.9418799999999</v>
      </c>
      <c r="AE15" s="174">
        <v>1188</v>
      </c>
      <c r="AF15" s="18">
        <v>1215</v>
      </c>
      <c r="AG15" s="212">
        <f>VMU!H16/1000</f>
        <v>-5064.340440000001</v>
      </c>
      <c r="AH15" s="54">
        <v>-5701.1556900000005</v>
      </c>
      <c r="AI15" s="173">
        <v>-5412.95833</v>
      </c>
      <c r="AJ15" s="174">
        <v>-4020.06275</v>
      </c>
      <c r="AK15" s="174">
        <v>28</v>
      </c>
      <c r="AL15" s="18">
        <v>0</v>
      </c>
      <c r="AM15" s="212">
        <f>CJV!H16/1000</f>
        <v>133.61910999999998</v>
      </c>
      <c r="AN15" s="54">
        <v>-50.38404</v>
      </c>
      <c r="AO15" s="173">
        <v>76.27748</v>
      </c>
      <c r="AP15" s="174">
        <v>188.61445999999998</v>
      </c>
      <c r="AQ15" s="174">
        <v>124</v>
      </c>
      <c r="AR15" s="18">
        <v>39</v>
      </c>
      <c r="AS15" s="212">
        <f>CZS!H16/1000</f>
        <v>2025.43763</v>
      </c>
      <c r="AT15" s="54">
        <v>1185.8602700000001</v>
      </c>
      <c r="AU15" s="173">
        <v>1627.85328</v>
      </c>
      <c r="AV15" s="174">
        <v>1184.00641</v>
      </c>
      <c r="AW15" s="174">
        <v>944</v>
      </c>
      <c r="AX15" s="195">
        <v>584</v>
      </c>
      <c r="AY15" s="212">
        <f>RMU!H16/1000</f>
        <v>178648.9659</v>
      </c>
      <c r="AZ15" s="54">
        <v>34931.45272</v>
      </c>
      <c r="BA15" s="173">
        <v>58910.77345</v>
      </c>
      <c r="BB15" s="174">
        <v>13129.85726</v>
      </c>
      <c r="BC15" s="174">
        <v>6620</v>
      </c>
      <c r="BD15" s="18">
        <v>8339</v>
      </c>
      <c r="BE15" s="212">
        <f t="shared" si="6"/>
        <v>194411.49563000002</v>
      </c>
      <c r="BF15" s="536">
        <f t="shared" si="7"/>
        <v>28198.170570000002</v>
      </c>
      <c r="BG15" s="536">
        <f t="shared" si="2"/>
        <v>53065.62796</v>
      </c>
      <c r="BH15" s="536">
        <f t="shared" si="3"/>
        <v>8685.81753</v>
      </c>
      <c r="BI15" s="536">
        <f t="shared" si="4"/>
        <v>10134</v>
      </c>
      <c r="BJ15" s="526">
        <f t="shared" si="5"/>
        <v>11142</v>
      </c>
    </row>
    <row r="16" spans="1:62" s="2" customFormat="1" ht="11.25">
      <c r="A16" s="12"/>
      <c r="B16" s="20" t="s">
        <v>14</v>
      </c>
      <c r="C16" s="21"/>
      <c r="D16" s="21"/>
      <c r="E16" s="60">
        <v>14</v>
      </c>
      <c r="F16" s="97">
        <f>SKM!H17/1000</f>
        <v>0</v>
      </c>
      <c r="G16" s="192">
        <v>0</v>
      </c>
      <c r="H16" s="113">
        <v>0</v>
      </c>
      <c r="I16" s="55">
        <v>0</v>
      </c>
      <c r="J16" s="55">
        <v>0</v>
      </c>
      <c r="K16" s="114">
        <v>0</v>
      </c>
      <c r="L16" s="97">
        <f>SUKB!H17/1000</f>
        <v>0</v>
      </c>
      <c r="M16" s="501">
        <v>0</v>
      </c>
      <c r="N16" s="97">
        <f>UCT!H17/1000</f>
        <v>0</v>
      </c>
      <c r="O16" s="192">
        <v>0</v>
      </c>
      <c r="P16" s="114">
        <v>0</v>
      </c>
      <c r="Q16" s="97">
        <f>SPSSN!H17/1000</f>
        <v>0</v>
      </c>
      <c r="R16" s="192">
        <v>0</v>
      </c>
      <c r="S16" s="114">
        <v>0</v>
      </c>
      <c r="T16" s="97">
        <f>IBA!H17/1000</f>
        <v>0</v>
      </c>
      <c r="U16" s="501">
        <v>0</v>
      </c>
      <c r="V16" s="213">
        <v>0</v>
      </c>
      <c r="W16" s="113">
        <v>0</v>
      </c>
      <c r="X16" s="55">
        <v>0</v>
      </c>
      <c r="Y16" s="55">
        <v>0</v>
      </c>
      <c r="Z16" s="114">
        <v>0</v>
      </c>
      <c r="AA16" s="213">
        <f>ÚVT!H17/1000</f>
        <v>0</v>
      </c>
      <c r="AB16" s="192">
        <v>0</v>
      </c>
      <c r="AC16" s="113">
        <v>0</v>
      </c>
      <c r="AD16" s="55">
        <v>0</v>
      </c>
      <c r="AE16" s="55">
        <v>0</v>
      </c>
      <c r="AF16" s="114">
        <v>0</v>
      </c>
      <c r="AG16" s="213">
        <f>VMU!H17/1000</f>
        <v>0</v>
      </c>
      <c r="AH16" s="192">
        <v>0</v>
      </c>
      <c r="AI16" s="113">
        <v>0</v>
      </c>
      <c r="AJ16" s="55">
        <v>0</v>
      </c>
      <c r="AK16" s="55">
        <v>0</v>
      </c>
      <c r="AL16" s="114">
        <v>0</v>
      </c>
      <c r="AM16" s="213">
        <f>CJV!H17/1000</f>
        <v>0</v>
      </c>
      <c r="AN16" s="192">
        <v>0</v>
      </c>
      <c r="AO16" s="113">
        <v>0</v>
      </c>
      <c r="AP16" s="55">
        <v>0</v>
      </c>
      <c r="AQ16" s="55">
        <v>0</v>
      </c>
      <c r="AR16" s="114">
        <v>0</v>
      </c>
      <c r="AS16" s="213">
        <f>CZS!H17/1000</f>
        <v>0</v>
      </c>
      <c r="AT16" s="192">
        <v>0</v>
      </c>
      <c r="AU16" s="113">
        <v>0</v>
      </c>
      <c r="AV16" s="55">
        <v>0</v>
      </c>
      <c r="AW16" s="55">
        <v>0</v>
      </c>
      <c r="AX16" s="114">
        <v>0</v>
      </c>
      <c r="AY16" s="213">
        <f>RMU!H17/1000</f>
        <v>0</v>
      </c>
      <c r="AZ16" s="192">
        <v>0</v>
      </c>
      <c r="BA16" s="113">
        <v>0</v>
      </c>
      <c r="BB16" s="55">
        <v>0</v>
      </c>
      <c r="BC16" s="55">
        <v>0</v>
      </c>
      <c r="BD16" s="114">
        <v>0</v>
      </c>
      <c r="BE16" s="213">
        <f t="shared" si="6"/>
        <v>0</v>
      </c>
      <c r="BF16" s="537">
        <f t="shared" si="7"/>
        <v>0</v>
      </c>
      <c r="BG16" s="537">
        <f t="shared" si="2"/>
        <v>0</v>
      </c>
      <c r="BH16" s="537">
        <f t="shared" si="3"/>
        <v>0</v>
      </c>
      <c r="BI16" s="537">
        <f t="shared" si="4"/>
        <v>0</v>
      </c>
      <c r="BJ16" s="527">
        <f t="shared" si="5"/>
        <v>0</v>
      </c>
    </row>
    <row r="17" spans="1:62" s="2" customFormat="1" ht="11.25">
      <c r="A17" s="12"/>
      <c r="B17" s="20" t="s">
        <v>15</v>
      </c>
      <c r="C17" s="21"/>
      <c r="D17" s="21"/>
      <c r="E17" s="60">
        <v>15</v>
      </c>
      <c r="F17" s="97">
        <f>SKM!H18/1000</f>
        <v>731</v>
      </c>
      <c r="G17" s="192">
        <v>732</v>
      </c>
      <c r="H17" s="113">
        <v>709.09</v>
      </c>
      <c r="I17" s="55">
        <v>882</v>
      </c>
      <c r="J17" s="55">
        <v>1094</v>
      </c>
      <c r="K17" s="114">
        <v>853</v>
      </c>
      <c r="L17" s="97">
        <f>SUKB!H18/1000</f>
        <v>0</v>
      </c>
      <c r="M17" s="501">
        <v>0</v>
      </c>
      <c r="N17" s="97">
        <f>UCT!H18/1000</f>
        <v>0</v>
      </c>
      <c r="O17" s="192">
        <v>0</v>
      </c>
      <c r="P17" s="114">
        <v>0</v>
      </c>
      <c r="Q17" s="97">
        <f>SPSSN!H18/1000</f>
        <v>0</v>
      </c>
      <c r="R17" s="192">
        <v>0</v>
      </c>
      <c r="S17" s="114">
        <v>0</v>
      </c>
      <c r="T17" s="97">
        <f>IBA!H18/1000</f>
        <v>0</v>
      </c>
      <c r="U17" s="501">
        <v>0</v>
      </c>
      <c r="V17" s="213">
        <v>0</v>
      </c>
      <c r="W17" s="113">
        <v>0</v>
      </c>
      <c r="X17" s="55">
        <v>0</v>
      </c>
      <c r="Y17" s="55">
        <v>0</v>
      </c>
      <c r="Z17" s="114">
        <v>0</v>
      </c>
      <c r="AA17" s="213">
        <f>ÚVT!H18/1000</f>
        <v>0</v>
      </c>
      <c r="AB17" s="192">
        <v>0</v>
      </c>
      <c r="AC17" s="113">
        <v>0</v>
      </c>
      <c r="AD17" s="55">
        <v>0</v>
      </c>
      <c r="AE17" s="55">
        <v>0</v>
      </c>
      <c r="AF17" s="114">
        <v>0</v>
      </c>
      <c r="AG17" s="213">
        <f>VMU!H18/1000</f>
        <v>0</v>
      </c>
      <c r="AH17" s="192">
        <v>0</v>
      </c>
      <c r="AI17" s="113">
        <v>0</v>
      </c>
      <c r="AJ17" s="55">
        <v>0</v>
      </c>
      <c r="AK17" s="55">
        <v>0</v>
      </c>
      <c r="AL17" s="114">
        <v>0</v>
      </c>
      <c r="AM17" s="213">
        <f>CJV!H18/1000</f>
        <v>0</v>
      </c>
      <c r="AN17" s="192">
        <v>0</v>
      </c>
      <c r="AO17" s="113">
        <v>0</v>
      </c>
      <c r="AP17" s="55">
        <v>0</v>
      </c>
      <c r="AQ17" s="55">
        <v>0</v>
      </c>
      <c r="AR17" s="114">
        <v>0</v>
      </c>
      <c r="AS17" s="213">
        <f>CZS!H18/1000</f>
        <v>25126.890760000002</v>
      </c>
      <c r="AT17" s="192">
        <v>21999.5</v>
      </c>
      <c r="AU17" s="113">
        <v>23223.683</v>
      </c>
      <c r="AV17" s="55">
        <v>21144.21066</v>
      </c>
      <c r="AW17" s="55">
        <v>20294</v>
      </c>
      <c r="AX17" s="114">
        <v>15805</v>
      </c>
      <c r="AY17" s="213">
        <f>RMU!H18/1000</f>
        <v>0</v>
      </c>
      <c r="AZ17" s="192">
        <v>0</v>
      </c>
      <c r="BA17" s="113">
        <v>0</v>
      </c>
      <c r="BB17" s="55">
        <v>0</v>
      </c>
      <c r="BC17" s="55">
        <v>0</v>
      </c>
      <c r="BD17" s="114">
        <v>0</v>
      </c>
      <c r="BE17" s="213">
        <f t="shared" si="6"/>
        <v>25857.890760000002</v>
      </c>
      <c r="BF17" s="537">
        <f t="shared" si="7"/>
        <v>22731.5</v>
      </c>
      <c r="BG17" s="537">
        <f t="shared" si="2"/>
        <v>23932.773</v>
      </c>
      <c r="BH17" s="537">
        <f t="shared" si="3"/>
        <v>22026.21066</v>
      </c>
      <c r="BI17" s="537">
        <f t="shared" si="4"/>
        <v>21388</v>
      </c>
      <c r="BJ17" s="527">
        <f t="shared" si="5"/>
        <v>16658</v>
      </c>
    </row>
    <row r="18" spans="1:62" s="2" customFormat="1" ht="11.25">
      <c r="A18" s="12"/>
      <c r="B18" s="20" t="s">
        <v>20</v>
      </c>
      <c r="C18" s="21"/>
      <c r="D18" s="21"/>
      <c r="E18" s="60">
        <v>16</v>
      </c>
      <c r="F18" s="97">
        <f>SKM!H19/1000</f>
        <v>0</v>
      </c>
      <c r="G18" s="192">
        <v>0</v>
      </c>
      <c r="H18" s="113">
        <v>0</v>
      </c>
      <c r="I18" s="55">
        <v>0</v>
      </c>
      <c r="J18" s="55">
        <v>0</v>
      </c>
      <c r="K18" s="114">
        <v>0</v>
      </c>
      <c r="L18" s="97">
        <f>SUKB!H19/1000</f>
        <v>0</v>
      </c>
      <c r="M18" s="501">
        <v>0</v>
      </c>
      <c r="N18" s="97">
        <f>UCT!H19/1000</f>
        <v>0</v>
      </c>
      <c r="O18" s="192">
        <v>0</v>
      </c>
      <c r="P18" s="114">
        <v>0</v>
      </c>
      <c r="Q18" s="97">
        <f>SPSSN!H19/1000</f>
        <v>8120</v>
      </c>
      <c r="R18" s="192">
        <v>6519.138980000001</v>
      </c>
      <c r="S18" s="114">
        <v>0</v>
      </c>
      <c r="T18" s="97">
        <f>IBA!H19/1000</f>
        <v>0</v>
      </c>
      <c r="U18" s="501">
        <v>0</v>
      </c>
      <c r="V18" s="213">
        <v>984.46455</v>
      </c>
      <c r="W18" s="113">
        <v>5914.75501</v>
      </c>
      <c r="X18" s="55">
        <v>3500</v>
      </c>
      <c r="Y18" s="55">
        <v>3746</v>
      </c>
      <c r="Z18" s="114">
        <v>744</v>
      </c>
      <c r="AA18" s="213">
        <f>ÚVT!H19/1000</f>
        <v>15907.63974</v>
      </c>
      <c r="AB18" s="192">
        <v>5710.6648</v>
      </c>
      <c r="AC18" s="113">
        <v>450</v>
      </c>
      <c r="AD18" s="55">
        <v>35546.54813</v>
      </c>
      <c r="AE18" s="55">
        <v>1145</v>
      </c>
      <c r="AF18" s="114">
        <v>700</v>
      </c>
      <c r="AG18" s="213">
        <f>VMU!H19/1000</f>
        <v>0</v>
      </c>
      <c r="AH18" s="192">
        <v>0</v>
      </c>
      <c r="AI18" s="113">
        <v>0</v>
      </c>
      <c r="AJ18" s="55">
        <v>0</v>
      </c>
      <c r="AK18" s="55">
        <v>0</v>
      </c>
      <c r="AL18" s="114">
        <v>0</v>
      </c>
      <c r="AM18" s="213">
        <f>CJV!H19/1000</f>
        <v>2223.095</v>
      </c>
      <c r="AN18" s="192">
        <v>1386.97996</v>
      </c>
      <c r="AO18" s="113">
        <v>890</v>
      </c>
      <c r="AP18" s="55">
        <v>799.997</v>
      </c>
      <c r="AQ18" s="55">
        <v>880</v>
      </c>
      <c r="AR18" s="114">
        <v>0</v>
      </c>
      <c r="AS18" s="213">
        <f>CZS!H19/1000</f>
        <v>4800</v>
      </c>
      <c r="AT18" s="192">
        <v>3400</v>
      </c>
      <c r="AU18" s="113">
        <v>4634.5742900000005</v>
      </c>
      <c r="AV18" s="55">
        <v>3038.0701200000003</v>
      </c>
      <c r="AW18" s="55">
        <v>2067</v>
      </c>
      <c r="AX18" s="114">
        <v>60</v>
      </c>
      <c r="AY18" s="213">
        <f>RMU!H19/1000</f>
        <v>10613.46867</v>
      </c>
      <c r="AZ18" s="192">
        <v>1618.25164</v>
      </c>
      <c r="BA18" s="113">
        <v>6049.5</v>
      </c>
      <c r="BB18" s="55">
        <v>3470</v>
      </c>
      <c r="BC18" s="55">
        <v>16385</v>
      </c>
      <c r="BD18" s="114">
        <v>26422</v>
      </c>
      <c r="BE18" s="213">
        <f t="shared" si="6"/>
        <v>41664.20341</v>
      </c>
      <c r="BF18" s="537">
        <f t="shared" si="7"/>
        <v>19619.499929999998</v>
      </c>
      <c r="BG18" s="537">
        <f t="shared" si="2"/>
        <v>17938.8293</v>
      </c>
      <c r="BH18" s="537">
        <f t="shared" si="3"/>
        <v>46354.61525</v>
      </c>
      <c r="BI18" s="537">
        <f t="shared" si="4"/>
        <v>24223</v>
      </c>
      <c r="BJ18" s="527">
        <f t="shared" si="5"/>
        <v>27926</v>
      </c>
    </row>
    <row r="19" spans="1:62" s="2" customFormat="1" ht="11.25">
      <c r="A19" s="12"/>
      <c r="B19" s="20" t="s">
        <v>16</v>
      </c>
      <c r="C19" s="21"/>
      <c r="D19" s="21"/>
      <c r="E19" s="60">
        <v>17</v>
      </c>
      <c r="F19" s="97">
        <f>SKM!H20/1000</f>
        <v>0</v>
      </c>
      <c r="G19" s="192">
        <v>0</v>
      </c>
      <c r="H19" s="113">
        <v>0</v>
      </c>
      <c r="I19" s="55">
        <v>0</v>
      </c>
      <c r="J19" s="55">
        <v>0</v>
      </c>
      <c r="K19" s="114">
        <v>0</v>
      </c>
      <c r="L19" s="97">
        <f>SUKB!H20/1000</f>
        <v>0</v>
      </c>
      <c r="M19" s="501">
        <v>0</v>
      </c>
      <c r="N19" s="97">
        <f>UCT!H20/1000</f>
        <v>0</v>
      </c>
      <c r="O19" s="192">
        <v>0</v>
      </c>
      <c r="P19" s="114">
        <v>0</v>
      </c>
      <c r="Q19" s="97">
        <f>SPSSN!H20/1000</f>
        <v>0</v>
      </c>
      <c r="R19" s="192">
        <v>248</v>
      </c>
      <c r="S19" s="114">
        <v>0</v>
      </c>
      <c r="T19" s="97">
        <f>IBA!H20/1000</f>
        <v>0</v>
      </c>
      <c r="U19" s="501">
        <v>0</v>
      </c>
      <c r="V19" s="213">
        <v>0</v>
      </c>
      <c r="W19" s="113">
        <v>0</v>
      </c>
      <c r="X19" s="55">
        <v>0</v>
      </c>
      <c r="Y19" s="55">
        <v>0</v>
      </c>
      <c r="Z19" s="114">
        <v>0</v>
      </c>
      <c r="AA19" s="213">
        <f>ÚVT!H20/1000</f>
        <v>0</v>
      </c>
      <c r="AB19" s="192">
        <v>0</v>
      </c>
      <c r="AC19" s="113">
        <v>525</v>
      </c>
      <c r="AD19" s="55">
        <v>0</v>
      </c>
      <c r="AE19" s="55">
        <v>0</v>
      </c>
      <c r="AF19" s="114">
        <v>296</v>
      </c>
      <c r="AG19" s="213">
        <f>VMU!H20/1000</f>
        <v>0</v>
      </c>
      <c r="AH19" s="192">
        <v>0</v>
      </c>
      <c r="AI19" s="113">
        <v>0</v>
      </c>
      <c r="AJ19" s="55">
        <v>0</v>
      </c>
      <c r="AK19" s="55">
        <v>0</v>
      </c>
      <c r="AL19" s="114">
        <v>0</v>
      </c>
      <c r="AM19" s="213">
        <f>CJV!H20/1000</f>
        <v>0</v>
      </c>
      <c r="AN19" s="192">
        <v>0</v>
      </c>
      <c r="AO19" s="113">
        <v>0</v>
      </c>
      <c r="AP19" s="55">
        <v>0</v>
      </c>
      <c r="AQ19" s="55">
        <v>0</v>
      </c>
      <c r="AR19" s="114">
        <v>0</v>
      </c>
      <c r="AS19" s="213">
        <f>CZS!H20/1000</f>
        <v>0</v>
      </c>
      <c r="AT19" s="192">
        <v>0</v>
      </c>
      <c r="AU19" s="113">
        <v>0</v>
      </c>
      <c r="AV19" s="55">
        <v>0</v>
      </c>
      <c r="AW19" s="55">
        <v>0</v>
      </c>
      <c r="AX19" s="114">
        <v>0</v>
      </c>
      <c r="AY19" s="213">
        <f>RMU!H20/1000</f>
        <v>0</v>
      </c>
      <c r="AZ19" s="192">
        <v>224</v>
      </c>
      <c r="BA19" s="113">
        <v>0</v>
      </c>
      <c r="BB19" s="55">
        <v>0</v>
      </c>
      <c r="BC19" s="55">
        <v>179</v>
      </c>
      <c r="BD19" s="114">
        <v>167</v>
      </c>
      <c r="BE19" s="213">
        <f t="shared" si="6"/>
        <v>0</v>
      </c>
      <c r="BF19" s="537">
        <f t="shared" si="7"/>
        <v>472</v>
      </c>
      <c r="BG19" s="537">
        <f t="shared" si="2"/>
        <v>525</v>
      </c>
      <c r="BH19" s="537">
        <f t="shared" si="3"/>
        <v>0</v>
      </c>
      <c r="BI19" s="537">
        <f t="shared" si="4"/>
        <v>179</v>
      </c>
      <c r="BJ19" s="527">
        <f t="shared" si="5"/>
        <v>463</v>
      </c>
    </row>
    <row r="20" spans="1:62" s="2" customFormat="1" ht="11.25">
      <c r="A20" s="12"/>
      <c r="B20" s="20" t="s">
        <v>24</v>
      </c>
      <c r="C20" s="20"/>
      <c r="D20" s="20"/>
      <c r="E20" s="60">
        <v>18</v>
      </c>
      <c r="F20" s="97">
        <f>SKM!H21/1000</f>
        <v>0</v>
      </c>
      <c r="G20" s="192">
        <v>0</v>
      </c>
      <c r="H20" s="113">
        <v>0</v>
      </c>
      <c r="I20" s="55">
        <v>0</v>
      </c>
      <c r="J20" s="55">
        <v>0</v>
      </c>
      <c r="K20" s="114">
        <v>0</v>
      </c>
      <c r="L20" s="97">
        <f>SUKB!H21/1000</f>
        <v>0</v>
      </c>
      <c r="M20" s="501">
        <v>0</v>
      </c>
      <c r="N20" s="97">
        <f>UCT!H21/1000</f>
        <v>0</v>
      </c>
      <c r="O20" s="192">
        <v>0</v>
      </c>
      <c r="P20" s="114">
        <v>0</v>
      </c>
      <c r="Q20" s="97">
        <f>SPSSN!H21/1000</f>
        <v>0</v>
      </c>
      <c r="R20" s="192">
        <v>150</v>
      </c>
      <c r="S20" s="114">
        <v>0</v>
      </c>
      <c r="T20" s="97">
        <f>IBA!H21/1000</f>
        <v>0</v>
      </c>
      <c r="U20" s="501">
        <v>0</v>
      </c>
      <c r="V20" s="213">
        <v>0</v>
      </c>
      <c r="W20" s="113">
        <v>0</v>
      </c>
      <c r="X20" s="55">
        <v>0</v>
      </c>
      <c r="Y20" s="55">
        <v>0</v>
      </c>
      <c r="Z20" s="114">
        <v>0</v>
      </c>
      <c r="AA20" s="213">
        <f>ÚVT!H21/1000</f>
        <v>0</v>
      </c>
      <c r="AB20" s="192">
        <v>0</v>
      </c>
      <c r="AC20" s="113">
        <v>0</v>
      </c>
      <c r="AD20" s="55">
        <v>0</v>
      </c>
      <c r="AE20" s="55">
        <v>0</v>
      </c>
      <c r="AF20" s="114">
        <v>0</v>
      </c>
      <c r="AG20" s="213">
        <f>VMU!H21/1000</f>
        <v>0</v>
      </c>
      <c r="AH20" s="192">
        <v>0</v>
      </c>
      <c r="AI20" s="113">
        <v>0</v>
      </c>
      <c r="AJ20" s="55">
        <v>0</v>
      </c>
      <c r="AK20" s="55">
        <v>0</v>
      </c>
      <c r="AL20" s="114">
        <v>0</v>
      </c>
      <c r="AM20" s="213">
        <f>CJV!H21/1000</f>
        <v>0</v>
      </c>
      <c r="AN20" s="192">
        <v>0</v>
      </c>
      <c r="AO20" s="113">
        <v>500</v>
      </c>
      <c r="AP20" s="55">
        <v>0</v>
      </c>
      <c r="AQ20" s="55">
        <v>0</v>
      </c>
      <c r="AR20" s="114">
        <v>0</v>
      </c>
      <c r="AS20" s="213">
        <f>CZS!H21/1000</f>
        <v>0</v>
      </c>
      <c r="AT20" s="192">
        <v>80.22438000000001</v>
      </c>
      <c r="AU20" s="113">
        <v>0</v>
      </c>
      <c r="AV20" s="55">
        <v>0</v>
      </c>
      <c r="AW20" s="55">
        <v>0</v>
      </c>
      <c r="AX20" s="114">
        <v>0</v>
      </c>
      <c r="AY20" s="213">
        <f>RMU!H21/1000</f>
        <v>4523.54876</v>
      </c>
      <c r="AZ20" s="192">
        <v>1481.74725</v>
      </c>
      <c r="BA20" s="113">
        <v>0</v>
      </c>
      <c r="BB20" s="55">
        <v>0</v>
      </c>
      <c r="BC20" s="55">
        <v>0</v>
      </c>
      <c r="BD20" s="114">
        <v>0</v>
      </c>
      <c r="BE20" s="213">
        <f t="shared" si="6"/>
        <v>4523.54876</v>
      </c>
      <c r="BF20" s="537">
        <f t="shared" si="7"/>
        <v>1711.97163</v>
      </c>
      <c r="BG20" s="537">
        <f t="shared" si="2"/>
        <v>500</v>
      </c>
      <c r="BH20" s="537">
        <f t="shared" si="3"/>
        <v>0</v>
      </c>
      <c r="BI20" s="537">
        <f t="shared" si="4"/>
        <v>0</v>
      </c>
      <c r="BJ20" s="527">
        <f t="shared" si="5"/>
        <v>0</v>
      </c>
    </row>
    <row r="21" spans="1:62" s="2" customFormat="1" ht="11.25">
      <c r="A21" s="12"/>
      <c r="B21" s="20" t="s">
        <v>31</v>
      </c>
      <c r="C21" s="20"/>
      <c r="D21" s="20"/>
      <c r="E21" s="60">
        <v>19</v>
      </c>
      <c r="F21" s="97">
        <f>SKM!H22/1000</f>
        <v>0</v>
      </c>
      <c r="G21" s="192">
        <v>0</v>
      </c>
      <c r="H21" s="113">
        <v>0</v>
      </c>
      <c r="I21" s="55">
        <v>0</v>
      </c>
      <c r="J21" s="55">
        <v>0</v>
      </c>
      <c r="K21" s="114">
        <v>0</v>
      </c>
      <c r="L21" s="97">
        <f>SUKB!H22/1000</f>
        <v>0</v>
      </c>
      <c r="M21" s="501">
        <v>0</v>
      </c>
      <c r="N21" s="97">
        <f>UCT!H22/1000</f>
        <v>0</v>
      </c>
      <c r="O21" s="192">
        <v>0</v>
      </c>
      <c r="P21" s="114">
        <v>0</v>
      </c>
      <c r="Q21" s="97">
        <f>SPSSN!H22/1000</f>
        <v>4452.015530000001</v>
      </c>
      <c r="R21" s="192">
        <v>178.44</v>
      </c>
      <c r="S21" s="114">
        <v>0</v>
      </c>
      <c r="T21" s="97">
        <f>IBA!H22/1000</f>
        <v>0</v>
      </c>
      <c r="U21" s="501">
        <v>0</v>
      </c>
      <c r="V21" s="213">
        <v>0</v>
      </c>
      <c r="W21" s="113">
        <v>0</v>
      </c>
      <c r="X21" s="55">
        <v>0</v>
      </c>
      <c r="Y21" s="55">
        <v>0</v>
      </c>
      <c r="Z21" s="114">
        <v>67</v>
      </c>
      <c r="AA21" s="213">
        <f>ÚVT!H22/1000</f>
        <v>811.62</v>
      </c>
      <c r="AB21" s="192">
        <v>0</v>
      </c>
      <c r="AC21" s="113">
        <v>2942.992</v>
      </c>
      <c r="AD21" s="55">
        <v>6441.166</v>
      </c>
      <c r="AE21" s="55">
        <v>5128</v>
      </c>
      <c r="AF21" s="114">
        <v>1757</v>
      </c>
      <c r="AG21" s="213">
        <f>VMU!H22/1000</f>
        <v>0</v>
      </c>
      <c r="AH21" s="192">
        <v>0</v>
      </c>
      <c r="AI21" s="113">
        <v>0</v>
      </c>
      <c r="AJ21" s="55">
        <v>0</v>
      </c>
      <c r="AK21" s="55">
        <v>0</v>
      </c>
      <c r="AL21" s="114">
        <v>0</v>
      </c>
      <c r="AM21" s="213">
        <f>CJV!H22/1000</f>
        <v>2545.5381</v>
      </c>
      <c r="AN21" s="192">
        <v>230.12213</v>
      </c>
      <c r="AO21" s="113">
        <v>19.2</v>
      </c>
      <c r="AP21" s="55">
        <v>42.8857</v>
      </c>
      <c r="AQ21" s="55">
        <v>0</v>
      </c>
      <c r="AR21" s="114">
        <v>0</v>
      </c>
      <c r="AS21" s="213">
        <f>CZS!H22/1000</f>
        <v>17315.470739999997</v>
      </c>
      <c r="AT21" s="192">
        <v>15189.08145</v>
      </c>
      <c r="AU21" s="113">
        <v>8756.65724</v>
      </c>
      <c r="AV21" s="55">
        <v>5308.85726</v>
      </c>
      <c r="AW21" s="55">
        <v>9165</v>
      </c>
      <c r="AX21" s="114">
        <v>9253</v>
      </c>
      <c r="AY21" s="213">
        <f>RMU!H22/1000</f>
        <v>3297.25386</v>
      </c>
      <c r="AZ21" s="192">
        <v>1335.33958</v>
      </c>
      <c r="BA21" s="113">
        <v>1102.643</v>
      </c>
      <c r="BB21" s="55">
        <v>1122.457</v>
      </c>
      <c r="BC21" s="55">
        <v>1145</v>
      </c>
      <c r="BD21" s="114">
        <v>310</v>
      </c>
      <c r="BE21" s="213">
        <f t="shared" si="6"/>
        <v>28421.89823</v>
      </c>
      <c r="BF21" s="537">
        <f t="shared" si="7"/>
        <v>16932.98316</v>
      </c>
      <c r="BG21" s="537">
        <f t="shared" si="2"/>
        <v>12821.49224</v>
      </c>
      <c r="BH21" s="537">
        <f t="shared" si="3"/>
        <v>12915.365960000001</v>
      </c>
      <c r="BI21" s="537">
        <f t="shared" si="4"/>
        <v>15438</v>
      </c>
      <c r="BJ21" s="527">
        <f t="shared" si="5"/>
        <v>11387</v>
      </c>
    </row>
    <row r="22" spans="1:62" s="2" customFormat="1" ht="11.25">
      <c r="A22" s="12"/>
      <c r="B22" s="20" t="s">
        <v>25</v>
      </c>
      <c r="C22" s="20"/>
      <c r="D22" s="20"/>
      <c r="E22" s="60">
        <v>20</v>
      </c>
      <c r="F22" s="97">
        <f>SKM!H23/1000</f>
        <v>0</v>
      </c>
      <c r="G22" s="192">
        <v>0</v>
      </c>
      <c r="H22" s="113">
        <v>0</v>
      </c>
      <c r="I22" s="55">
        <v>0</v>
      </c>
      <c r="J22" s="55">
        <v>0</v>
      </c>
      <c r="K22" s="114">
        <v>0</v>
      </c>
      <c r="L22" s="97">
        <f>SUKB!H23/1000</f>
        <v>0</v>
      </c>
      <c r="M22" s="501">
        <v>0</v>
      </c>
      <c r="N22" s="97">
        <f>UCT!H23/1000</f>
        <v>0</v>
      </c>
      <c r="O22" s="192">
        <v>0</v>
      </c>
      <c r="P22" s="114">
        <v>0</v>
      </c>
      <c r="Q22" s="97">
        <f>SPSSN!H23/1000</f>
        <v>0</v>
      </c>
      <c r="R22" s="192">
        <v>0</v>
      </c>
      <c r="S22" s="114">
        <v>0</v>
      </c>
      <c r="T22" s="97">
        <f>IBA!H23/1000</f>
        <v>0</v>
      </c>
      <c r="U22" s="501">
        <v>0</v>
      </c>
      <c r="V22" s="213">
        <v>0</v>
      </c>
      <c r="W22" s="113">
        <v>0</v>
      </c>
      <c r="X22" s="55">
        <v>0</v>
      </c>
      <c r="Y22" s="55">
        <v>0</v>
      </c>
      <c r="Z22" s="114">
        <v>0</v>
      </c>
      <c r="AA22" s="213">
        <f>ÚVT!H23/1000</f>
        <v>1111.13661</v>
      </c>
      <c r="AB22" s="192">
        <v>807</v>
      </c>
      <c r="AC22" s="113">
        <v>2097.00992</v>
      </c>
      <c r="AD22" s="55">
        <v>1747</v>
      </c>
      <c r="AE22" s="55">
        <v>2005</v>
      </c>
      <c r="AF22" s="114">
        <v>2070</v>
      </c>
      <c r="AG22" s="213">
        <f>VMU!H23/1000</f>
        <v>0</v>
      </c>
      <c r="AH22" s="192">
        <v>0</v>
      </c>
      <c r="AI22" s="113">
        <v>0</v>
      </c>
      <c r="AJ22" s="55">
        <v>0</v>
      </c>
      <c r="AK22" s="55">
        <v>0</v>
      </c>
      <c r="AL22" s="114">
        <v>0</v>
      </c>
      <c r="AM22" s="213">
        <f>CJV!H23/1000</f>
        <v>0</v>
      </c>
      <c r="AN22" s="192">
        <v>0</v>
      </c>
      <c r="AO22" s="113">
        <v>0</v>
      </c>
      <c r="AP22" s="55">
        <v>0</v>
      </c>
      <c r="AQ22" s="55">
        <v>0</v>
      </c>
      <c r="AR22" s="114">
        <v>0</v>
      </c>
      <c r="AS22" s="213">
        <f>CZS!H23/1000</f>
        <v>0</v>
      </c>
      <c r="AT22" s="192">
        <v>0</v>
      </c>
      <c r="AU22" s="113">
        <v>0</v>
      </c>
      <c r="AV22" s="55">
        <v>0</v>
      </c>
      <c r="AW22" s="55">
        <v>0</v>
      </c>
      <c r="AX22" s="114">
        <v>0</v>
      </c>
      <c r="AY22" s="213">
        <f>RMU!H23/1000</f>
        <v>0</v>
      </c>
      <c r="AZ22" s="192">
        <v>0</v>
      </c>
      <c r="BA22" s="113">
        <v>0</v>
      </c>
      <c r="BB22" s="55">
        <v>0</v>
      </c>
      <c r="BC22" s="55">
        <v>0</v>
      </c>
      <c r="BD22" s="114">
        <v>0</v>
      </c>
      <c r="BE22" s="213">
        <f t="shared" si="6"/>
        <v>1111.13661</v>
      </c>
      <c r="BF22" s="537">
        <f t="shared" si="7"/>
        <v>807</v>
      </c>
      <c r="BG22" s="537">
        <f t="shared" si="2"/>
        <v>2097.00992</v>
      </c>
      <c r="BH22" s="537">
        <f t="shared" si="3"/>
        <v>1747</v>
      </c>
      <c r="BI22" s="537">
        <f t="shared" si="4"/>
        <v>2005</v>
      </c>
      <c r="BJ22" s="527">
        <f t="shared" si="5"/>
        <v>2070</v>
      </c>
    </row>
    <row r="23" spans="1:62" s="2" customFormat="1" ht="11.25">
      <c r="A23" s="12"/>
      <c r="B23" s="20" t="s">
        <v>26</v>
      </c>
      <c r="C23" s="20"/>
      <c r="D23" s="20"/>
      <c r="E23" s="60">
        <v>21</v>
      </c>
      <c r="F23" s="97">
        <f>SKM!H24/1000</f>
        <v>0</v>
      </c>
      <c r="G23" s="192">
        <v>0</v>
      </c>
      <c r="H23" s="113">
        <v>0</v>
      </c>
      <c r="I23" s="55">
        <v>0</v>
      </c>
      <c r="J23" s="55">
        <v>0</v>
      </c>
      <c r="K23" s="114">
        <v>0</v>
      </c>
      <c r="L23" s="97">
        <f>SUKB!H24/1000</f>
        <v>0</v>
      </c>
      <c r="M23" s="501">
        <v>0</v>
      </c>
      <c r="N23" s="97">
        <f>UCT!H24/1000</f>
        <v>0</v>
      </c>
      <c r="O23" s="192">
        <v>0</v>
      </c>
      <c r="P23" s="114">
        <v>0</v>
      </c>
      <c r="Q23" s="97">
        <f>SPSSN!H24/1000</f>
        <v>0</v>
      </c>
      <c r="R23" s="192">
        <v>0</v>
      </c>
      <c r="S23" s="114">
        <v>0</v>
      </c>
      <c r="T23" s="97">
        <f>IBA!H24/1000</f>
        <v>0</v>
      </c>
      <c r="U23" s="501">
        <v>0</v>
      </c>
      <c r="V23" s="213">
        <v>0</v>
      </c>
      <c r="W23" s="113">
        <v>0</v>
      </c>
      <c r="X23" s="55">
        <v>0</v>
      </c>
      <c r="Y23" s="55">
        <v>0</v>
      </c>
      <c r="Z23" s="114">
        <v>0</v>
      </c>
      <c r="AA23" s="213">
        <f>ÚVT!H24/1000</f>
        <v>12068</v>
      </c>
      <c r="AB23" s="192">
        <v>12055</v>
      </c>
      <c r="AC23" s="113">
        <v>4984</v>
      </c>
      <c r="AD23" s="55">
        <v>121</v>
      </c>
      <c r="AE23" s="55">
        <v>182</v>
      </c>
      <c r="AF23" s="114">
        <v>271</v>
      </c>
      <c r="AG23" s="213">
        <f>VMU!H24/1000</f>
        <v>0</v>
      </c>
      <c r="AH23" s="192">
        <v>0</v>
      </c>
      <c r="AI23" s="113">
        <v>0</v>
      </c>
      <c r="AJ23" s="55">
        <v>0</v>
      </c>
      <c r="AK23" s="55">
        <v>0</v>
      </c>
      <c r="AL23" s="114">
        <v>0</v>
      </c>
      <c r="AM23" s="213">
        <f>CJV!H24/1000</f>
        <v>10.087</v>
      </c>
      <c r="AN23" s="192">
        <v>0</v>
      </c>
      <c r="AO23" s="113">
        <v>0</v>
      </c>
      <c r="AP23" s="55">
        <v>0</v>
      </c>
      <c r="AQ23" s="55">
        <v>0</v>
      </c>
      <c r="AR23" s="114">
        <v>0</v>
      </c>
      <c r="AS23" s="213">
        <f>CZS!H24/1000</f>
        <v>0</v>
      </c>
      <c r="AT23" s="192">
        <v>0</v>
      </c>
      <c r="AU23" s="113">
        <v>0</v>
      </c>
      <c r="AV23" s="55">
        <v>0</v>
      </c>
      <c r="AW23" s="55">
        <v>0</v>
      </c>
      <c r="AX23" s="114">
        <v>0</v>
      </c>
      <c r="AY23" s="213">
        <f>RMU!H24/1000</f>
        <v>100</v>
      </c>
      <c r="AZ23" s="192">
        <v>400</v>
      </c>
      <c r="BA23" s="113">
        <v>700</v>
      </c>
      <c r="BB23" s="55">
        <v>0</v>
      </c>
      <c r="BC23" s="55">
        <v>343</v>
      </c>
      <c r="BD23" s="114">
        <v>377</v>
      </c>
      <c r="BE23" s="213">
        <f t="shared" si="6"/>
        <v>12178.087</v>
      </c>
      <c r="BF23" s="537">
        <f t="shared" si="7"/>
        <v>12455</v>
      </c>
      <c r="BG23" s="537">
        <f t="shared" si="2"/>
        <v>5684</v>
      </c>
      <c r="BH23" s="537">
        <f t="shared" si="3"/>
        <v>121</v>
      </c>
      <c r="BI23" s="537">
        <f t="shared" si="4"/>
        <v>525</v>
      </c>
      <c r="BJ23" s="527">
        <f t="shared" si="5"/>
        <v>648</v>
      </c>
    </row>
    <row r="24" spans="1:62" s="2" customFormat="1" ht="11.25">
      <c r="A24" s="12"/>
      <c r="B24" s="20" t="s">
        <v>27</v>
      </c>
      <c r="C24" s="20"/>
      <c r="D24" s="20"/>
      <c r="E24" s="60">
        <v>22</v>
      </c>
      <c r="F24" s="97">
        <f>SKM!H25/1000</f>
        <v>0</v>
      </c>
      <c r="G24" s="192">
        <v>0</v>
      </c>
      <c r="H24" s="113">
        <v>0</v>
      </c>
      <c r="I24" s="55">
        <v>0</v>
      </c>
      <c r="J24" s="55">
        <v>0</v>
      </c>
      <c r="K24" s="114">
        <v>0</v>
      </c>
      <c r="L24" s="97">
        <f>SUKB!H25/1000</f>
        <v>0</v>
      </c>
      <c r="M24" s="501">
        <v>0</v>
      </c>
      <c r="N24" s="97">
        <f>UCT!H25/1000</f>
        <v>0</v>
      </c>
      <c r="O24" s="192">
        <v>0</v>
      </c>
      <c r="P24" s="114">
        <v>0</v>
      </c>
      <c r="Q24" s="97">
        <f>SPSSN!H25/1000</f>
        <v>0</v>
      </c>
      <c r="R24" s="192">
        <v>433.274</v>
      </c>
      <c r="S24" s="114">
        <v>0</v>
      </c>
      <c r="T24" s="97">
        <f>IBA!H25/1000</f>
        <v>0</v>
      </c>
      <c r="U24" s="501">
        <v>0</v>
      </c>
      <c r="V24" s="213">
        <v>0</v>
      </c>
      <c r="W24" s="113">
        <v>0</v>
      </c>
      <c r="X24" s="55">
        <v>0</v>
      </c>
      <c r="Y24" s="55">
        <v>190</v>
      </c>
      <c r="Z24" s="114">
        <v>56</v>
      </c>
      <c r="AA24" s="213">
        <f>ÚVT!H25/1000</f>
        <v>4094.96083</v>
      </c>
      <c r="AB24" s="192">
        <v>5330.06671</v>
      </c>
      <c r="AC24" s="113">
        <v>6395.81591</v>
      </c>
      <c r="AD24" s="55">
        <v>4923.29285</v>
      </c>
      <c r="AE24" s="55">
        <v>3343</v>
      </c>
      <c r="AF24" s="114">
        <v>938</v>
      </c>
      <c r="AG24" s="213">
        <f>VMU!H25/1000</f>
        <v>0</v>
      </c>
      <c r="AH24" s="192">
        <v>0</v>
      </c>
      <c r="AI24" s="113">
        <v>0</v>
      </c>
      <c r="AJ24" s="55">
        <v>0</v>
      </c>
      <c r="AK24" s="55">
        <v>0</v>
      </c>
      <c r="AL24" s="114">
        <v>0</v>
      </c>
      <c r="AM24" s="213">
        <f>CJV!H25/1000</f>
        <v>0</v>
      </c>
      <c r="AN24" s="192">
        <v>0</v>
      </c>
      <c r="AO24" s="113">
        <v>0</v>
      </c>
      <c r="AP24" s="55">
        <v>0</v>
      </c>
      <c r="AQ24" s="55">
        <v>0</v>
      </c>
      <c r="AR24" s="114">
        <v>0</v>
      </c>
      <c r="AS24" s="213">
        <f>CZS!H25/1000</f>
        <v>0</v>
      </c>
      <c r="AT24" s="192">
        <v>0</v>
      </c>
      <c r="AU24" s="113">
        <v>0</v>
      </c>
      <c r="AV24" s="55">
        <v>0</v>
      </c>
      <c r="AW24" s="55">
        <v>0</v>
      </c>
      <c r="AX24" s="114">
        <v>0</v>
      </c>
      <c r="AY24" s="213">
        <f>RMU!H25/1000</f>
        <v>0</v>
      </c>
      <c r="AZ24" s="192">
        <v>0</v>
      </c>
      <c r="BA24" s="113">
        <v>0</v>
      </c>
      <c r="BB24" s="55">
        <v>0</v>
      </c>
      <c r="BC24" s="55">
        <v>0</v>
      </c>
      <c r="BD24" s="114">
        <v>0</v>
      </c>
      <c r="BE24" s="213">
        <f t="shared" si="6"/>
        <v>4094.96083</v>
      </c>
      <c r="BF24" s="537">
        <f t="shared" si="7"/>
        <v>5763.34071</v>
      </c>
      <c r="BG24" s="537">
        <f t="shared" si="2"/>
        <v>6395.81591</v>
      </c>
      <c r="BH24" s="537">
        <f t="shared" si="3"/>
        <v>4923.29285</v>
      </c>
      <c r="BI24" s="537">
        <f t="shared" si="4"/>
        <v>3533</v>
      </c>
      <c r="BJ24" s="527">
        <f t="shared" si="5"/>
        <v>994</v>
      </c>
    </row>
    <row r="25" spans="1:62" s="2" customFormat="1" ht="12" thickBot="1">
      <c r="A25" s="12"/>
      <c r="B25" s="20" t="s">
        <v>30</v>
      </c>
      <c r="C25" s="20"/>
      <c r="D25" s="20"/>
      <c r="E25" s="60">
        <v>23</v>
      </c>
      <c r="F25" s="97">
        <f>SKM!H26/1000</f>
        <v>24657.553780000002</v>
      </c>
      <c r="G25" s="192">
        <v>22854.3543</v>
      </c>
      <c r="H25" s="113">
        <v>20547.07466</v>
      </c>
      <c r="I25" s="55">
        <v>18288.35509</v>
      </c>
      <c r="J25" s="55">
        <v>16195</v>
      </c>
      <c r="K25" s="114">
        <v>17370</v>
      </c>
      <c r="L25" s="97">
        <f>SUKB!H26/1000</f>
        <v>0</v>
      </c>
      <c r="M25" s="160">
        <v>0</v>
      </c>
      <c r="N25" s="97">
        <f>UCT!H26/1000</f>
        <v>0</v>
      </c>
      <c r="O25" s="192">
        <v>0</v>
      </c>
      <c r="P25" s="18">
        <v>0</v>
      </c>
      <c r="Q25" s="97">
        <f>SPSSN!H26/1000</f>
        <v>0</v>
      </c>
      <c r="R25" s="192">
        <v>0</v>
      </c>
      <c r="S25" s="18">
        <v>0</v>
      </c>
      <c r="T25" s="97">
        <f>IBA!H26/1000</f>
        <v>5369.853190000001</v>
      </c>
      <c r="U25" s="160">
        <v>0</v>
      </c>
      <c r="V25" s="213">
        <v>61.89425</v>
      </c>
      <c r="W25" s="113">
        <v>1413.70785</v>
      </c>
      <c r="X25" s="55">
        <v>982.54191</v>
      </c>
      <c r="Y25" s="55">
        <v>1162</v>
      </c>
      <c r="Z25" s="114">
        <v>2326</v>
      </c>
      <c r="AA25" s="213">
        <f>ÚVT!H26/1000</f>
        <v>18740.373620000002</v>
      </c>
      <c r="AB25" s="192">
        <v>16151.49636</v>
      </c>
      <c r="AC25" s="113">
        <v>14667.270359999999</v>
      </c>
      <c r="AD25" s="55">
        <v>7798.45285</v>
      </c>
      <c r="AE25" s="55">
        <v>8357</v>
      </c>
      <c r="AF25" s="114">
        <v>7119</v>
      </c>
      <c r="AG25" s="213">
        <f>VMU!H26/1000</f>
        <v>841.36635</v>
      </c>
      <c r="AH25" s="192">
        <v>1171.36949</v>
      </c>
      <c r="AI25" s="113">
        <v>1098.7691499999999</v>
      </c>
      <c r="AJ25" s="55">
        <v>594.83315</v>
      </c>
      <c r="AK25" s="55">
        <v>792</v>
      </c>
      <c r="AL25" s="114">
        <v>0</v>
      </c>
      <c r="AM25" s="213">
        <f>CJV!H26/1000</f>
        <v>0</v>
      </c>
      <c r="AN25" s="192">
        <v>0</v>
      </c>
      <c r="AO25" s="113">
        <v>0</v>
      </c>
      <c r="AP25" s="55">
        <v>0</v>
      </c>
      <c r="AQ25" s="55">
        <v>0</v>
      </c>
      <c r="AR25" s="114">
        <v>22</v>
      </c>
      <c r="AS25" s="213">
        <f>CZS!H26/1000</f>
        <v>0</v>
      </c>
      <c r="AT25" s="192">
        <v>0</v>
      </c>
      <c r="AU25" s="113">
        <v>0</v>
      </c>
      <c r="AV25" s="55">
        <v>0</v>
      </c>
      <c r="AW25" s="55">
        <v>0</v>
      </c>
      <c r="AX25" s="114">
        <v>0</v>
      </c>
      <c r="AY25" s="213">
        <f>RMU!H26/1000</f>
        <v>1518.07478</v>
      </c>
      <c r="AZ25" s="192">
        <v>1749.98251</v>
      </c>
      <c r="BA25" s="113">
        <v>1807.45083</v>
      </c>
      <c r="BB25" s="55">
        <v>1532.0447</v>
      </c>
      <c r="BC25" s="55">
        <v>1829</v>
      </c>
      <c r="BD25" s="114">
        <v>1443</v>
      </c>
      <c r="BE25" s="213">
        <f t="shared" si="6"/>
        <v>51127.22172000001</v>
      </c>
      <c r="BF25" s="537">
        <f t="shared" si="7"/>
        <v>41989.09691</v>
      </c>
      <c r="BG25" s="537">
        <f t="shared" si="2"/>
        <v>39534.27285</v>
      </c>
      <c r="BH25" s="537">
        <f t="shared" si="3"/>
        <v>29196.227699999996</v>
      </c>
      <c r="BI25" s="537">
        <f t="shared" si="4"/>
        <v>28335</v>
      </c>
      <c r="BJ25" s="527">
        <f t="shared" si="5"/>
        <v>28280</v>
      </c>
    </row>
    <row r="26" spans="1:62" s="2" customFormat="1" ht="12" thickBot="1">
      <c r="A26" s="117" t="s">
        <v>34</v>
      </c>
      <c r="B26" s="118"/>
      <c r="C26" s="118"/>
      <c r="D26" s="118"/>
      <c r="E26" s="127">
        <v>24</v>
      </c>
      <c r="F26" s="119">
        <f>SUM(F27:F41)</f>
        <v>155220.33462</v>
      </c>
      <c r="G26" s="121">
        <f>SUM(G27:G41)</f>
        <v>157192.73763000002</v>
      </c>
      <c r="H26" s="120">
        <f aca="true" t="shared" si="8" ref="H26:AF26">SUM(H27:H41)</f>
        <v>158442.17839</v>
      </c>
      <c r="I26" s="121">
        <f t="shared" si="8"/>
        <v>147505.09717999998</v>
      </c>
      <c r="J26" s="121">
        <f t="shared" si="8"/>
        <v>143385</v>
      </c>
      <c r="K26" s="122">
        <f t="shared" si="8"/>
        <v>136577</v>
      </c>
      <c r="L26" s="119">
        <f>SUM(L27:L41)</f>
        <v>14605.4555</v>
      </c>
      <c r="M26" s="197">
        <f>SUM(M27:M41)</f>
        <v>0</v>
      </c>
      <c r="N26" s="119">
        <f>SUM(N27:N41)</f>
        <v>4959.56799</v>
      </c>
      <c r="O26" s="121">
        <f>SUM(O27:O41)</f>
        <v>3229.53875</v>
      </c>
      <c r="P26" s="197">
        <f t="shared" si="8"/>
        <v>0</v>
      </c>
      <c r="Q26" s="119">
        <f>SUM(Q27:Q41)</f>
        <v>15715.75473</v>
      </c>
      <c r="R26" s="121">
        <v>10760.54193</v>
      </c>
      <c r="S26" s="197">
        <f t="shared" si="8"/>
        <v>0</v>
      </c>
      <c r="T26" s="119">
        <f>SUM(T27:T41)</f>
        <v>35148.964349999995</v>
      </c>
      <c r="U26" s="197">
        <f>SUM(U27:U41)</f>
        <v>0</v>
      </c>
      <c r="V26" s="119">
        <f>SUM(V27:V41)</f>
        <v>7211.585730000001</v>
      </c>
      <c r="W26" s="120">
        <f t="shared" si="8"/>
        <v>17055.11265</v>
      </c>
      <c r="X26" s="121">
        <f t="shared" si="8"/>
        <v>11109.344799999999</v>
      </c>
      <c r="Y26" s="121">
        <f t="shared" si="8"/>
        <v>15532</v>
      </c>
      <c r="Z26" s="122">
        <f t="shared" si="8"/>
        <v>11873</v>
      </c>
      <c r="AA26" s="119">
        <f>SUM(AA27:AA41)</f>
        <v>190570.43438</v>
      </c>
      <c r="AB26" s="121">
        <f>SUM(AB27:AB41)</f>
        <v>155837.39564</v>
      </c>
      <c r="AC26" s="120">
        <f t="shared" si="8"/>
        <v>131101.49981</v>
      </c>
      <c r="AD26" s="121">
        <f t="shared" si="8"/>
        <v>131293.65553</v>
      </c>
      <c r="AE26" s="121">
        <f t="shared" si="8"/>
        <v>76759</v>
      </c>
      <c r="AF26" s="122">
        <f t="shared" si="8"/>
        <v>59903</v>
      </c>
      <c r="AG26" s="119">
        <f>SUM(AG27:AG41)</f>
        <v>1041.9121300000002</v>
      </c>
      <c r="AH26" s="121">
        <f>SUM(AH27:AH41)</f>
        <v>1435.7801000000002</v>
      </c>
      <c r="AI26" s="120">
        <f aca="true" t="shared" si="9" ref="AI26:BD26">SUM(AI27:AI41)</f>
        <v>1142.2782399999999</v>
      </c>
      <c r="AJ26" s="121">
        <f t="shared" si="9"/>
        <v>912.4035099999999</v>
      </c>
      <c r="AK26" s="121">
        <f t="shared" si="9"/>
        <v>6016</v>
      </c>
      <c r="AL26" s="122">
        <f t="shared" si="9"/>
        <v>5816</v>
      </c>
      <c r="AM26" s="119">
        <f>SUM(AM27:AM41)</f>
        <v>27943.90103</v>
      </c>
      <c r="AN26" s="121">
        <f>SUM(AN27:AN41)</f>
        <v>21298.653769999997</v>
      </c>
      <c r="AO26" s="120">
        <f t="shared" si="9"/>
        <v>20104.97381</v>
      </c>
      <c r="AP26" s="121">
        <f t="shared" si="9"/>
        <v>17982.6929</v>
      </c>
      <c r="AQ26" s="121">
        <f t="shared" si="9"/>
        <v>15980</v>
      </c>
      <c r="AR26" s="122">
        <f t="shared" si="9"/>
        <v>12822</v>
      </c>
      <c r="AS26" s="119">
        <f>SUM(AS27:AS41)</f>
        <v>59525.2272</v>
      </c>
      <c r="AT26" s="121">
        <f>SUM(AT27:AT41)</f>
        <v>50078.7878</v>
      </c>
      <c r="AU26" s="120">
        <f t="shared" si="9"/>
        <v>44503.12228</v>
      </c>
      <c r="AV26" s="121">
        <f t="shared" si="9"/>
        <v>36695.59019</v>
      </c>
      <c r="AW26" s="121">
        <f t="shared" si="9"/>
        <v>37715</v>
      </c>
      <c r="AX26" s="122">
        <f t="shared" si="9"/>
        <v>30839</v>
      </c>
      <c r="AY26" s="119">
        <f>RMU!H27/1000</f>
        <v>360836.69675999996</v>
      </c>
      <c r="AZ26" s="121">
        <f>SUM(AZ27:AZ41)</f>
        <v>221237.85597999996</v>
      </c>
      <c r="BA26" s="120">
        <f t="shared" si="9"/>
        <v>196879.71172</v>
      </c>
      <c r="BB26" s="121">
        <f t="shared" si="9"/>
        <v>228443.73763000002</v>
      </c>
      <c r="BC26" s="121">
        <f t="shared" si="9"/>
        <v>251552</v>
      </c>
      <c r="BD26" s="122">
        <f t="shared" si="9"/>
        <v>266743</v>
      </c>
      <c r="BE26" s="119">
        <f aca="true" t="shared" si="10" ref="BE26:BJ26">SUM(BE27:BE41)</f>
        <v>865568.2486900003</v>
      </c>
      <c r="BF26" s="538">
        <f t="shared" si="10"/>
        <v>628282.87733</v>
      </c>
      <c r="BG26" s="538">
        <f t="shared" si="10"/>
        <v>569228.8768999999</v>
      </c>
      <c r="BH26" s="538">
        <f t="shared" si="10"/>
        <v>573942.52174</v>
      </c>
      <c r="BI26" s="538">
        <f t="shared" si="10"/>
        <v>546939</v>
      </c>
      <c r="BJ26" s="528">
        <f t="shared" si="10"/>
        <v>524573</v>
      </c>
    </row>
    <row r="27" spans="1:62" s="2" customFormat="1" ht="11.25">
      <c r="A27" s="12" t="s">
        <v>125</v>
      </c>
      <c r="B27" s="21" t="s">
        <v>23</v>
      </c>
      <c r="C27" s="21"/>
      <c r="D27" s="21"/>
      <c r="E27" s="60">
        <v>25</v>
      </c>
      <c r="F27" s="97">
        <f>SKM!H28/1000</f>
        <v>0</v>
      </c>
      <c r="G27" s="192">
        <v>0</v>
      </c>
      <c r="H27" s="175">
        <v>7118</v>
      </c>
      <c r="I27" s="176">
        <v>0</v>
      </c>
      <c r="J27" s="176">
        <v>0</v>
      </c>
      <c r="K27" s="177">
        <v>0</v>
      </c>
      <c r="L27" s="97">
        <f>SUKB!H28/1000</f>
        <v>0</v>
      </c>
      <c r="M27" s="501">
        <v>0</v>
      </c>
      <c r="N27" s="97">
        <f>UCT!H28/1000</f>
        <v>3895</v>
      </c>
      <c r="O27" s="192">
        <v>2345</v>
      </c>
      <c r="P27" s="114">
        <v>0</v>
      </c>
      <c r="Q27" s="97">
        <f>SPSSN!H28/1000</f>
        <v>2040</v>
      </c>
      <c r="R27" s="192">
        <v>1909.359</v>
      </c>
      <c r="S27" s="114">
        <v>0</v>
      </c>
      <c r="T27" s="97">
        <f>IBA!H28/1000</f>
        <v>0</v>
      </c>
      <c r="U27" s="501">
        <v>0</v>
      </c>
      <c r="V27" s="213">
        <v>285.87776</v>
      </c>
      <c r="W27" s="175">
        <v>881</v>
      </c>
      <c r="X27" s="176">
        <v>0</v>
      </c>
      <c r="Y27" s="176">
        <v>0</v>
      </c>
      <c r="Z27" s="177">
        <v>0</v>
      </c>
      <c r="AA27" s="213">
        <f>ÚVT!H28/1000</f>
        <v>116968</v>
      </c>
      <c r="AB27" s="192">
        <v>101035</v>
      </c>
      <c r="AC27" s="175">
        <v>96843</v>
      </c>
      <c r="AD27" s="176">
        <v>71234</v>
      </c>
      <c r="AE27" s="176">
        <v>52307</v>
      </c>
      <c r="AF27" s="177">
        <v>41115</v>
      </c>
      <c r="AG27" s="213">
        <f>VMU!H28/1000</f>
        <v>0</v>
      </c>
      <c r="AH27" s="192">
        <v>0</v>
      </c>
      <c r="AI27" s="175">
        <f>VMU!K28/1000</f>
        <v>0</v>
      </c>
      <c r="AJ27" s="176">
        <v>0</v>
      </c>
      <c r="AK27" s="176">
        <v>0</v>
      </c>
      <c r="AL27" s="114">
        <v>0</v>
      </c>
      <c r="AM27" s="213">
        <f>CJV!H28/1000</f>
        <v>22810</v>
      </c>
      <c r="AN27" s="192">
        <v>19451.1</v>
      </c>
      <c r="AO27" s="175">
        <v>18072</v>
      </c>
      <c r="AP27" s="176">
        <v>16080</v>
      </c>
      <c r="AQ27" s="176">
        <v>14385</v>
      </c>
      <c r="AR27" s="177">
        <v>12436</v>
      </c>
      <c r="AS27" s="213">
        <f>CZS!H28/1000</f>
        <v>7524</v>
      </c>
      <c r="AT27" s="192">
        <v>6109.9</v>
      </c>
      <c r="AU27" s="175">
        <v>6124</v>
      </c>
      <c r="AV27" s="176">
        <v>5280</v>
      </c>
      <c r="AW27" s="176">
        <v>4500</v>
      </c>
      <c r="AX27" s="177">
        <v>3720</v>
      </c>
      <c r="AY27" s="213">
        <f>RMU!H28/1000</f>
        <v>196978.6645</v>
      </c>
      <c r="AZ27" s="192">
        <v>167807.44707</v>
      </c>
      <c r="BA27" s="175">
        <v>114857</v>
      </c>
      <c r="BB27" s="176">
        <v>198834.939</v>
      </c>
      <c r="BC27" s="176">
        <v>177632</v>
      </c>
      <c r="BD27" s="114">
        <v>133702</v>
      </c>
      <c r="BE27" s="213">
        <f t="shared" si="6"/>
        <v>350215.6645</v>
      </c>
      <c r="BF27" s="537">
        <f t="shared" si="7"/>
        <v>298943.68383</v>
      </c>
      <c r="BG27" s="537">
        <f aca="true" t="shared" si="11" ref="BG27:BG41">H27+P27+S27+W27+AC27+AI27+AO27+AU27+BA27</f>
        <v>243895</v>
      </c>
      <c r="BH27" s="537">
        <f aca="true" t="shared" si="12" ref="BH27:BH41">I27+X27+AD27+AJ27+AP27+AV27+BB27</f>
        <v>291428.939</v>
      </c>
      <c r="BI27" s="537">
        <f aca="true" t="shared" si="13" ref="BI27:BI41">J27+Y27+AE27+AK27+AQ27+AW27+BC27</f>
        <v>248824</v>
      </c>
      <c r="BJ27" s="527">
        <f aca="true" t="shared" si="14" ref="BJ27:BJ41">K27+Z27+AF27+AL27+AR27+AX27+BD27</f>
        <v>190973</v>
      </c>
    </row>
    <row r="28" spans="1:62" s="2" customFormat="1" ht="11.25">
      <c r="A28" s="12"/>
      <c r="B28" s="20" t="s">
        <v>14</v>
      </c>
      <c r="C28" s="20"/>
      <c r="D28" s="20"/>
      <c r="E28" s="60">
        <v>26</v>
      </c>
      <c r="F28" s="97">
        <f>SKM!H29/1000</f>
        <v>0</v>
      </c>
      <c r="G28" s="192">
        <v>0</v>
      </c>
      <c r="H28" s="113">
        <v>0</v>
      </c>
      <c r="I28" s="55">
        <v>0</v>
      </c>
      <c r="J28" s="55">
        <v>0</v>
      </c>
      <c r="K28" s="114">
        <v>0</v>
      </c>
      <c r="L28" s="97">
        <f>SUKB!H29/1000</f>
        <v>0</v>
      </c>
      <c r="M28" s="501">
        <v>0</v>
      </c>
      <c r="N28" s="97">
        <f>UCT!H29/1000</f>
        <v>0</v>
      </c>
      <c r="O28" s="192">
        <v>0</v>
      </c>
      <c r="P28" s="114">
        <v>0</v>
      </c>
      <c r="Q28" s="97">
        <f>SPSSN!H29/1000</f>
        <v>0</v>
      </c>
      <c r="R28" s="192">
        <v>0</v>
      </c>
      <c r="S28" s="114">
        <v>0</v>
      </c>
      <c r="T28" s="97">
        <f>IBA!H29/1000</f>
        <v>0</v>
      </c>
      <c r="U28" s="501">
        <v>0</v>
      </c>
      <c r="V28" s="213">
        <v>0</v>
      </c>
      <c r="W28" s="113">
        <v>0</v>
      </c>
      <c r="X28" s="55">
        <v>0</v>
      </c>
      <c r="Y28" s="55">
        <v>0</v>
      </c>
      <c r="Z28" s="114">
        <v>0</v>
      </c>
      <c r="AA28" s="213">
        <f>ÚVT!H29/1000</f>
        <v>0</v>
      </c>
      <c r="AB28" s="192">
        <v>0</v>
      </c>
      <c r="AC28" s="113">
        <v>0</v>
      </c>
      <c r="AD28" s="55">
        <v>0</v>
      </c>
      <c r="AE28" s="55">
        <v>0</v>
      </c>
      <c r="AF28" s="114">
        <v>0</v>
      </c>
      <c r="AG28" s="213">
        <f>VMU!H29/1000</f>
        <v>0</v>
      </c>
      <c r="AH28" s="192">
        <v>0</v>
      </c>
      <c r="AI28" s="113">
        <v>0</v>
      </c>
      <c r="AJ28" s="55">
        <v>0</v>
      </c>
      <c r="AK28" s="55">
        <v>0</v>
      </c>
      <c r="AL28" s="114">
        <v>0</v>
      </c>
      <c r="AM28" s="213">
        <f>CJV!H29/1000</f>
        <v>0</v>
      </c>
      <c r="AN28" s="192">
        <v>0</v>
      </c>
      <c r="AO28" s="175">
        <v>0</v>
      </c>
      <c r="AP28" s="176">
        <v>0</v>
      </c>
      <c r="AQ28" s="176">
        <v>0</v>
      </c>
      <c r="AR28" s="177">
        <v>0</v>
      </c>
      <c r="AS28" s="213">
        <f>CZS!H29/1000</f>
        <v>0</v>
      </c>
      <c r="AT28" s="192">
        <v>0</v>
      </c>
      <c r="AU28" s="175">
        <v>0</v>
      </c>
      <c r="AV28" s="176">
        <v>0</v>
      </c>
      <c r="AW28" s="176">
        <v>0</v>
      </c>
      <c r="AX28" s="177">
        <v>0</v>
      </c>
      <c r="AY28" s="213">
        <f>RMU!H29/1000</f>
        <v>0</v>
      </c>
      <c r="AZ28" s="192">
        <v>0</v>
      </c>
      <c r="BA28" s="175">
        <v>0</v>
      </c>
      <c r="BB28" s="176">
        <v>0</v>
      </c>
      <c r="BC28" s="176">
        <v>0</v>
      </c>
      <c r="BD28" s="114">
        <v>0</v>
      </c>
      <c r="BE28" s="213">
        <f t="shared" si="6"/>
        <v>0</v>
      </c>
      <c r="BF28" s="537">
        <f t="shared" si="7"/>
        <v>0</v>
      </c>
      <c r="BG28" s="537">
        <f t="shared" si="11"/>
        <v>0</v>
      </c>
      <c r="BH28" s="537">
        <f t="shared" si="12"/>
        <v>0</v>
      </c>
      <c r="BI28" s="537">
        <f t="shared" si="13"/>
        <v>0</v>
      </c>
      <c r="BJ28" s="527">
        <f t="shared" si="14"/>
        <v>0</v>
      </c>
    </row>
    <row r="29" spans="1:62" s="2" customFormat="1" ht="11.25">
      <c r="A29" s="12"/>
      <c r="B29" s="20" t="s">
        <v>15</v>
      </c>
      <c r="C29" s="20"/>
      <c r="D29" s="20"/>
      <c r="E29" s="60">
        <v>27</v>
      </c>
      <c r="F29" s="97">
        <f>SKM!H30/1000</f>
        <v>731</v>
      </c>
      <c r="G29" s="192">
        <v>732</v>
      </c>
      <c r="H29" s="113">
        <v>709.09</v>
      </c>
      <c r="I29" s="55">
        <v>882</v>
      </c>
      <c r="J29" s="55">
        <v>1094</v>
      </c>
      <c r="K29" s="114">
        <v>853</v>
      </c>
      <c r="L29" s="97">
        <f>SUKB!H30/1000</f>
        <v>0</v>
      </c>
      <c r="M29" s="501">
        <v>0</v>
      </c>
      <c r="N29" s="97">
        <f>UCT!H30/1000</f>
        <v>0</v>
      </c>
      <c r="O29" s="192">
        <v>0</v>
      </c>
      <c r="P29" s="114">
        <v>0</v>
      </c>
      <c r="Q29" s="97">
        <f>SPSSN!H30/1000</f>
        <v>0</v>
      </c>
      <c r="R29" s="192">
        <v>0</v>
      </c>
      <c r="S29" s="114">
        <v>0</v>
      </c>
      <c r="T29" s="97">
        <f>IBA!H30/1000</f>
        <v>0</v>
      </c>
      <c r="U29" s="501">
        <v>0</v>
      </c>
      <c r="V29" s="213">
        <v>0</v>
      </c>
      <c r="W29" s="113">
        <v>0</v>
      </c>
      <c r="X29" s="55">
        <v>0</v>
      </c>
      <c r="Y29" s="55">
        <v>0</v>
      </c>
      <c r="Z29" s="114">
        <v>0</v>
      </c>
      <c r="AA29" s="213">
        <f>ÚVT!H30/1000</f>
        <v>0</v>
      </c>
      <c r="AB29" s="192">
        <v>0</v>
      </c>
      <c r="AC29" s="113">
        <v>0</v>
      </c>
      <c r="AD29" s="55">
        <v>0</v>
      </c>
      <c r="AE29" s="55">
        <v>0</v>
      </c>
      <c r="AF29" s="114">
        <v>0</v>
      </c>
      <c r="AG29" s="213">
        <f>VMU!H30/1000</f>
        <v>0</v>
      </c>
      <c r="AH29" s="192">
        <v>0</v>
      </c>
      <c r="AI29" s="113">
        <v>0</v>
      </c>
      <c r="AJ29" s="55">
        <v>0</v>
      </c>
      <c r="AK29" s="55">
        <v>0</v>
      </c>
      <c r="AL29" s="114">
        <v>0</v>
      </c>
      <c r="AM29" s="213">
        <f>CJV!H30/1000</f>
        <v>0</v>
      </c>
      <c r="AN29" s="192">
        <v>0</v>
      </c>
      <c r="AO29" s="113">
        <v>0</v>
      </c>
      <c r="AP29" s="55">
        <v>0</v>
      </c>
      <c r="AQ29" s="55">
        <v>0</v>
      </c>
      <c r="AR29" s="114">
        <v>0</v>
      </c>
      <c r="AS29" s="213">
        <f>CZS!H30/1000</f>
        <v>25126.890760000002</v>
      </c>
      <c r="AT29" s="192">
        <v>21999.5</v>
      </c>
      <c r="AU29" s="113">
        <v>23223.683</v>
      </c>
      <c r="AV29" s="55">
        <v>21144.21043</v>
      </c>
      <c r="AW29" s="55">
        <v>20294</v>
      </c>
      <c r="AX29" s="114">
        <v>15805</v>
      </c>
      <c r="AY29" s="213">
        <f>RMU!H30/1000</f>
        <v>0</v>
      </c>
      <c r="AZ29" s="192">
        <v>0</v>
      </c>
      <c r="BA29" s="113">
        <v>0</v>
      </c>
      <c r="BB29" s="55">
        <v>0</v>
      </c>
      <c r="BC29" s="55">
        <v>0</v>
      </c>
      <c r="BD29" s="114">
        <v>0</v>
      </c>
      <c r="BE29" s="213">
        <f t="shared" si="6"/>
        <v>25857.890760000002</v>
      </c>
      <c r="BF29" s="537">
        <f t="shared" si="7"/>
        <v>22731.5</v>
      </c>
      <c r="BG29" s="537">
        <f t="shared" si="11"/>
        <v>23932.773</v>
      </c>
      <c r="BH29" s="537">
        <f t="shared" si="12"/>
        <v>22026.21043</v>
      </c>
      <c r="BI29" s="537">
        <f t="shared" si="13"/>
        <v>21388</v>
      </c>
      <c r="BJ29" s="527">
        <f t="shared" si="14"/>
        <v>16658</v>
      </c>
    </row>
    <row r="30" spans="1:62" s="2" customFormat="1" ht="11.25">
      <c r="A30" s="12"/>
      <c r="B30" s="20" t="s">
        <v>20</v>
      </c>
      <c r="C30" s="21"/>
      <c r="D30" s="21"/>
      <c r="E30" s="60">
        <v>28</v>
      </c>
      <c r="F30" s="97">
        <f>SKM!H31/1000</f>
        <v>0</v>
      </c>
      <c r="G30" s="192">
        <v>0</v>
      </c>
      <c r="H30" s="113">
        <v>0</v>
      </c>
      <c r="I30" s="55">
        <v>0</v>
      </c>
      <c r="J30" s="55">
        <v>0</v>
      </c>
      <c r="K30" s="114">
        <v>0</v>
      </c>
      <c r="L30" s="97">
        <f>SUKB!H31/1000</f>
        <v>0</v>
      </c>
      <c r="M30" s="501">
        <v>0</v>
      </c>
      <c r="N30" s="97">
        <f>UCT!H31/1000</f>
        <v>0</v>
      </c>
      <c r="O30" s="192">
        <v>0</v>
      </c>
      <c r="P30" s="114">
        <v>0</v>
      </c>
      <c r="Q30" s="97">
        <f>SPSSN!H31/1000</f>
        <v>8120</v>
      </c>
      <c r="R30" s="192">
        <v>6519.138980000001</v>
      </c>
      <c r="S30" s="114">
        <v>0</v>
      </c>
      <c r="T30" s="97">
        <f>IBA!H31/1000</f>
        <v>0</v>
      </c>
      <c r="U30" s="501">
        <v>0</v>
      </c>
      <c r="V30" s="213">
        <v>984.46455</v>
      </c>
      <c r="W30" s="113">
        <v>5914.75501</v>
      </c>
      <c r="X30" s="55">
        <v>3500</v>
      </c>
      <c r="Y30" s="55">
        <v>3746</v>
      </c>
      <c r="Z30" s="114">
        <v>4115</v>
      </c>
      <c r="AA30" s="213">
        <f>ÚVT!H31/1000</f>
        <v>15907.63974</v>
      </c>
      <c r="AB30" s="192">
        <v>5710.6648</v>
      </c>
      <c r="AC30" s="113">
        <v>450</v>
      </c>
      <c r="AD30" s="55">
        <v>35458</v>
      </c>
      <c r="AE30" s="55">
        <v>1145</v>
      </c>
      <c r="AF30" s="114">
        <v>700</v>
      </c>
      <c r="AG30" s="213">
        <f>VMU!H31/1000</f>
        <v>0</v>
      </c>
      <c r="AH30" s="192">
        <v>0</v>
      </c>
      <c r="AI30" s="113">
        <v>0</v>
      </c>
      <c r="AJ30" s="55">
        <v>0</v>
      </c>
      <c r="AK30" s="55">
        <v>0</v>
      </c>
      <c r="AL30" s="114">
        <v>0</v>
      </c>
      <c r="AM30" s="213">
        <f>CJV!H31/1000</f>
        <v>2223.095</v>
      </c>
      <c r="AN30" s="192">
        <v>1386.97996</v>
      </c>
      <c r="AO30" s="113">
        <v>890</v>
      </c>
      <c r="AP30" s="55">
        <v>799.997</v>
      </c>
      <c r="AQ30" s="55">
        <v>880</v>
      </c>
      <c r="AR30" s="114">
        <v>0</v>
      </c>
      <c r="AS30" s="213">
        <f>CZS!H31/1000</f>
        <v>4800</v>
      </c>
      <c r="AT30" s="192">
        <v>3400</v>
      </c>
      <c r="AU30" s="113">
        <v>4634.5742900000005</v>
      </c>
      <c r="AV30" s="55">
        <v>3038.0701200000003</v>
      </c>
      <c r="AW30" s="55">
        <v>2067</v>
      </c>
      <c r="AX30" s="114">
        <v>60</v>
      </c>
      <c r="AY30" s="213">
        <f>RMU!H31/1000</f>
        <v>10613.46867</v>
      </c>
      <c r="AZ30" s="192">
        <v>1618.25164</v>
      </c>
      <c r="BA30" s="113">
        <v>6049.5</v>
      </c>
      <c r="BB30" s="55">
        <v>3470</v>
      </c>
      <c r="BC30" s="55">
        <v>16385</v>
      </c>
      <c r="BD30" s="114">
        <v>28032</v>
      </c>
      <c r="BE30" s="213">
        <f t="shared" si="6"/>
        <v>41664.20341</v>
      </c>
      <c r="BF30" s="537">
        <f t="shared" si="7"/>
        <v>19619.499929999998</v>
      </c>
      <c r="BG30" s="537">
        <f t="shared" si="11"/>
        <v>17938.8293</v>
      </c>
      <c r="BH30" s="537">
        <f t="shared" si="12"/>
        <v>46266.06712000001</v>
      </c>
      <c r="BI30" s="537">
        <f t="shared" si="13"/>
        <v>24223</v>
      </c>
      <c r="BJ30" s="527">
        <f t="shared" si="14"/>
        <v>32907</v>
      </c>
    </row>
    <row r="31" spans="1:62" s="2" customFormat="1" ht="11.25">
      <c r="A31" s="12"/>
      <c r="B31" s="20" t="s">
        <v>16</v>
      </c>
      <c r="C31" s="20"/>
      <c r="D31" s="20"/>
      <c r="E31" s="60">
        <v>29</v>
      </c>
      <c r="F31" s="97">
        <f>SKM!H32/1000</f>
        <v>0</v>
      </c>
      <c r="G31" s="192">
        <v>0</v>
      </c>
      <c r="H31" s="113">
        <v>0</v>
      </c>
      <c r="I31" s="55">
        <v>0</v>
      </c>
      <c r="J31" s="55">
        <v>0</v>
      </c>
      <c r="K31" s="114">
        <v>0</v>
      </c>
      <c r="L31" s="97">
        <f>SUKB!H32/1000</f>
        <v>0</v>
      </c>
      <c r="M31" s="501">
        <v>0</v>
      </c>
      <c r="N31" s="97">
        <f>UCT!H32/1000</f>
        <v>0</v>
      </c>
      <c r="O31" s="192">
        <v>0</v>
      </c>
      <c r="P31" s="114">
        <v>0</v>
      </c>
      <c r="Q31" s="97">
        <f>SPSSN!H32/1000</f>
        <v>0</v>
      </c>
      <c r="R31" s="192">
        <v>248</v>
      </c>
      <c r="S31" s="114">
        <v>0</v>
      </c>
      <c r="T31" s="97">
        <f>IBA!H32/1000</f>
        <v>0</v>
      </c>
      <c r="U31" s="501">
        <v>0</v>
      </c>
      <c r="V31" s="213">
        <v>0</v>
      </c>
      <c r="W31" s="113">
        <v>0</v>
      </c>
      <c r="X31" s="55">
        <v>0</v>
      </c>
      <c r="Y31" s="55">
        <v>0</v>
      </c>
      <c r="Z31" s="114">
        <v>0</v>
      </c>
      <c r="AA31" s="213">
        <f>ÚVT!H32/1000</f>
        <v>0</v>
      </c>
      <c r="AB31" s="192">
        <v>0</v>
      </c>
      <c r="AC31" s="113">
        <v>525</v>
      </c>
      <c r="AD31" s="55">
        <v>0</v>
      </c>
      <c r="AE31" s="55">
        <v>0</v>
      </c>
      <c r="AF31" s="114">
        <v>296</v>
      </c>
      <c r="AG31" s="213">
        <f>VMU!H32/1000</f>
        <v>0</v>
      </c>
      <c r="AH31" s="192">
        <v>0</v>
      </c>
      <c r="AI31" s="113">
        <v>0</v>
      </c>
      <c r="AJ31" s="55">
        <v>0</v>
      </c>
      <c r="AK31" s="55">
        <v>0</v>
      </c>
      <c r="AL31" s="114">
        <v>0</v>
      </c>
      <c r="AM31" s="213">
        <f>CJV!H32/1000</f>
        <v>0</v>
      </c>
      <c r="AN31" s="192">
        <v>0</v>
      </c>
      <c r="AO31" s="113">
        <v>0</v>
      </c>
      <c r="AP31" s="55">
        <v>0</v>
      </c>
      <c r="AQ31" s="55">
        <v>0</v>
      </c>
      <c r="AR31" s="114">
        <v>0</v>
      </c>
      <c r="AS31" s="213">
        <f>CZS!H32/1000</f>
        <v>0</v>
      </c>
      <c r="AT31" s="192">
        <v>0</v>
      </c>
      <c r="AU31" s="113">
        <v>0</v>
      </c>
      <c r="AV31" s="55">
        <v>0</v>
      </c>
      <c r="AW31" s="55">
        <v>0</v>
      </c>
      <c r="AX31" s="114">
        <v>0</v>
      </c>
      <c r="AY31" s="213">
        <f>RMU!H32/1000</f>
        <v>0</v>
      </c>
      <c r="AZ31" s="192">
        <v>224</v>
      </c>
      <c r="BA31" s="113">
        <v>0</v>
      </c>
      <c r="BB31" s="55">
        <v>0</v>
      </c>
      <c r="BC31" s="55">
        <v>179</v>
      </c>
      <c r="BD31" s="114">
        <v>167</v>
      </c>
      <c r="BE31" s="213">
        <f t="shared" si="6"/>
        <v>0</v>
      </c>
      <c r="BF31" s="537">
        <f t="shared" si="7"/>
        <v>472</v>
      </c>
      <c r="BG31" s="537">
        <f t="shared" si="11"/>
        <v>525</v>
      </c>
      <c r="BH31" s="537">
        <f t="shared" si="12"/>
        <v>0</v>
      </c>
      <c r="BI31" s="537">
        <f t="shared" si="13"/>
        <v>179</v>
      </c>
      <c r="BJ31" s="527">
        <f t="shared" si="14"/>
        <v>463</v>
      </c>
    </row>
    <row r="32" spans="1:62" s="2" customFormat="1" ht="11.25">
      <c r="A32" s="12"/>
      <c r="B32" s="20" t="s">
        <v>22</v>
      </c>
      <c r="C32" s="20"/>
      <c r="D32" s="20"/>
      <c r="E32" s="60">
        <v>30</v>
      </c>
      <c r="F32" s="97">
        <f>SKM!H33/1000</f>
        <v>16674</v>
      </c>
      <c r="G32" s="192">
        <v>41768</v>
      </c>
      <c r="H32" s="113">
        <v>52352</v>
      </c>
      <c r="I32" s="55">
        <v>54129</v>
      </c>
      <c r="J32" s="55">
        <v>53297</v>
      </c>
      <c r="K32" s="114">
        <v>52349</v>
      </c>
      <c r="L32" s="97">
        <f>SUKB!H33/1000</f>
        <v>0</v>
      </c>
      <c r="M32" s="501">
        <v>0</v>
      </c>
      <c r="N32" s="97">
        <f>UCT!H33/1000</f>
        <v>0</v>
      </c>
      <c r="O32" s="192">
        <v>0</v>
      </c>
      <c r="P32" s="114">
        <v>0</v>
      </c>
      <c r="Q32" s="97">
        <f>SPSSN!H33/1000</f>
        <v>0</v>
      </c>
      <c r="R32" s="192">
        <v>0</v>
      </c>
      <c r="S32" s="114">
        <v>0</v>
      </c>
      <c r="T32" s="97">
        <f>IBA!H33/1000</f>
        <v>0</v>
      </c>
      <c r="U32" s="501">
        <v>0</v>
      </c>
      <c r="V32" s="213">
        <v>0</v>
      </c>
      <c r="W32" s="113">
        <v>0</v>
      </c>
      <c r="X32" s="55">
        <v>0</v>
      </c>
      <c r="Y32" s="55">
        <v>0</v>
      </c>
      <c r="Z32" s="114">
        <v>0</v>
      </c>
      <c r="AA32" s="213">
        <f>ÚVT!H33/1000</f>
        <v>0</v>
      </c>
      <c r="AB32" s="192">
        <v>0</v>
      </c>
      <c r="AC32" s="113">
        <v>0</v>
      </c>
      <c r="AD32" s="55">
        <v>0</v>
      </c>
      <c r="AE32" s="55">
        <v>0</v>
      </c>
      <c r="AF32" s="114">
        <v>0</v>
      </c>
      <c r="AG32" s="213">
        <f>VMU!H33/1000</f>
        <v>0</v>
      </c>
      <c r="AH32" s="192">
        <v>0</v>
      </c>
      <c r="AI32" s="113">
        <v>0</v>
      </c>
      <c r="AJ32" s="55">
        <v>0</v>
      </c>
      <c r="AK32" s="55">
        <v>0</v>
      </c>
      <c r="AL32" s="114">
        <v>0</v>
      </c>
      <c r="AM32" s="213">
        <f>CJV!H33/1000</f>
        <v>0</v>
      </c>
      <c r="AN32" s="192">
        <v>0</v>
      </c>
      <c r="AO32" s="113">
        <v>0</v>
      </c>
      <c r="AP32" s="55">
        <v>0</v>
      </c>
      <c r="AQ32" s="55">
        <v>0</v>
      </c>
      <c r="AR32" s="114">
        <v>0</v>
      </c>
      <c r="AS32" s="213">
        <f>CZS!H33/1000</f>
        <v>0</v>
      </c>
      <c r="AT32" s="192">
        <v>0</v>
      </c>
      <c r="AU32" s="113">
        <v>0</v>
      </c>
      <c r="AV32" s="55">
        <v>0</v>
      </c>
      <c r="AW32" s="55">
        <v>0</v>
      </c>
      <c r="AX32" s="114">
        <v>0</v>
      </c>
      <c r="AY32" s="213">
        <f>RMU!H33/1000</f>
        <v>86533.037</v>
      </c>
      <c r="AZ32" s="192">
        <v>19470</v>
      </c>
      <c r="BA32" s="113">
        <v>0</v>
      </c>
      <c r="BB32" s="55">
        <v>0</v>
      </c>
      <c r="BC32" s="55">
        <v>0</v>
      </c>
      <c r="BD32" s="114">
        <v>0</v>
      </c>
      <c r="BE32" s="213">
        <f t="shared" si="6"/>
        <v>103207.037</v>
      </c>
      <c r="BF32" s="537">
        <f t="shared" si="7"/>
        <v>61238</v>
      </c>
      <c r="BG32" s="537">
        <f t="shared" si="11"/>
        <v>52352</v>
      </c>
      <c r="BH32" s="537">
        <f t="shared" si="12"/>
        <v>54129</v>
      </c>
      <c r="BI32" s="537">
        <f t="shared" si="13"/>
        <v>53297</v>
      </c>
      <c r="BJ32" s="527">
        <f t="shared" si="14"/>
        <v>52349</v>
      </c>
    </row>
    <row r="33" spans="1:62" s="2" customFormat="1" ht="11.25">
      <c r="A33" s="12"/>
      <c r="B33" s="20" t="s">
        <v>24</v>
      </c>
      <c r="C33" s="20"/>
      <c r="D33" s="20"/>
      <c r="E33" s="60">
        <v>31</v>
      </c>
      <c r="F33" s="97">
        <f>SKM!H34/1000</f>
        <v>0</v>
      </c>
      <c r="G33" s="192">
        <v>0</v>
      </c>
      <c r="H33" s="113">
        <v>0</v>
      </c>
      <c r="I33" s="55">
        <v>0</v>
      </c>
      <c r="J33" s="55">
        <v>0</v>
      </c>
      <c r="K33" s="114">
        <v>0</v>
      </c>
      <c r="L33" s="97">
        <f>SUKB!H34/1000</f>
        <v>0</v>
      </c>
      <c r="M33" s="501">
        <v>0</v>
      </c>
      <c r="N33" s="97">
        <f>UCT!H34/1000</f>
        <v>0</v>
      </c>
      <c r="O33" s="192">
        <v>0</v>
      </c>
      <c r="P33" s="114">
        <v>0</v>
      </c>
      <c r="Q33" s="97">
        <f>SPSSN!H34/1000</f>
        <v>0</v>
      </c>
      <c r="R33" s="192">
        <v>150</v>
      </c>
      <c r="S33" s="114">
        <v>0</v>
      </c>
      <c r="T33" s="97">
        <f>IBA!H34/1000</f>
        <v>0</v>
      </c>
      <c r="U33" s="501">
        <v>0</v>
      </c>
      <c r="V33" s="213">
        <v>0</v>
      </c>
      <c r="W33" s="113">
        <v>0</v>
      </c>
      <c r="X33" s="55">
        <v>0</v>
      </c>
      <c r="Y33" s="55">
        <v>0</v>
      </c>
      <c r="Z33" s="114">
        <v>0</v>
      </c>
      <c r="AA33" s="213">
        <f>ÚVT!H34/1000</f>
        <v>0</v>
      </c>
      <c r="AB33" s="192">
        <v>0</v>
      </c>
      <c r="AC33" s="113">
        <v>0</v>
      </c>
      <c r="AD33" s="55">
        <v>0</v>
      </c>
      <c r="AE33" s="55">
        <v>0</v>
      </c>
      <c r="AF33" s="114">
        <v>0</v>
      </c>
      <c r="AG33" s="213">
        <f>VMU!H34/1000</f>
        <v>0</v>
      </c>
      <c r="AH33" s="192">
        <v>0</v>
      </c>
      <c r="AI33" s="113">
        <v>0</v>
      </c>
      <c r="AJ33" s="55">
        <v>0</v>
      </c>
      <c r="AK33" s="55">
        <v>0</v>
      </c>
      <c r="AL33" s="114">
        <v>0</v>
      </c>
      <c r="AM33" s="213">
        <f>CJV!H34/1000</f>
        <v>0</v>
      </c>
      <c r="AN33" s="192">
        <v>0</v>
      </c>
      <c r="AO33" s="113">
        <v>500</v>
      </c>
      <c r="AP33" s="55">
        <v>0</v>
      </c>
      <c r="AQ33" s="55">
        <v>0</v>
      </c>
      <c r="AR33" s="114">
        <v>0</v>
      </c>
      <c r="AS33" s="213">
        <f>CZS!H34/1000</f>
        <v>0</v>
      </c>
      <c r="AT33" s="192">
        <v>80.22438000000001</v>
      </c>
      <c r="AU33" s="113">
        <v>0</v>
      </c>
      <c r="AV33" s="55">
        <v>0</v>
      </c>
      <c r="AW33" s="55">
        <v>0</v>
      </c>
      <c r="AX33" s="114">
        <v>0</v>
      </c>
      <c r="AY33" s="213">
        <f>RMU!H34/1000</f>
        <v>4523.54876</v>
      </c>
      <c r="AZ33" s="192">
        <v>1481.74725</v>
      </c>
      <c r="BA33" s="113">
        <v>0</v>
      </c>
      <c r="BB33" s="55">
        <v>0</v>
      </c>
      <c r="BC33" s="55">
        <v>0</v>
      </c>
      <c r="BD33" s="114">
        <v>0</v>
      </c>
      <c r="BE33" s="213">
        <f t="shared" si="6"/>
        <v>4523.54876</v>
      </c>
      <c r="BF33" s="537">
        <f t="shared" si="7"/>
        <v>1711.97163</v>
      </c>
      <c r="BG33" s="537">
        <f t="shared" si="11"/>
        <v>500</v>
      </c>
      <c r="BH33" s="537">
        <f t="shared" si="12"/>
        <v>0</v>
      </c>
      <c r="BI33" s="537">
        <f t="shared" si="13"/>
        <v>0</v>
      </c>
      <c r="BJ33" s="527">
        <f t="shared" si="14"/>
        <v>0</v>
      </c>
    </row>
    <row r="34" spans="1:62" s="2" customFormat="1" ht="11.25">
      <c r="A34" s="12"/>
      <c r="B34" s="20" t="s">
        <v>31</v>
      </c>
      <c r="C34" s="20"/>
      <c r="D34" s="20"/>
      <c r="E34" s="60">
        <v>32</v>
      </c>
      <c r="F34" s="97">
        <f>SKM!H35/1000</f>
        <v>0</v>
      </c>
      <c r="G34" s="192">
        <v>0</v>
      </c>
      <c r="H34" s="113">
        <v>0</v>
      </c>
      <c r="I34" s="55">
        <v>0</v>
      </c>
      <c r="J34" s="55">
        <v>0</v>
      </c>
      <c r="K34" s="114">
        <v>0</v>
      </c>
      <c r="L34" s="97">
        <f>SUKB!H35/1000</f>
        <v>0</v>
      </c>
      <c r="M34" s="501">
        <v>0</v>
      </c>
      <c r="N34" s="97">
        <f>UCT!H35/1000</f>
        <v>0</v>
      </c>
      <c r="O34" s="192">
        <v>0</v>
      </c>
      <c r="P34" s="114">
        <v>0</v>
      </c>
      <c r="Q34" s="97">
        <f>SPSSN!H35/1000</f>
        <v>4452.015530000001</v>
      </c>
      <c r="R34" s="192">
        <v>178.44</v>
      </c>
      <c r="S34" s="114">
        <v>0</v>
      </c>
      <c r="T34" s="97">
        <f>IBA!H35/1000</f>
        <v>0</v>
      </c>
      <c r="U34" s="501">
        <v>0</v>
      </c>
      <c r="V34" s="213">
        <v>0</v>
      </c>
      <c r="W34" s="113">
        <v>0</v>
      </c>
      <c r="X34" s="55">
        <v>0</v>
      </c>
      <c r="Y34" s="55">
        <v>0</v>
      </c>
      <c r="Z34" s="114">
        <v>67</v>
      </c>
      <c r="AA34" s="213">
        <f>ÚVT!H35/1000</f>
        <v>811.62</v>
      </c>
      <c r="AB34" s="192">
        <v>0</v>
      </c>
      <c r="AC34" s="113">
        <v>2942.992</v>
      </c>
      <c r="AD34" s="55">
        <v>8135.574799999999</v>
      </c>
      <c r="AE34" s="55">
        <v>7010</v>
      </c>
      <c r="AF34" s="114">
        <v>2268</v>
      </c>
      <c r="AG34" s="213">
        <f>VMU!H35/1000</f>
        <v>0</v>
      </c>
      <c r="AH34" s="192">
        <v>0</v>
      </c>
      <c r="AI34" s="113">
        <v>0</v>
      </c>
      <c r="AJ34" s="55">
        <v>0</v>
      </c>
      <c r="AK34" s="55">
        <v>0</v>
      </c>
      <c r="AL34" s="114">
        <v>0</v>
      </c>
      <c r="AM34" s="213">
        <f>CJV!H35/1000</f>
        <v>2545.5381</v>
      </c>
      <c r="AN34" s="192">
        <v>230.12213</v>
      </c>
      <c r="AO34" s="113">
        <v>19.2</v>
      </c>
      <c r="AP34" s="55">
        <v>42.8857</v>
      </c>
      <c r="AQ34" s="55">
        <v>0</v>
      </c>
      <c r="AR34" s="114">
        <v>0</v>
      </c>
      <c r="AS34" s="213">
        <f>CZS!H35/1000</f>
        <v>17315.470739999997</v>
      </c>
      <c r="AT34" s="192">
        <v>15187.080119999999</v>
      </c>
      <c r="AU34" s="113">
        <v>8756.65724</v>
      </c>
      <c r="AV34" s="55">
        <v>5308.85559</v>
      </c>
      <c r="AW34" s="55">
        <v>9165</v>
      </c>
      <c r="AX34" s="114">
        <v>9253</v>
      </c>
      <c r="AY34" s="213">
        <f>RMU!H35/1000</f>
        <v>3297.25386</v>
      </c>
      <c r="AZ34" s="192">
        <v>1335.33958</v>
      </c>
      <c r="BA34" s="113">
        <v>1102.643</v>
      </c>
      <c r="BB34" s="55">
        <v>1122.457</v>
      </c>
      <c r="BC34" s="55">
        <v>1145</v>
      </c>
      <c r="BD34" s="114">
        <v>310</v>
      </c>
      <c r="BE34" s="213">
        <f t="shared" si="6"/>
        <v>28421.89823</v>
      </c>
      <c r="BF34" s="537">
        <f t="shared" si="7"/>
        <v>16930.98183</v>
      </c>
      <c r="BG34" s="537">
        <f t="shared" si="11"/>
        <v>12821.49224</v>
      </c>
      <c r="BH34" s="537">
        <f t="shared" si="12"/>
        <v>14609.77309</v>
      </c>
      <c r="BI34" s="537">
        <f t="shared" si="13"/>
        <v>17320</v>
      </c>
      <c r="BJ34" s="527">
        <f t="shared" si="14"/>
        <v>11898</v>
      </c>
    </row>
    <row r="35" spans="1:62" s="2" customFormat="1" ht="11.25">
      <c r="A35" s="12"/>
      <c r="B35" s="20" t="s">
        <v>85</v>
      </c>
      <c r="C35" s="20"/>
      <c r="D35" s="20"/>
      <c r="E35" s="60">
        <v>33</v>
      </c>
      <c r="F35" s="97">
        <f>SKM!H36/1000</f>
        <v>0</v>
      </c>
      <c r="G35" s="192">
        <v>0</v>
      </c>
      <c r="H35" s="113">
        <v>0</v>
      </c>
      <c r="I35" s="55">
        <v>0</v>
      </c>
      <c r="J35" s="55">
        <v>0</v>
      </c>
      <c r="K35" s="114">
        <v>0</v>
      </c>
      <c r="L35" s="97">
        <f>SUKB!H36/1000</f>
        <v>0</v>
      </c>
      <c r="M35" s="501">
        <v>0</v>
      </c>
      <c r="N35" s="97">
        <f>UCT!H36/1000</f>
        <v>0</v>
      </c>
      <c r="O35" s="192">
        <v>0</v>
      </c>
      <c r="P35" s="114">
        <v>0</v>
      </c>
      <c r="Q35" s="97">
        <f>SPSSN!H36/1000</f>
        <v>0</v>
      </c>
      <c r="R35" s="192">
        <v>0</v>
      </c>
      <c r="S35" s="114">
        <v>0</v>
      </c>
      <c r="T35" s="97">
        <f>IBA!H36/1000</f>
        <v>0</v>
      </c>
      <c r="U35" s="501">
        <v>0</v>
      </c>
      <c r="V35" s="213">
        <v>0</v>
      </c>
      <c r="W35" s="113">
        <v>0</v>
      </c>
      <c r="X35" s="55">
        <v>0</v>
      </c>
      <c r="Y35" s="55">
        <v>0</v>
      </c>
      <c r="Z35" s="114">
        <v>102</v>
      </c>
      <c r="AA35" s="213">
        <f>ÚVT!H36/1000</f>
        <v>0</v>
      </c>
      <c r="AB35" s="192">
        <v>0</v>
      </c>
      <c r="AC35" s="113">
        <v>0</v>
      </c>
      <c r="AD35" s="55">
        <v>0</v>
      </c>
      <c r="AE35" s="55">
        <v>1819</v>
      </c>
      <c r="AF35" s="114">
        <v>3294</v>
      </c>
      <c r="AG35" s="213">
        <f>VMU!H36/1000</f>
        <v>0</v>
      </c>
      <c r="AH35" s="192">
        <v>0</v>
      </c>
      <c r="AI35" s="113">
        <v>0</v>
      </c>
      <c r="AJ35" s="55">
        <v>0</v>
      </c>
      <c r="AK35" s="55">
        <v>0</v>
      </c>
      <c r="AL35" s="114">
        <v>0</v>
      </c>
      <c r="AM35" s="213">
        <f>CJV!H36/1000</f>
        <v>0</v>
      </c>
      <c r="AN35" s="192">
        <v>0</v>
      </c>
      <c r="AO35" s="113">
        <v>0</v>
      </c>
      <c r="AP35" s="55">
        <v>0</v>
      </c>
      <c r="AQ35" s="55">
        <v>0</v>
      </c>
      <c r="AR35" s="114">
        <v>64</v>
      </c>
      <c r="AS35" s="213">
        <f>CZS!H36/1000</f>
        <v>0</v>
      </c>
      <c r="AT35" s="192">
        <v>0</v>
      </c>
      <c r="AU35" s="113">
        <v>0</v>
      </c>
      <c r="AV35" s="55">
        <v>0</v>
      </c>
      <c r="AW35" s="55">
        <v>0</v>
      </c>
      <c r="AX35" s="114">
        <v>0</v>
      </c>
      <c r="AY35" s="213">
        <f>RMU!H36/1000</f>
        <v>0</v>
      </c>
      <c r="AZ35" s="192">
        <v>0</v>
      </c>
      <c r="BA35" s="113">
        <v>0</v>
      </c>
      <c r="BB35" s="55">
        <v>0</v>
      </c>
      <c r="BC35" s="55">
        <v>34096</v>
      </c>
      <c r="BD35" s="114">
        <v>61062</v>
      </c>
      <c r="BE35" s="213">
        <f t="shared" si="6"/>
        <v>0</v>
      </c>
      <c r="BF35" s="537">
        <f t="shared" si="7"/>
        <v>0</v>
      </c>
      <c r="BG35" s="537">
        <f t="shared" si="11"/>
        <v>0</v>
      </c>
      <c r="BH35" s="537">
        <f t="shared" si="12"/>
        <v>0</v>
      </c>
      <c r="BI35" s="537">
        <f t="shared" si="13"/>
        <v>35915</v>
      </c>
      <c r="BJ35" s="527">
        <f t="shared" si="14"/>
        <v>64522</v>
      </c>
    </row>
    <row r="36" spans="1:62" s="2" customFormat="1" ht="11.25">
      <c r="A36" s="12"/>
      <c r="B36" s="20" t="s">
        <v>25</v>
      </c>
      <c r="C36" s="20"/>
      <c r="D36" s="20"/>
      <c r="E36" s="60">
        <v>34</v>
      </c>
      <c r="F36" s="97">
        <f>SKM!H37/1000</f>
        <v>0</v>
      </c>
      <c r="G36" s="192">
        <v>0</v>
      </c>
      <c r="H36" s="113">
        <v>0</v>
      </c>
      <c r="I36" s="55">
        <v>0</v>
      </c>
      <c r="J36" s="55">
        <v>0</v>
      </c>
      <c r="K36" s="114">
        <v>0</v>
      </c>
      <c r="L36" s="97">
        <f>SUKB!H37/1000</f>
        <v>0</v>
      </c>
      <c r="M36" s="501">
        <v>0</v>
      </c>
      <c r="N36" s="97">
        <f>UCT!H37/1000</f>
        <v>0</v>
      </c>
      <c r="O36" s="192">
        <v>0</v>
      </c>
      <c r="P36" s="114">
        <v>0</v>
      </c>
      <c r="Q36" s="97">
        <f>SPSSN!H37/1000</f>
        <v>0</v>
      </c>
      <c r="R36" s="192">
        <v>0</v>
      </c>
      <c r="S36" s="114">
        <v>0</v>
      </c>
      <c r="T36" s="97">
        <f>IBA!H37/1000</f>
        <v>0</v>
      </c>
      <c r="U36" s="501">
        <v>0</v>
      </c>
      <c r="V36" s="213">
        <v>0</v>
      </c>
      <c r="W36" s="113">
        <v>0</v>
      </c>
      <c r="X36" s="55">
        <v>0</v>
      </c>
      <c r="Y36" s="55">
        <v>0</v>
      </c>
      <c r="Z36" s="114">
        <v>0</v>
      </c>
      <c r="AA36" s="213">
        <f>ÚVT!H37/1000</f>
        <v>1111.13661</v>
      </c>
      <c r="AB36" s="192">
        <v>807</v>
      </c>
      <c r="AC36" s="113">
        <v>2097.00992</v>
      </c>
      <c r="AD36" s="55">
        <v>1747</v>
      </c>
      <c r="AE36" s="55">
        <v>2005</v>
      </c>
      <c r="AF36" s="114">
        <v>2070</v>
      </c>
      <c r="AG36" s="213">
        <f>VMU!H37/1000</f>
        <v>0</v>
      </c>
      <c r="AH36" s="192">
        <v>0</v>
      </c>
      <c r="AI36" s="113">
        <v>0</v>
      </c>
      <c r="AJ36" s="55">
        <v>0</v>
      </c>
      <c r="AK36" s="55">
        <v>0</v>
      </c>
      <c r="AL36" s="114">
        <v>0</v>
      </c>
      <c r="AM36" s="213">
        <f>CJV!H37/1000</f>
        <v>0</v>
      </c>
      <c r="AN36" s="192">
        <v>0</v>
      </c>
      <c r="AO36" s="113">
        <v>0</v>
      </c>
      <c r="AP36" s="55">
        <v>0</v>
      </c>
      <c r="AQ36" s="55">
        <v>0</v>
      </c>
      <c r="AR36" s="114">
        <v>0</v>
      </c>
      <c r="AS36" s="213">
        <f>CZS!H37/1000</f>
        <v>0</v>
      </c>
      <c r="AT36" s="192">
        <v>0</v>
      </c>
      <c r="AU36" s="113">
        <v>0</v>
      </c>
      <c r="AV36" s="55">
        <v>0</v>
      </c>
      <c r="AW36" s="55">
        <v>0</v>
      </c>
      <c r="AX36" s="114">
        <v>0</v>
      </c>
      <c r="AY36" s="213">
        <f>RMU!H37/1000</f>
        <v>0</v>
      </c>
      <c r="AZ36" s="192">
        <v>0</v>
      </c>
      <c r="BA36" s="113">
        <v>0</v>
      </c>
      <c r="BB36" s="55">
        <v>0</v>
      </c>
      <c r="BC36" s="55">
        <v>0</v>
      </c>
      <c r="BD36" s="114">
        <v>0</v>
      </c>
      <c r="BE36" s="213">
        <f t="shared" si="6"/>
        <v>1111.13661</v>
      </c>
      <c r="BF36" s="537">
        <f t="shared" si="7"/>
        <v>807</v>
      </c>
      <c r="BG36" s="537">
        <f t="shared" si="11"/>
        <v>2097.00992</v>
      </c>
      <c r="BH36" s="537">
        <f t="shared" si="12"/>
        <v>1747</v>
      </c>
      <c r="BI36" s="537">
        <f t="shared" si="13"/>
        <v>2005</v>
      </c>
      <c r="BJ36" s="527">
        <f t="shared" si="14"/>
        <v>2070</v>
      </c>
    </row>
    <row r="37" spans="1:62" s="2" customFormat="1" ht="11.25">
      <c r="A37" s="12"/>
      <c r="B37" s="20" t="s">
        <v>26</v>
      </c>
      <c r="C37" s="20"/>
      <c r="D37" s="20"/>
      <c r="E37" s="60">
        <v>35</v>
      </c>
      <c r="F37" s="97">
        <f>SKM!H38/1000</f>
        <v>0</v>
      </c>
      <c r="G37" s="192">
        <v>0</v>
      </c>
      <c r="H37" s="113">
        <v>0</v>
      </c>
      <c r="I37" s="55">
        <v>0</v>
      </c>
      <c r="J37" s="55">
        <v>0</v>
      </c>
      <c r="K37" s="114">
        <v>0</v>
      </c>
      <c r="L37" s="97">
        <f>SUKB!H38/1000</f>
        <v>0</v>
      </c>
      <c r="M37" s="501">
        <v>0</v>
      </c>
      <c r="N37" s="97">
        <f>UCT!H38/1000</f>
        <v>0</v>
      </c>
      <c r="O37" s="192">
        <v>0</v>
      </c>
      <c r="P37" s="114">
        <v>0</v>
      </c>
      <c r="Q37" s="97">
        <f>SPSSN!H38/1000</f>
        <v>0</v>
      </c>
      <c r="R37" s="192">
        <v>0</v>
      </c>
      <c r="S37" s="114">
        <v>0</v>
      </c>
      <c r="T37" s="97">
        <f>IBA!H38/1000</f>
        <v>0</v>
      </c>
      <c r="U37" s="501">
        <v>0</v>
      </c>
      <c r="V37" s="213">
        <v>0</v>
      </c>
      <c r="W37" s="113">
        <v>0</v>
      </c>
      <c r="X37" s="55">
        <v>0</v>
      </c>
      <c r="Y37" s="55">
        <v>0</v>
      </c>
      <c r="Z37" s="114">
        <v>0</v>
      </c>
      <c r="AA37" s="213">
        <f>ÚVT!H38/1000</f>
        <v>12068</v>
      </c>
      <c r="AB37" s="192">
        <v>12055</v>
      </c>
      <c r="AC37" s="113">
        <v>4984</v>
      </c>
      <c r="AD37" s="55">
        <v>121</v>
      </c>
      <c r="AE37" s="55">
        <v>182</v>
      </c>
      <c r="AF37" s="114">
        <v>271</v>
      </c>
      <c r="AG37" s="213">
        <f>VMU!H38/1000</f>
        <v>0</v>
      </c>
      <c r="AH37" s="192">
        <v>0</v>
      </c>
      <c r="AI37" s="113">
        <v>0</v>
      </c>
      <c r="AJ37" s="55">
        <v>0</v>
      </c>
      <c r="AK37" s="55">
        <v>0</v>
      </c>
      <c r="AL37" s="114">
        <v>0</v>
      </c>
      <c r="AM37" s="213">
        <f>CJV!H38/1000</f>
        <v>10.087</v>
      </c>
      <c r="AN37" s="192">
        <v>0</v>
      </c>
      <c r="AO37" s="113">
        <v>0</v>
      </c>
      <c r="AP37" s="55">
        <v>0</v>
      </c>
      <c r="AQ37" s="55">
        <v>0</v>
      </c>
      <c r="AR37" s="114">
        <v>0</v>
      </c>
      <c r="AS37" s="213">
        <f>CZS!H38/1000</f>
        <v>0</v>
      </c>
      <c r="AT37" s="192">
        <v>0</v>
      </c>
      <c r="AU37" s="113">
        <v>0</v>
      </c>
      <c r="AV37" s="55">
        <v>0</v>
      </c>
      <c r="AW37" s="55">
        <v>0</v>
      </c>
      <c r="AX37" s="114">
        <v>0</v>
      </c>
      <c r="AY37" s="213">
        <f>RMU!H38/1000</f>
        <v>100</v>
      </c>
      <c r="AZ37" s="192">
        <v>400</v>
      </c>
      <c r="BA37" s="113">
        <v>700</v>
      </c>
      <c r="BB37" s="55">
        <v>0</v>
      </c>
      <c r="BC37" s="55">
        <v>343</v>
      </c>
      <c r="BD37" s="114">
        <v>377</v>
      </c>
      <c r="BE37" s="213">
        <f t="shared" si="6"/>
        <v>12178.087</v>
      </c>
      <c r="BF37" s="537">
        <f t="shared" si="7"/>
        <v>12455</v>
      </c>
      <c r="BG37" s="537">
        <f t="shared" si="11"/>
        <v>5684</v>
      </c>
      <c r="BH37" s="537">
        <f t="shared" si="12"/>
        <v>121</v>
      </c>
      <c r="BI37" s="537">
        <f t="shared" si="13"/>
        <v>525</v>
      </c>
      <c r="BJ37" s="527">
        <f t="shared" si="14"/>
        <v>648</v>
      </c>
    </row>
    <row r="38" spans="1:62" s="2" customFormat="1" ht="11.25">
      <c r="A38" s="12"/>
      <c r="B38" s="20" t="s">
        <v>27</v>
      </c>
      <c r="C38" s="20"/>
      <c r="D38" s="20"/>
      <c r="E38" s="60">
        <v>36</v>
      </c>
      <c r="F38" s="97">
        <f>SKM!H39/1000</f>
        <v>0</v>
      </c>
      <c r="G38" s="192">
        <v>0</v>
      </c>
      <c r="H38" s="113">
        <v>0</v>
      </c>
      <c r="I38" s="55">
        <v>0</v>
      </c>
      <c r="J38" s="55">
        <v>0</v>
      </c>
      <c r="K38" s="114">
        <v>0</v>
      </c>
      <c r="L38" s="97">
        <f>SUKB!H39/1000</f>
        <v>0</v>
      </c>
      <c r="M38" s="501">
        <v>0</v>
      </c>
      <c r="N38" s="97">
        <f>UCT!H39/1000</f>
        <v>0</v>
      </c>
      <c r="O38" s="192">
        <v>0</v>
      </c>
      <c r="P38" s="114">
        <v>0</v>
      </c>
      <c r="Q38" s="97">
        <f>SPSSN!H39/1000</f>
        <v>0</v>
      </c>
      <c r="R38" s="192">
        <v>433.274</v>
      </c>
      <c r="S38" s="114">
        <v>0</v>
      </c>
      <c r="T38" s="97">
        <f>IBA!H39/1000</f>
        <v>0</v>
      </c>
      <c r="U38" s="501">
        <v>0</v>
      </c>
      <c r="V38" s="213">
        <v>0</v>
      </c>
      <c r="W38" s="113">
        <v>0</v>
      </c>
      <c r="X38" s="55">
        <v>0</v>
      </c>
      <c r="Y38" s="55">
        <v>144</v>
      </c>
      <c r="Z38" s="114">
        <v>233</v>
      </c>
      <c r="AA38" s="213">
        <f>ÚVT!H39/1000</f>
        <v>4094.96083</v>
      </c>
      <c r="AB38" s="192">
        <v>5330.06671</v>
      </c>
      <c r="AC38" s="113">
        <v>6395.81591</v>
      </c>
      <c r="AD38" s="55">
        <v>4923.29285</v>
      </c>
      <c r="AE38" s="55">
        <v>3343</v>
      </c>
      <c r="AF38" s="114">
        <v>939</v>
      </c>
      <c r="AG38" s="213">
        <f>VMU!H39/1000</f>
        <v>0</v>
      </c>
      <c r="AH38" s="192">
        <v>0</v>
      </c>
      <c r="AI38" s="113">
        <v>0</v>
      </c>
      <c r="AJ38" s="55">
        <v>0</v>
      </c>
      <c r="AK38" s="55">
        <v>0</v>
      </c>
      <c r="AL38" s="114">
        <v>0</v>
      </c>
      <c r="AM38" s="213">
        <f>CJV!H39/1000</f>
        <v>0</v>
      </c>
      <c r="AN38" s="192">
        <v>0</v>
      </c>
      <c r="AO38" s="113">
        <v>0</v>
      </c>
      <c r="AP38" s="55">
        <v>0</v>
      </c>
      <c r="AQ38" s="55">
        <v>0</v>
      </c>
      <c r="AR38" s="114">
        <v>0</v>
      </c>
      <c r="AS38" s="213">
        <f>CZS!H39/1000</f>
        <v>0</v>
      </c>
      <c r="AT38" s="192">
        <v>0</v>
      </c>
      <c r="AU38" s="113">
        <v>0</v>
      </c>
      <c r="AV38" s="55">
        <v>0</v>
      </c>
      <c r="AW38" s="55">
        <v>0</v>
      </c>
      <c r="AX38" s="114">
        <v>0</v>
      </c>
      <c r="AY38" s="213">
        <f>RMU!H39/1000</f>
        <v>0</v>
      </c>
      <c r="AZ38" s="192">
        <v>0</v>
      </c>
      <c r="BA38" s="113">
        <v>0</v>
      </c>
      <c r="BB38" s="55">
        <v>0</v>
      </c>
      <c r="BC38" s="55">
        <v>0</v>
      </c>
      <c r="BD38" s="114">
        <v>0</v>
      </c>
      <c r="BE38" s="213">
        <f t="shared" si="6"/>
        <v>4094.96083</v>
      </c>
      <c r="BF38" s="537">
        <f t="shared" si="7"/>
        <v>5763.34071</v>
      </c>
      <c r="BG38" s="537">
        <f t="shared" si="11"/>
        <v>6395.81591</v>
      </c>
      <c r="BH38" s="537">
        <f t="shared" si="12"/>
        <v>4923.29285</v>
      </c>
      <c r="BI38" s="537">
        <f t="shared" si="13"/>
        <v>3487</v>
      </c>
      <c r="BJ38" s="527">
        <f t="shared" si="14"/>
        <v>1172</v>
      </c>
    </row>
    <row r="39" spans="1:62" s="2" customFormat="1" ht="11.25">
      <c r="A39" s="12"/>
      <c r="B39" s="20" t="s">
        <v>28</v>
      </c>
      <c r="C39" s="20"/>
      <c r="D39" s="20"/>
      <c r="E39" s="60">
        <v>37</v>
      </c>
      <c r="F39" s="97">
        <f>SKM!H40/1000</f>
        <v>103647.8647</v>
      </c>
      <c r="G39" s="192">
        <v>86668.30665000001</v>
      </c>
      <c r="H39" s="113">
        <v>67532.79358</v>
      </c>
      <c r="I39" s="55">
        <v>64721.002479999996</v>
      </c>
      <c r="J39" s="55">
        <v>64880</v>
      </c>
      <c r="K39" s="114">
        <v>58045</v>
      </c>
      <c r="L39" s="97">
        <f>SUKB!H40/1000</f>
        <v>14605.4555</v>
      </c>
      <c r="M39" s="501">
        <v>0</v>
      </c>
      <c r="N39" s="97">
        <f>UCT!H40/1000</f>
        <v>1064.56799</v>
      </c>
      <c r="O39" s="192">
        <v>884.53875</v>
      </c>
      <c r="P39" s="114">
        <v>0</v>
      </c>
      <c r="Q39" s="97">
        <f>SPSSN!H40/1000</f>
        <v>1103.7392</v>
      </c>
      <c r="R39" s="192">
        <v>1322.32995</v>
      </c>
      <c r="S39" s="114">
        <v>0</v>
      </c>
      <c r="T39" s="97">
        <f>IBA!H40/1000</f>
        <v>29627.72125</v>
      </c>
      <c r="U39" s="501">
        <v>0</v>
      </c>
      <c r="V39" s="213">
        <v>5123.8593200000005</v>
      </c>
      <c r="W39" s="113">
        <v>8711.2119</v>
      </c>
      <c r="X39" s="55">
        <v>6270.216759999999</v>
      </c>
      <c r="Y39" s="55">
        <v>10213</v>
      </c>
      <c r="Z39" s="114">
        <v>4771</v>
      </c>
      <c r="AA39" s="213">
        <f>ÚVT!H40/1000</f>
        <v>17492.5086</v>
      </c>
      <c r="AB39" s="192">
        <v>10980.38457</v>
      </c>
      <c r="AC39" s="113">
        <v>642.1154799999999</v>
      </c>
      <c r="AD39" s="55">
        <v>801.5675799999999</v>
      </c>
      <c r="AE39" s="55">
        <v>0</v>
      </c>
      <c r="AF39" s="114">
        <v>0</v>
      </c>
      <c r="AG39" s="213">
        <f>VMU!H40/1000</f>
        <v>61.670199999999994</v>
      </c>
      <c r="AH39" s="192">
        <v>96.2118</v>
      </c>
      <c r="AI39" s="113">
        <v>11.6893</v>
      </c>
      <c r="AJ39" s="55">
        <v>46.50144</v>
      </c>
      <c r="AK39" s="55">
        <v>5213</v>
      </c>
      <c r="AL39" s="114">
        <v>5816</v>
      </c>
      <c r="AM39" s="213">
        <f>CJV!H40/1000</f>
        <v>355.18093</v>
      </c>
      <c r="AN39" s="192">
        <v>230.45167999999998</v>
      </c>
      <c r="AO39" s="113">
        <v>623.77381</v>
      </c>
      <c r="AP39" s="55">
        <v>1059.8102</v>
      </c>
      <c r="AQ39" s="55">
        <v>715</v>
      </c>
      <c r="AR39" s="114">
        <v>293</v>
      </c>
      <c r="AS39" s="213">
        <f>CZS!H40/1000</f>
        <v>4758.8657</v>
      </c>
      <c r="AT39" s="192">
        <v>3302.0833</v>
      </c>
      <c r="AU39" s="113">
        <v>1764.20775</v>
      </c>
      <c r="AV39" s="55">
        <v>1924.45405</v>
      </c>
      <c r="AW39" s="55">
        <v>1689</v>
      </c>
      <c r="AX39" s="114">
        <v>2001</v>
      </c>
      <c r="AY39" s="213">
        <f>RMU!H40/1000</f>
        <v>39314.629740000004</v>
      </c>
      <c r="AZ39" s="192">
        <v>22740.85064</v>
      </c>
      <c r="BA39" s="113">
        <v>67958.29135</v>
      </c>
      <c r="BB39" s="55">
        <v>18417.33652</v>
      </c>
      <c r="BC39" s="55">
        <v>17539</v>
      </c>
      <c r="BD39" s="114">
        <v>40641</v>
      </c>
      <c r="BE39" s="213">
        <f t="shared" si="6"/>
        <v>212032.20380999998</v>
      </c>
      <c r="BF39" s="537">
        <f t="shared" si="7"/>
        <v>131349.01666000002</v>
      </c>
      <c r="BG39" s="537">
        <f t="shared" si="11"/>
        <v>147244.08317</v>
      </c>
      <c r="BH39" s="537">
        <f t="shared" si="12"/>
        <v>93240.88903</v>
      </c>
      <c r="BI39" s="537">
        <f t="shared" si="13"/>
        <v>100249</v>
      </c>
      <c r="BJ39" s="527">
        <f t="shared" si="14"/>
        <v>111567</v>
      </c>
    </row>
    <row r="40" spans="1:62" s="2" customFormat="1" ht="11.25">
      <c r="A40" s="12"/>
      <c r="B40" s="20" t="s">
        <v>29</v>
      </c>
      <c r="C40" s="20"/>
      <c r="D40" s="20"/>
      <c r="E40" s="60">
        <v>38</v>
      </c>
      <c r="F40" s="97">
        <f>SKM!H41/1000</f>
        <v>0</v>
      </c>
      <c r="G40" s="192">
        <v>0</v>
      </c>
      <c r="H40" s="113">
        <v>0</v>
      </c>
      <c r="I40" s="55">
        <v>1127.007</v>
      </c>
      <c r="J40" s="55">
        <v>0</v>
      </c>
      <c r="K40" s="114">
        <v>0</v>
      </c>
      <c r="L40" s="97">
        <f>SUKB!H41/1000</f>
        <v>0</v>
      </c>
      <c r="M40" s="501">
        <v>0</v>
      </c>
      <c r="N40" s="97">
        <f>UCT!H41/1000</f>
        <v>0</v>
      </c>
      <c r="O40" s="192">
        <v>0</v>
      </c>
      <c r="P40" s="114">
        <v>0</v>
      </c>
      <c r="Q40" s="97">
        <f>SPSSN!H41/1000</f>
        <v>0</v>
      </c>
      <c r="R40" s="192">
        <v>0</v>
      </c>
      <c r="S40" s="114">
        <v>0</v>
      </c>
      <c r="T40" s="97">
        <f>IBA!H41/1000</f>
        <v>0</v>
      </c>
      <c r="U40" s="501">
        <v>0</v>
      </c>
      <c r="V40" s="213">
        <v>777.75</v>
      </c>
      <c r="W40" s="113">
        <v>0</v>
      </c>
      <c r="X40" s="55">
        <v>240</v>
      </c>
      <c r="Y40" s="55">
        <v>0</v>
      </c>
      <c r="Z40" s="114">
        <v>0</v>
      </c>
      <c r="AA40" s="213">
        <f>ÚVT!H41/1000</f>
        <v>0</v>
      </c>
      <c r="AB40" s="192">
        <v>0</v>
      </c>
      <c r="AC40" s="113">
        <v>0</v>
      </c>
      <c r="AD40" s="55">
        <v>17.329</v>
      </c>
      <c r="AE40" s="55">
        <v>0</v>
      </c>
      <c r="AF40" s="114">
        <v>0</v>
      </c>
      <c r="AG40" s="213">
        <f>VMU!H41/1000</f>
        <v>103.95</v>
      </c>
      <c r="AH40" s="192">
        <v>140</v>
      </c>
      <c r="AI40" s="113">
        <v>0</v>
      </c>
      <c r="AJ40" s="55">
        <v>262.66</v>
      </c>
      <c r="AK40" s="55">
        <v>0</v>
      </c>
      <c r="AL40" s="114">
        <v>0</v>
      </c>
      <c r="AM40" s="213">
        <f>CJV!H41/1000</f>
        <v>0</v>
      </c>
      <c r="AN40" s="192">
        <v>0</v>
      </c>
      <c r="AO40" s="113">
        <v>0</v>
      </c>
      <c r="AP40" s="55">
        <v>0</v>
      </c>
      <c r="AQ40" s="55">
        <v>0</v>
      </c>
      <c r="AR40" s="114">
        <v>0</v>
      </c>
      <c r="AS40" s="213">
        <f>CZS!H41/1000</f>
        <v>0</v>
      </c>
      <c r="AT40" s="192">
        <v>0</v>
      </c>
      <c r="AU40" s="113">
        <v>0</v>
      </c>
      <c r="AV40" s="55">
        <v>0</v>
      </c>
      <c r="AW40" s="55">
        <v>0</v>
      </c>
      <c r="AX40" s="114">
        <v>0</v>
      </c>
      <c r="AY40" s="213">
        <f>RMU!H41/1000</f>
        <v>17682.936</v>
      </c>
      <c r="AZ40" s="192">
        <v>4468.5</v>
      </c>
      <c r="BA40" s="113">
        <v>4197.784</v>
      </c>
      <c r="BB40" s="55">
        <v>4744.332</v>
      </c>
      <c r="BC40" s="55">
        <v>2090</v>
      </c>
      <c r="BD40" s="114">
        <v>0</v>
      </c>
      <c r="BE40" s="213">
        <f t="shared" si="6"/>
        <v>17786.886000000002</v>
      </c>
      <c r="BF40" s="537">
        <f t="shared" si="7"/>
        <v>5386.25</v>
      </c>
      <c r="BG40" s="537">
        <f t="shared" si="11"/>
        <v>4197.784</v>
      </c>
      <c r="BH40" s="537">
        <f t="shared" si="12"/>
        <v>6391.328</v>
      </c>
      <c r="BI40" s="537">
        <f t="shared" si="13"/>
        <v>2090</v>
      </c>
      <c r="BJ40" s="527">
        <f t="shared" si="14"/>
        <v>0</v>
      </c>
    </row>
    <row r="41" spans="1:62" s="2" customFormat="1" ht="12" thickBot="1">
      <c r="A41" s="12"/>
      <c r="B41" s="20" t="s">
        <v>30</v>
      </c>
      <c r="C41" s="20"/>
      <c r="D41" s="20"/>
      <c r="E41" s="60">
        <v>39</v>
      </c>
      <c r="F41" s="97">
        <f>SKM!H42/1000</f>
        <v>34167.46992</v>
      </c>
      <c r="G41" s="192">
        <v>28024.43098</v>
      </c>
      <c r="H41" s="94">
        <v>30730.29481</v>
      </c>
      <c r="I41" s="115">
        <v>26646.0877</v>
      </c>
      <c r="J41" s="115">
        <v>24114</v>
      </c>
      <c r="K41" s="116">
        <v>25330</v>
      </c>
      <c r="L41" s="97">
        <f>SUKB!H42/1000</f>
        <v>0</v>
      </c>
      <c r="M41" s="501">
        <v>0</v>
      </c>
      <c r="N41" s="97">
        <f>UCT!H42/1000</f>
        <v>0</v>
      </c>
      <c r="O41" s="192">
        <v>0</v>
      </c>
      <c r="P41" s="114">
        <v>0</v>
      </c>
      <c r="Q41" s="97">
        <f>SPSSN!H42/1000</f>
        <v>0</v>
      </c>
      <c r="R41" s="192">
        <v>0</v>
      </c>
      <c r="S41" s="114">
        <v>0</v>
      </c>
      <c r="T41" s="97">
        <f>IBA!H42/1000</f>
        <v>5521.2431</v>
      </c>
      <c r="U41" s="501">
        <v>0</v>
      </c>
      <c r="V41" s="213">
        <v>39.6341</v>
      </c>
      <c r="W41" s="94">
        <v>1548.14574</v>
      </c>
      <c r="X41" s="115">
        <v>1099.12804</v>
      </c>
      <c r="Y41" s="115">
        <v>1429</v>
      </c>
      <c r="Z41" s="116">
        <v>2585</v>
      </c>
      <c r="AA41" s="213">
        <f>ÚVT!H42/1000</f>
        <v>22116.568600000002</v>
      </c>
      <c r="AB41" s="192">
        <v>19919.27956</v>
      </c>
      <c r="AC41" s="94">
        <v>16221.5665</v>
      </c>
      <c r="AD41" s="115">
        <v>8855.891300000001</v>
      </c>
      <c r="AE41" s="115">
        <v>8948</v>
      </c>
      <c r="AF41" s="116">
        <v>8950</v>
      </c>
      <c r="AG41" s="213">
        <f>VMU!H42/1000</f>
        <v>876.2919300000001</v>
      </c>
      <c r="AH41" s="192">
        <v>1199.5683000000001</v>
      </c>
      <c r="AI41" s="94">
        <v>1130.5889399999999</v>
      </c>
      <c r="AJ41" s="115">
        <v>603.2420699999999</v>
      </c>
      <c r="AK41" s="115">
        <v>803</v>
      </c>
      <c r="AL41" s="116">
        <v>0</v>
      </c>
      <c r="AM41" s="213">
        <f>CJV!H42/1000</f>
        <v>0</v>
      </c>
      <c r="AN41" s="192">
        <v>0</v>
      </c>
      <c r="AO41" s="94">
        <v>0</v>
      </c>
      <c r="AP41" s="115">
        <v>0</v>
      </c>
      <c r="AQ41" s="115">
        <v>0</v>
      </c>
      <c r="AR41" s="116">
        <v>29</v>
      </c>
      <c r="AS41" s="213">
        <f>CZS!H42/1000</f>
        <v>0</v>
      </c>
      <c r="AT41" s="192">
        <v>0</v>
      </c>
      <c r="AU41" s="94">
        <v>0</v>
      </c>
      <c r="AV41" s="115">
        <v>0</v>
      </c>
      <c r="AW41" s="115">
        <v>0</v>
      </c>
      <c r="AX41" s="116">
        <v>0</v>
      </c>
      <c r="AY41" s="213">
        <f>RMU!H42/1000</f>
        <v>1793.15823</v>
      </c>
      <c r="AZ41" s="192">
        <v>1691.7198</v>
      </c>
      <c r="BA41" s="94">
        <v>2014.4933700000001</v>
      </c>
      <c r="BB41" s="115">
        <v>1854.6731100000002</v>
      </c>
      <c r="BC41" s="115">
        <v>2143</v>
      </c>
      <c r="BD41" s="116">
        <v>2452</v>
      </c>
      <c r="BE41" s="213">
        <f t="shared" si="6"/>
        <v>64474.73178000001</v>
      </c>
      <c r="BF41" s="537">
        <f t="shared" si="7"/>
        <v>50874.632739999994</v>
      </c>
      <c r="BG41" s="537">
        <f t="shared" si="11"/>
        <v>51645.08936</v>
      </c>
      <c r="BH41" s="539">
        <f t="shared" si="12"/>
        <v>39059.022220000006</v>
      </c>
      <c r="BI41" s="539">
        <f t="shared" si="13"/>
        <v>37437</v>
      </c>
      <c r="BJ41" s="529">
        <f t="shared" si="14"/>
        <v>39346</v>
      </c>
    </row>
    <row r="42" spans="1:62" s="11" customFormat="1" ht="12" hidden="1" thickBot="1">
      <c r="A42" s="40" t="s">
        <v>117</v>
      </c>
      <c r="B42" s="41"/>
      <c r="C42" s="41"/>
      <c r="D42" s="41"/>
      <c r="E42" s="58">
        <v>42</v>
      </c>
      <c r="F42" s="499">
        <f>SKM!F43/1000</f>
        <v>0</v>
      </c>
      <c r="G42" s="125">
        <f>SKM!G43/1000</f>
        <v>0</v>
      </c>
      <c r="H42" s="124"/>
      <c r="I42" s="125" t="e">
        <f>SKM!#REF!/1000</f>
        <v>#REF!</v>
      </c>
      <c r="J42" s="125" t="e">
        <f>#REF!</f>
        <v>#REF!</v>
      </c>
      <c r="K42" s="126" t="e">
        <f>#REF!</f>
        <v>#REF!</v>
      </c>
      <c r="L42" s="123" t="e">
        <f>SKM!#REF!/1000</f>
        <v>#REF!</v>
      </c>
      <c r="M42" s="501">
        <f>UCT!H43/1000</f>
        <v>-85.78132000000001</v>
      </c>
      <c r="N42" s="159">
        <f>UCT!H43/1000</f>
        <v>-85.78132000000001</v>
      </c>
      <c r="O42" s="125" t="e">
        <f>SKM!#REF!/1000</f>
        <v>#REF!</v>
      </c>
      <c r="P42" s="114">
        <f>UCT!K43/1000</f>
        <v>0</v>
      </c>
      <c r="Q42" s="499" t="e">
        <f>SKM!#REF!/1000</f>
        <v>#REF!</v>
      </c>
      <c r="R42" s="125" t="e">
        <f>SKM!#REF!/1000</f>
        <v>#REF!</v>
      </c>
      <c r="S42" s="126"/>
      <c r="T42" s="123" t="e">
        <f>SKM!#REF!/1000</f>
        <v>#REF!</v>
      </c>
      <c r="U42" s="501">
        <f>UCT!P43/1000</f>
        <v>0</v>
      </c>
      <c r="V42" s="123" t="e">
        <f>SKM!#REF!/1000</f>
        <v>#REF!</v>
      </c>
      <c r="W42" s="124"/>
      <c r="X42" s="125" t="e">
        <f>#REF!/1000</f>
        <v>#REF!</v>
      </c>
      <c r="Y42" s="125" t="e">
        <f>#REF!</f>
        <v>#REF!</v>
      </c>
      <c r="Z42" s="126" t="e">
        <f>#REF!</f>
        <v>#REF!</v>
      </c>
      <c r="AA42" s="499" t="e">
        <f>SKM!#REF!/1000</f>
        <v>#REF!</v>
      </c>
      <c r="AB42" s="125" t="e">
        <f>SKM!#REF!/1000</f>
        <v>#REF!</v>
      </c>
      <c r="AC42" s="124"/>
      <c r="AD42" s="125" t="e">
        <f>ÚVT!#REF!/1000</f>
        <v>#REF!</v>
      </c>
      <c r="AE42" s="125" t="e">
        <f>#REF!</f>
        <v>#REF!</v>
      </c>
      <c r="AF42" s="126" t="e">
        <f>#REF!</f>
        <v>#REF!</v>
      </c>
      <c r="AG42" s="499">
        <f>SKM!Q43/1000</f>
        <v>0</v>
      </c>
      <c r="AH42" s="125">
        <f>SKM!R43/1000</f>
        <v>0</v>
      </c>
      <c r="AI42" s="124"/>
      <c r="AJ42" s="125" t="e">
        <f>VMU!#REF!/1000</f>
        <v>#REF!</v>
      </c>
      <c r="AK42" s="125" t="e">
        <f>#REF!</f>
        <v>#REF!</v>
      </c>
      <c r="AL42" s="126" t="e">
        <f>#REF!</f>
        <v>#REF!</v>
      </c>
      <c r="AM42" s="499">
        <f>SKM!V43/1000</f>
        <v>0</v>
      </c>
      <c r="AN42" s="125">
        <f>SKM!W43/1000</f>
        <v>0</v>
      </c>
      <c r="AO42" s="124"/>
      <c r="AP42" s="125" t="e">
        <f>CJV!#REF!/1000</f>
        <v>#REF!</v>
      </c>
      <c r="AQ42" s="125" t="e">
        <f>#REF!</f>
        <v>#REF!</v>
      </c>
      <c r="AR42" s="126" t="e">
        <f>#REF!</f>
        <v>#REF!</v>
      </c>
      <c r="AS42" s="499">
        <f>SKM!AA43/1000</f>
        <v>0</v>
      </c>
      <c r="AT42" s="125">
        <f>SKM!AB43/1000</f>
        <v>0</v>
      </c>
      <c r="AU42" s="124"/>
      <c r="AV42" s="125" t="e">
        <f>CZS!#REF!/1000</f>
        <v>#REF!</v>
      </c>
      <c r="AW42" s="125" t="e">
        <f>#REF!</f>
        <v>#REF!</v>
      </c>
      <c r="AX42" s="126" t="e">
        <f>#REF!</f>
        <v>#REF!</v>
      </c>
      <c r="AY42" s="499">
        <f>SKM!AF43/1000</f>
        <v>0</v>
      </c>
      <c r="AZ42" s="125">
        <f>SKM!AG43/1000</f>
        <v>0</v>
      </c>
      <c r="BA42" s="124"/>
      <c r="BB42" s="125" t="e">
        <f>RMU!#REF!/1000</f>
        <v>#REF!</v>
      </c>
      <c r="BC42" s="125" t="e">
        <f>#REF!</f>
        <v>#REF!</v>
      </c>
      <c r="BD42" s="126" t="e">
        <f>#REF!</f>
        <v>#REF!</v>
      </c>
      <c r="BE42" s="520" t="e">
        <f>F42+V42+AA42+AG42+AM42+AS42+AY42</f>
        <v>#REF!</v>
      </c>
      <c r="BF42" s="540" t="e">
        <f>G42+W42+AB42+AH42+AN42+AT42+AZ42</f>
        <v>#REF!</v>
      </c>
      <c r="BG42" s="540"/>
      <c r="BH42" s="540" t="e">
        <f>E42+K42+Z42+AF42+AL42+AR42+AX42</f>
        <v>#REF!</v>
      </c>
      <c r="BI42" s="540" t="e">
        <f>J42+Y42+AE42+AK42+AQ42+AW42+BC42</f>
        <v>#REF!</v>
      </c>
      <c r="BJ42" s="530">
        <f>BJ27+BJ32+BJ35+BJ39+BJ40+BJ41-BJ4-BJ25</f>
        <v>35278</v>
      </c>
    </row>
    <row r="43" spans="1:62" s="2" customFormat="1" ht="13.5" thickBot="1">
      <c r="A43" s="92" t="s">
        <v>33</v>
      </c>
      <c r="B43" s="118"/>
      <c r="C43" s="118"/>
      <c r="D43" s="118"/>
      <c r="E43" s="127">
        <v>40</v>
      </c>
      <c r="F43" s="498">
        <f aca="true" t="shared" si="15" ref="F43:BJ43">F26-F3</f>
        <v>2819.7164400000183</v>
      </c>
      <c r="G43" s="121">
        <f>G26-G3</f>
        <v>5348.613390000042</v>
      </c>
      <c r="H43" s="120">
        <f t="shared" si="15"/>
        <v>6566.655509999982</v>
      </c>
      <c r="I43" s="121">
        <f t="shared" si="15"/>
        <v>2568.4607499999984</v>
      </c>
      <c r="J43" s="121">
        <f t="shared" si="15"/>
        <v>5838</v>
      </c>
      <c r="K43" s="122">
        <f t="shared" si="15"/>
        <v>4121</v>
      </c>
      <c r="L43" s="119">
        <f>L26-L3</f>
        <v>4.2223399999984395</v>
      </c>
      <c r="M43" s="197">
        <f>M26-M3</f>
        <v>0</v>
      </c>
      <c r="N43" s="498">
        <f>N26-N3</f>
        <v>303.196219999998</v>
      </c>
      <c r="O43" s="121">
        <f>O26-O3</f>
        <v>200.65012999999954</v>
      </c>
      <c r="P43" s="197">
        <f t="shared" si="15"/>
        <v>0</v>
      </c>
      <c r="Q43" s="498">
        <f>Q26-Q3</f>
        <v>107.15927999999985</v>
      </c>
      <c r="R43" s="121">
        <f>R26-R3</f>
        <v>0.0005099999980302528</v>
      </c>
      <c r="S43" s="197">
        <f t="shared" si="15"/>
        <v>0</v>
      </c>
      <c r="T43" s="119">
        <f>T26-T3</f>
        <v>151.38990999999078</v>
      </c>
      <c r="U43" s="197">
        <f>U26-U3</f>
        <v>0</v>
      </c>
      <c r="V43" s="119">
        <f>V26-V3</f>
        <v>-803.0078599999988</v>
      </c>
      <c r="W43" s="120">
        <f t="shared" si="15"/>
        <v>2925.6829899999993</v>
      </c>
      <c r="X43" s="121">
        <f t="shared" si="15"/>
        <v>2134.2975599999972</v>
      </c>
      <c r="Y43" s="121">
        <f t="shared" si="15"/>
        <v>4050</v>
      </c>
      <c r="Z43" s="122">
        <f t="shared" si="15"/>
        <v>1971</v>
      </c>
      <c r="AA43" s="498">
        <f>AA26-AA3</f>
        <v>3136.6624199999787</v>
      </c>
      <c r="AB43" s="121">
        <f>AB26-AB3</f>
        <v>3630.259149999998</v>
      </c>
      <c r="AC43" s="120">
        <f t="shared" si="15"/>
        <v>1884.5327800000232</v>
      </c>
      <c r="AD43" s="121">
        <f t="shared" si="15"/>
        <v>2559.8970699999772</v>
      </c>
      <c r="AE43" s="121">
        <f t="shared" si="15"/>
        <v>539</v>
      </c>
      <c r="AF43" s="122">
        <f t="shared" si="15"/>
        <v>945</v>
      </c>
      <c r="AG43" s="498">
        <f t="shared" si="15"/>
        <v>25.19283000000064</v>
      </c>
      <c r="AH43" s="121">
        <f>AH26-AH3</f>
        <v>34.528580000000375</v>
      </c>
      <c r="AI43" s="120">
        <f t="shared" si="15"/>
        <v>46.35279000000037</v>
      </c>
      <c r="AJ43" s="121">
        <f t="shared" si="15"/>
        <v>8.407080000000065</v>
      </c>
      <c r="AK43" s="121">
        <f t="shared" si="15"/>
        <v>15</v>
      </c>
      <c r="AL43" s="122">
        <f t="shared" si="15"/>
        <v>16</v>
      </c>
      <c r="AM43" s="498">
        <f t="shared" si="15"/>
        <v>85.41506999999547</v>
      </c>
      <c r="AN43" s="121">
        <f>AN26-AN3</f>
        <v>74.8696600000003</v>
      </c>
      <c r="AO43" s="120">
        <f t="shared" si="15"/>
        <v>41.38725999999588</v>
      </c>
      <c r="AP43" s="121">
        <f t="shared" si="15"/>
        <v>24.937349999992875</v>
      </c>
      <c r="AQ43" s="121">
        <f t="shared" si="15"/>
        <v>38</v>
      </c>
      <c r="AR43" s="122">
        <f t="shared" si="15"/>
        <v>93</v>
      </c>
      <c r="AS43" s="498">
        <f t="shared" si="15"/>
        <v>491.1814500000037</v>
      </c>
      <c r="AT43" s="121">
        <f>AT26-AT3</f>
        <v>777.7498200000045</v>
      </c>
      <c r="AU43" s="120">
        <f t="shared" si="15"/>
        <v>19.537380000001576</v>
      </c>
      <c r="AV43" s="121">
        <f t="shared" si="15"/>
        <v>26.687369999999646</v>
      </c>
      <c r="AW43" s="121">
        <f t="shared" si="15"/>
        <v>385</v>
      </c>
      <c r="AX43" s="122">
        <f t="shared" si="15"/>
        <v>544</v>
      </c>
      <c r="AY43" s="498">
        <f t="shared" si="15"/>
        <v>18230.42949000001</v>
      </c>
      <c r="AZ43" s="121">
        <f>AZ26-AZ3</f>
        <v>10220.252479999966</v>
      </c>
      <c r="BA43" s="120">
        <f t="shared" si="15"/>
        <v>9493.043459999986</v>
      </c>
      <c r="BB43" s="121">
        <f t="shared" si="15"/>
        <v>2302.332960000029</v>
      </c>
      <c r="BC43" s="121">
        <f t="shared" si="15"/>
        <v>9559</v>
      </c>
      <c r="BD43" s="122">
        <f t="shared" si="15"/>
        <v>33258</v>
      </c>
      <c r="BE43" s="521">
        <f t="shared" si="15"/>
        <v>25354.565450000344</v>
      </c>
      <c r="BF43" s="541">
        <f>BF26-BF3</f>
        <v>19483.915860000066</v>
      </c>
      <c r="BG43" s="541">
        <f t="shared" si="15"/>
        <v>20977.192170000053</v>
      </c>
      <c r="BH43" s="541">
        <f t="shared" si="15"/>
        <v>9625.02013999992</v>
      </c>
      <c r="BI43" s="541">
        <f t="shared" si="15"/>
        <v>20424</v>
      </c>
      <c r="BJ43" s="531">
        <f t="shared" si="15"/>
        <v>40948</v>
      </c>
    </row>
    <row r="44" spans="1:56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"/>
      <c r="W44" s="2"/>
      <c r="X44" s="2"/>
      <c r="Y44" s="2"/>
      <c r="Z44" s="11"/>
      <c r="AA44" s="2"/>
      <c r="AB44" s="2"/>
      <c r="AC44" s="2"/>
      <c r="AD44" s="2"/>
      <c r="AE44" s="2"/>
      <c r="AF44" s="11"/>
      <c r="AG44" s="2"/>
      <c r="AH44" s="2"/>
      <c r="AI44" s="2"/>
      <c r="AJ44" s="2"/>
      <c r="AK44" s="2"/>
      <c r="AL44" s="11"/>
      <c r="AM44" s="2"/>
      <c r="AN44" s="2"/>
      <c r="AO44" s="2"/>
      <c r="AP44" s="2"/>
      <c r="AQ44" s="2"/>
      <c r="AR44" s="11"/>
      <c r="AS44" s="2"/>
      <c r="AT44" s="2"/>
      <c r="AU44" s="2"/>
      <c r="AV44" s="2"/>
      <c r="AW44" s="2"/>
      <c r="AX44" s="11"/>
      <c r="AY44" s="2"/>
      <c r="AZ44" s="2"/>
      <c r="BA44" s="2"/>
      <c r="BB44" s="2"/>
      <c r="BC44" s="2"/>
      <c r="BD44" s="11"/>
    </row>
    <row r="45" spans="1:62" s="2" customFormat="1" ht="11.25">
      <c r="A45" s="2" t="s">
        <v>41</v>
      </c>
      <c r="B45" s="2" t="s">
        <v>41</v>
      </c>
      <c r="C45" s="2" t="s">
        <v>41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Z45" s="11"/>
      <c r="AF45" s="11"/>
      <c r="AL45" s="11"/>
      <c r="AR45" s="11"/>
      <c r="AX45" s="11"/>
      <c r="BD45" s="11"/>
      <c r="BE45" s="11"/>
      <c r="BF45" s="11"/>
      <c r="BG45" s="11"/>
      <c r="BH45" s="11"/>
      <c r="BI45" s="11"/>
      <c r="BJ45" s="11"/>
    </row>
    <row r="46" spans="11:62" s="2" customFormat="1" ht="11.25"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Z46" s="11"/>
      <c r="AF46" s="11"/>
      <c r="AL46" s="11"/>
      <c r="AR46" s="11"/>
      <c r="AX46" s="11"/>
      <c r="BD46" s="11"/>
      <c r="BE46" s="11"/>
      <c r="BF46" s="11"/>
      <c r="BG46" s="11"/>
      <c r="BH46" s="11"/>
      <c r="BI46" s="11"/>
      <c r="BJ46" s="11"/>
    </row>
  </sheetData>
  <mergeCells count="6">
    <mergeCell ref="A1:D1"/>
    <mergeCell ref="V1:Z1"/>
    <mergeCell ref="N1:P1"/>
    <mergeCell ref="Q1:S1"/>
    <mergeCell ref="L1:M1"/>
    <mergeCell ref="T1:U1"/>
  </mergeCells>
  <printOptions/>
  <pageMargins left="0.39" right="0.23" top="0.4330708661417323" bottom="0.42" header="0.1968503937007874" footer="0.21"/>
  <pageSetup horizontalDpi="600" verticalDpi="600" orientation="landscape" paperSize="9" scale="88" r:id="rId1"/>
  <headerFooter alignWithMargins="0">
    <oddHeader>&amp;L&amp;"Arial CE,kurzíva\&amp;11Osnova rozpočtu</oddHeader>
    <oddFooter>&amp;L&amp;8&amp;D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3"/>
  <dimension ref="A1:AC44"/>
  <sheetViews>
    <sheetView tabSelected="1" workbookViewId="0" topLeftCell="A2">
      <selection activeCell="F43" sqref="F43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6.375" style="5" customWidth="1"/>
    <col min="5" max="5" width="3.75390625" style="5" customWidth="1"/>
    <col min="6" max="7" width="8.375" style="2" customWidth="1"/>
    <col min="8" max="10" width="7.875" style="2" bestFit="1" customWidth="1"/>
    <col min="11" max="11" width="7.125" style="2" bestFit="1" customWidth="1"/>
    <col min="12" max="13" width="7.25390625" style="2" customWidth="1"/>
    <col min="14" max="17" width="7.125" style="2" bestFit="1" customWidth="1"/>
    <col min="18" max="19" width="8.375" style="2" customWidth="1"/>
    <col min="20" max="23" width="7.875" style="2" bestFit="1" customWidth="1"/>
    <col min="24" max="27" width="5.00390625" style="2" customWidth="1"/>
    <col min="28" max="28" width="5.25390625" style="2" customWidth="1"/>
    <col min="29" max="29" width="4.00390625" style="5" customWidth="1"/>
    <col min="30" max="16384" width="9.125" style="5" customWidth="1"/>
  </cols>
  <sheetData>
    <row r="1" spans="1:28" ht="12.75">
      <c r="A1" s="627" t="s">
        <v>217</v>
      </c>
      <c r="B1" s="628"/>
      <c r="C1" s="628"/>
      <c r="D1" s="628"/>
      <c r="E1" s="98"/>
      <c r="F1" s="141"/>
      <c r="G1" s="143"/>
      <c r="H1" s="143" t="s">
        <v>72</v>
      </c>
      <c r="I1" s="143"/>
      <c r="J1" s="143"/>
      <c r="K1" s="144"/>
      <c r="L1" s="141"/>
      <c r="M1" s="466"/>
      <c r="N1" s="170" t="s">
        <v>9</v>
      </c>
      <c r="O1" s="170"/>
      <c r="P1" s="143"/>
      <c r="Q1" s="144"/>
      <c r="R1" s="141"/>
      <c r="S1" s="143"/>
      <c r="T1" s="143" t="s">
        <v>87</v>
      </c>
      <c r="U1" s="143"/>
      <c r="V1" s="143"/>
      <c r="W1" s="144"/>
      <c r="X1" s="145"/>
      <c r="Y1" s="146"/>
      <c r="Z1" s="146" t="s">
        <v>88</v>
      </c>
      <c r="AA1" s="146"/>
      <c r="AB1" s="147"/>
    </row>
    <row r="2" spans="1:28" ht="13.5" thickBot="1">
      <c r="A2" s="102" t="s">
        <v>39</v>
      </c>
      <c r="B2" s="32"/>
      <c r="C2" s="32"/>
      <c r="D2" s="33" t="s">
        <v>116</v>
      </c>
      <c r="E2" s="103" t="s">
        <v>21</v>
      </c>
      <c r="F2" s="503">
        <v>2006</v>
      </c>
      <c r="G2" s="500">
        <v>2005</v>
      </c>
      <c r="H2" s="104">
        <v>2004</v>
      </c>
      <c r="I2" s="104">
        <v>2003</v>
      </c>
      <c r="J2" s="104">
        <v>2002</v>
      </c>
      <c r="K2" s="148">
        <v>2001</v>
      </c>
      <c r="L2" s="503">
        <v>2006</v>
      </c>
      <c r="M2" s="500">
        <v>2005</v>
      </c>
      <c r="N2" s="104">
        <v>2004</v>
      </c>
      <c r="O2" s="104">
        <v>2003</v>
      </c>
      <c r="P2" s="104">
        <v>2002</v>
      </c>
      <c r="Q2" s="148">
        <v>2001</v>
      </c>
      <c r="R2" s="503">
        <v>2006</v>
      </c>
      <c r="S2" s="500">
        <v>2005</v>
      </c>
      <c r="T2" s="104">
        <v>2004</v>
      </c>
      <c r="U2" s="104">
        <v>2003</v>
      </c>
      <c r="V2" s="104">
        <v>2002</v>
      </c>
      <c r="W2" s="148">
        <v>2001</v>
      </c>
      <c r="X2" s="505" t="s">
        <v>215</v>
      </c>
      <c r="Y2" s="168" t="s">
        <v>131</v>
      </c>
      <c r="Z2" s="196" t="s">
        <v>126</v>
      </c>
      <c r="AA2" s="168" t="s">
        <v>89</v>
      </c>
      <c r="AB2" s="169" t="s">
        <v>90</v>
      </c>
    </row>
    <row r="3" spans="1:28" ht="12.75" thickBot="1">
      <c r="A3" s="130" t="s">
        <v>35</v>
      </c>
      <c r="B3" s="131"/>
      <c r="C3" s="131"/>
      <c r="D3" s="131"/>
      <c r="E3" s="506">
        <v>1</v>
      </c>
      <c r="F3" s="149">
        <f>SUM(F5:F25)</f>
        <v>2274243.32199</v>
      </c>
      <c r="G3" s="109">
        <f>SUM(G5:G25)</f>
        <v>2007662.3658600003</v>
      </c>
      <c r="H3" s="109">
        <f aca="true" t="shared" si="0" ref="H3:W3">SUM(H5:H25)</f>
        <v>1626397.1424999994</v>
      </c>
      <c r="I3" s="109">
        <f t="shared" si="0"/>
        <v>1292301.61446</v>
      </c>
      <c r="J3" s="109">
        <f t="shared" si="0"/>
        <v>1177697.6819999998</v>
      </c>
      <c r="K3" s="150">
        <f t="shared" si="0"/>
        <v>971308</v>
      </c>
      <c r="L3" s="149">
        <f>SUM(L5:L25)</f>
        <v>840213.6832399999</v>
      </c>
      <c r="M3" s="109">
        <f>SUM(M5:M25)</f>
        <v>608798.96147</v>
      </c>
      <c r="N3" s="109">
        <f t="shared" si="0"/>
        <v>548251.6847299999</v>
      </c>
      <c r="O3" s="109">
        <f t="shared" si="0"/>
        <v>564317.5016000001</v>
      </c>
      <c r="P3" s="109">
        <f t="shared" si="0"/>
        <v>526515</v>
      </c>
      <c r="Q3" s="150">
        <f t="shared" si="0"/>
        <v>483625</v>
      </c>
      <c r="R3" s="492">
        <f>SUM(R5:R25)</f>
        <v>3114457.00523</v>
      </c>
      <c r="S3" s="109">
        <f>SUM(S5:S25)</f>
        <v>2616461.3273300002</v>
      </c>
      <c r="T3" s="109">
        <f t="shared" si="0"/>
        <v>2174648.82723</v>
      </c>
      <c r="U3" s="109">
        <f t="shared" si="0"/>
        <v>1856619.11606</v>
      </c>
      <c r="V3" s="109">
        <f t="shared" si="0"/>
        <v>1704212.6819999998</v>
      </c>
      <c r="W3" s="150">
        <f t="shared" si="0"/>
        <v>1454933</v>
      </c>
      <c r="X3" s="151">
        <f>R3/T3</f>
        <v>1.4321654909207102</v>
      </c>
      <c r="Y3" s="152">
        <f>S3/T3</f>
        <v>1.2031649867177714</v>
      </c>
      <c r="Z3" s="152">
        <f>T3/U3</f>
        <v>1.1712950752359497</v>
      </c>
      <c r="AA3" s="152">
        <f>U3/V3</f>
        <v>1.0894292336101745</v>
      </c>
      <c r="AB3" s="153">
        <f>V3/W3</f>
        <v>1.1713341315373285</v>
      </c>
    </row>
    <row r="4" spans="1:28" ht="12">
      <c r="A4" s="12" t="s">
        <v>10</v>
      </c>
      <c r="B4" s="13" t="s">
        <v>91</v>
      </c>
      <c r="C4" s="13"/>
      <c r="D4" s="13"/>
      <c r="E4" s="507">
        <v>2</v>
      </c>
      <c r="F4" s="154">
        <f>SUM(F5:F15)</f>
        <v>1493641.54239</v>
      </c>
      <c r="G4" s="53">
        <f>SUM(G5:G15)</f>
        <v>1309549.0711700001</v>
      </c>
      <c r="H4" s="53">
        <f aca="true" t="shared" si="1" ref="H4:W4">SUM(H5:H15)</f>
        <v>1168308.6457</v>
      </c>
      <c r="I4" s="53">
        <f t="shared" si="1"/>
        <v>864505.5167</v>
      </c>
      <c r="J4" s="53">
        <f t="shared" si="1"/>
        <v>784638.6319999999</v>
      </c>
      <c r="K4" s="155">
        <f t="shared" si="1"/>
        <v>654382</v>
      </c>
      <c r="L4" s="154">
        <f>SUM(L5:L15)</f>
        <v>671234.7359199999</v>
      </c>
      <c r="M4" s="53">
        <f>SUM(M5:M15)</f>
        <v>486316.56912999996</v>
      </c>
      <c r="N4" s="53">
        <f t="shared" si="1"/>
        <v>438822.49150999996</v>
      </c>
      <c r="O4" s="53">
        <f t="shared" si="1"/>
        <v>447033.78918000014</v>
      </c>
      <c r="P4" s="53">
        <f t="shared" si="1"/>
        <v>430889</v>
      </c>
      <c r="Q4" s="155">
        <f t="shared" si="1"/>
        <v>395199</v>
      </c>
      <c r="R4" s="61">
        <f>SUM(R5:R15)</f>
        <v>2164876.27831</v>
      </c>
      <c r="S4" s="53">
        <f>SUM(S5:S15)</f>
        <v>1795865.6402999999</v>
      </c>
      <c r="T4" s="53">
        <f t="shared" si="1"/>
        <v>1607131.13721</v>
      </c>
      <c r="U4" s="53">
        <f t="shared" si="1"/>
        <v>1311539.30588</v>
      </c>
      <c r="V4" s="53">
        <f t="shared" si="1"/>
        <v>1215527.632</v>
      </c>
      <c r="W4" s="155">
        <f t="shared" si="1"/>
        <v>1049581</v>
      </c>
      <c r="X4" s="156">
        <f>R4/T4</f>
        <v>1.3470439519131292</v>
      </c>
      <c r="Y4" s="157">
        <f aca="true" t="shared" si="2" ref="Y4:AA42">S4/T4</f>
        <v>1.1174356583107743</v>
      </c>
      <c r="Z4" s="157">
        <f t="shared" si="2"/>
        <v>1.2253777908178416</v>
      </c>
      <c r="AA4" s="157">
        <f t="shared" si="2"/>
        <v>1.078987652236276</v>
      </c>
      <c r="AB4" s="158">
        <f aca="true" t="shared" si="3" ref="AB4:AB42">V4/W4</f>
        <v>1.158107503851537</v>
      </c>
    </row>
    <row r="5" spans="1:29" s="29" customFormat="1" ht="12">
      <c r="A5" s="15"/>
      <c r="B5" s="16"/>
      <c r="C5" s="16" t="s">
        <v>13</v>
      </c>
      <c r="D5" s="17" t="s">
        <v>17</v>
      </c>
      <c r="E5" s="246">
        <v>3</v>
      </c>
      <c r="F5" s="159">
        <f>'fak06-01'!BH5</f>
        <v>730331.85093</v>
      </c>
      <c r="G5" s="54">
        <f>'fak06-01'!BI5</f>
        <v>664643.45289</v>
      </c>
      <c r="H5" s="54">
        <v>587588.6806999999</v>
      </c>
      <c r="I5" s="54">
        <v>465873.069</v>
      </c>
      <c r="J5" s="54">
        <v>402562.91</v>
      </c>
      <c r="K5" s="160">
        <v>341867</v>
      </c>
      <c r="L5" s="159">
        <f>'ost06-01'!BE5</f>
        <v>152852.54533</v>
      </c>
      <c r="M5" s="54">
        <f>'ost06-01'!BF5</f>
        <v>132371.187</v>
      </c>
      <c r="N5" s="54">
        <v>117108.08600000001</v>
      </c>
      <c r="O5" s="54">
        <v>101733.36600000001</v>
      </c>
      <c r="P5" s="54">
        <v>84044</v>
      </c>
      <c r="Q5" s="160">
        <v>67492</v>
      </c>
      <c r="R5" s="62">
        <f aca="true" t="shared" si="4" ref="R5:S25">F5+L5</f>
        <v>883184.39626</v>
      </c>
      <c r="S5" s="54">
        <f t="shared" si="4"/>
        <v>797014.63989</v>
      </c>
      <c r="T5" s="54">
        <f aca="true" t="shared" si="5" ref="T5:T25">H5+N5</f>
        <v>704696.7666999999</v>
      </c>
      <c r="U5" s="54">
        <f aca="true" t="shared" si="6" ref="U5:U25">I5+O5</f>
        <v>567606.435</v>
      </c>
      <c r="V5" s="54">
        <f aca="true" t="shared" si="7" ref="V5:V25">J5+P5</f>
        <v>486606.91</v>
      </c>
      <c r="W5" s="160">
        <f aca="true" t="shared" si="8" ref="W5:W25">K5+Q5</f>
        <v>409359</v>
      </c>
      <c r="X5" s="207">
        <f aca="true" t="shared" si="9" ref="X5:X43">R5/T5</f>
        <v>1.253282884205406</v>
      </c>
      <c r="Y5" s="208">
        <f t="shared" si="2"/>
        <v>1.1310036849215475</v>
      </c>
      <c r="Z5" s="208">
        <f t="shared" si="2"/>
        <v>1.2415235685268435</v>
      </c>
      <c r="AA5" s="161">
        <f t="shared" si="2"/>
        <v>1.1664578191049528</v>
      </c>
      <c r="AB5" s="162">
        <f t="shared" si="3"/>
        <v>1.1887045600560877</v>
      </c>
      <c r="AC5" s="36"/>
    </row>
    <row r="6" spans="1:28" s="29" customFormat="1" ht="12">
      <c r="A6" s="15"/>
      <c r="B6" s="16"/>
      <c r="C6" s="16"/>
      <c r="D6" s="17" t="s">
        <v>18</v>
      </c>
      <c r="E6" s="246">
        <v>4</v>
      </c>
      <c r="F6" s="159">
        <f>'fak06-01'!BH6</f>
        <v>24769.160999999996</v>
      </c>
      <c r="G6" s="54">
        <f>'fak06-01'!BI6</f>
        <v>24202.368599999998</v>
      </c>
      <c r="H6" s="54">
        <v>20646.951</v>
      </c>
      <c r="I6" s="54">
        <v>16356.579000000002</v>
      </c>
      <c r="J6" s="54">
        <v>13822.184000000001</v>
      </c>
      <c r="K6" s="160">
        <v>9284</v>
      </c>
      <c r="L6" s="159">
        <f>'ost06-01'!BE6</f>
        <v>9933.461</v>
      </c>
      <c r="M6" s="54">
        <f>'ost06-01'!BF6</f>
        <v>4053.88462</v>
      </c>
      <c r="N6" s="54">
        <v>3641.754</v>
      </c>
      <c r="O6" s="54">
        <v>3276.8630000000003</v>
      </c>
      <c r="P6" s="54">
        <v>2632</v>
      </c>
      <c r="Q6" s="160">
        <v>3628</v>
      </c>
      <c r="R6" s="62">
        <f t="shared" si="4"/>
        <v>34702.621999999996</v>
      </c>
      <c r="S6" s="54">
        <f t="shared" si="4"/>
        <v>28256.25322</v>
      </c>
      <c r="T6" s="54">
        <f t="shared" si="5"/>
        <v>24288.705</v>
      </c>
      <c r="U6" s="54">
        <f t="shared" si="6"/>
        <v>19633.442000000003</v>
      </c>
      <c r="V6" s="54">
        <f t="shared" si="7"/>
        <v>16454.184</v>
      </c>
      <c r="W6" s="160">
        <f t="shared" si="8"/>
        <v>12912</v>
      </c>
      <c r="X6" s="207">
        <f t="shared" si="9"/>
        <v>1.4287555470742468</v>
      </c>
      <c r="Y6" s="208">
        <f t="shared" si="2"/>
        <v>1.1633495165757086</v>
      </c>
      <c r="Z6" s="208">
        <f t="shared" si="2"/>
        <v>1.2371088574280555</v>
      </c>
      <c r="AA6" s="161">
        <f t="shared" si="2"/>
        <v>1.1932188189946096</v>
      </c>
      <c r="AB6" s="162">
        <f t="shared" si="3"/>
        <v>1.274332713754647</v>
      </c>
    </row>
    <row r="7" spans="1:28" s="29" customFormat="1" ht="12">
      <c r="A7" s="15"/>
      <c r="B7" s="16"/>
      <c r="C7" s="16"/>
      <c r="D7" s="17" t="s">
        <v>19</v>
      </c>
      <c r="E7" s="246">
        <v>5</v>
      </c>
      <c r="F7" s="159">
        <f>'fak06-01'!BH7</f>
        <v>257755.63457</v>
      </c>
      <c r="G7" s="54">
        <f>'fak06-01'!BI7</f>
        <v>234612.66040000002</v>
      </c>
      <c r="H7" s="54">
        <v>205892.59</v>
      </c>
      <c r="I7" s="54">
        <v>162716.08239999998</v>
      </c>
      <c r="J7" s="54">
        <v>140697.42</v>
      </c>
      <c r="K7" s="160">
        <v>118743</v>
      </c>
      <c r="L7" s="159">
        <f>'ost06-01'!BE7</f>
        <v>55397.23967</v>
      </c>
      <c r="M7" s="54">
        <f>'ost06-01'!BF7</f>
        <v>47048.579</v>
      </c>
      <c r="N7" s="54">
        <v>41555.045</v>
      </c>
      <c r="O7" s="54">
        <v>35697.4893</v>
      </c>
      <c r="P7" s="54">
        <v>29570</v>
      </c>
      <c r="Q7" s="160">
        <v>23938</v>
      </c>
      <c r="R7" s="62">
        <f t="shared" si="4"/>
        <v>313152.87424</v>
      </c>
      <c r="S7" s="54">
        <f t="shared" si="4"/>
        <v>281661.2394</v>
      </c>
      <c r="T7" s="54">
        <f t="shared" si="5"/>
        <v>247447.635</v>
      </c>
      <c r="U7" s="54">
        <f t="shared" si="6"/>
        <v>198413.57169999997</v>
      </c>
      <c r="V7" s="54">
        <f t="shared" si="7"/>
        <v>170267.42</v>
      </c>
      <c r="W7" s="160">
        <f t="shared" si="8"/>
        <v>142681</v>
      </c>
      <c r="X7" s="207">
        <f t="shared" si="9"/>
        <v>1.2655318942126885</v>
      </c>
      <c r="Y7" s="208">
        <f t="shared" si="2"/>
        <v>1.1382660391965356</v>
      </c>
      <c r="Z7" s="208">
        <f t="shared" si="2"/>
        <v>1.2471305913193238</v>
      </c>
      <c r="AA7" s="161">
        <f t="shared" si="2"/>
        <v>1.1653055628610567</v>
      </c>
      <c r="AB7" s="162">
        <f t="shared" si="3"/>
        <v>1.1933433323287614</v>
      </c>
    </row>
    <row r="8" spans="1:28" s="29" customFormat="1" ht="12">
      <c r="A8" s="15"/>
      <c r="B8" s="16"/>
      <c r="C8" s="16"/>
      <c r="D8" s="17" t="s">
        <v>0</v>
      </c>
      <c r="E8" s="246">
        <v>6</v>
      </c>
      <c r="F8" s="159">
        <f>'fak06-01'!BH8</f>
        <v>46299.60006</v>
      </c>
      <c r="G8" s="54">
        <f>'fak06-01'!BI8</f>
        <v>35788.23969</v>
      </c>
      <c r="H8" s="54">
        <v>35150.16365</v>
      </c>
      <c r="I8" s="54">
        <v>30146.882180000004</v>
      </c>
      <c r="J8" s="54">
        <v>35683.574</v>
      </c>
      <c r="K8" s="160">
        <v>33932</v>
      </c>
      <c r="L8" s="159">
        <f>'ost06-01'!BE8</f>
        <v>36328.371960000004</v>
      </c>
      <c r="M8" s="54">
        <f>'ost06-01'!BF8</f>
        <v>36562.66979</v>
      </c>
      <c r="N8" s="54">
        <v>29817.82108</v>
      </c>
      <c r="O8" s="54">
        <v>28997.510739999998</v>
      </c>
      <c r="P8" s="54">
        <v>28633</v>
      </c>
      <c r="Q8" s="160">
        <v>28869</v>
      </c>
      <c r="R8" s="62">
        <f t="shared" si="4"/>
        <v>82627.97202</v>
      </c>
      <c r="S8" s="54">
        <f t="shared" si="4"/>
        <v>72350.90948</v>
      </c>
      <c r="T8" s="54">
        <f t="shared" si="5"/>
        <v>64967.984730000004</v>
      </c>
      <c r="U8" s="54">
        <f t="shared" si="6"/>
        <v>59144.39292</v>
      </c>
      <c r="V8" s="54">
        <f t="shared" si="7"/>
        <v>64316.574</v>
      </c>
      <c r="W8" s="160">
        <f t="shared" si="8"/>
        <v>62801</v>
      </c>
      <c r="X8" s="207">
        <f t="shared" si="9"/>
        <v>1.2718259980418511</v>
      </c>
      <c r="Y8" s="208">
        <f t="shared" si="2"/>
        <v>1.1136394299543482</v>
      </c>
      <c r="Z8" s="208">
        <f t="shared" si="2"/>
        <v>1.0984639713502027</v>
      </c>
      <c r="AA8" s="161">
        <f t="shared" si="2"/>
        <v>0.9195824535056858</v>
      </c>
      <c r="AB8" s="162">
        <f t="shared" si="3"/>
        <v>1.0241329596662474</v>
      </c>
    </row>
    <row r="9" spans="1:28" s="29" customFormat="1" ht="12">
      <c r="A9" s="15"/>
      <c r="B9" s="16"/>
      <c r="C9" s="16"/>
      <c r="D9" s="17" t="s">
        <v>1</v>
      </c>
      <c r="E9" s="246">
        <v>7</v>
      </c>
      <c r="F9" s="159">
        <f>'fak06-01'!BH9</f>
        <v>14598.55203</v>
      </c>
      <c r="G9" s="54">
        <f>'fak06-01'!BI9</f>
        <v>11347.694930000001</v>
      </c>
      <c r="H9" s="54">
        <v>13348.04038</v>
      </c>
      <c r="I9" s="54">
        <v>8692.93161</v>
      </c>
      <c r="J9" s="54">
        <v>11555.803</v>
      </c>
      <c r="K9" s="160">
        <v>9298</v>
      </c>
      <c r="L9" s="159">
        <f>'ost06-01'!BE9</f>
        <v>30713.94558</v>
      </c>
      <c r="M9" s="54">
        <f>'ost06-01'!BF9</f>
        <v>36504.70971</v>
      </c>
      <c r="N9" s="54">
        <v>38892.258570000005</v>
      </c>
      <c r="O9" s="54">
        <v>44476.5855</v>
      </c>
      <c r="P9" s="54">
        <v>47507</v>
      </c>
      <c r="Q9" s="160">
        <v>38679</v>
      </c>
      <c r="R9" s="62">
        <f t="shared" si="4"/>
        <v>45312.49761</v>
      </c>
      <c r="S9" s="54">
        <f t="shared" si="4"/>
        <v>47852.40464000001</v>
      </c>
      <c r="T9" s="54">
        <f t="shared" si="5"/>
        <v>52240.298950000004</v>
      </c>
      <c r="U9" s="54">
        <f t="shared" si="6"/>
        <v>53169.51711</v>
      </c>
      <c r="V9" s="54">
        <f t="shared" si="7"/>
        <v>59062.803</v>
      </c>
      <c r="W9" s="160">
        <f t="shared" si="8"/>
        <v>47977</v>
      </c>
      <c r="X9" s="207">
        <f t="shared" si="9"/>
        <v>0.8673858787326101</v>
      </c>
      <c r="Y9" s="208">
        <f t="shared" si="2"/>
        <v>0.916005566618221</v>
      </c>
      <c r="Z9" s="208">
        <f t="shared" si="2"/>
        <v>0.9825234794200297</v>
      </c>
      <c r="AA9" s="161">
        <f t="shared" si="2"/>
        <v>0.9002200100459168</v>
      </c>
      <c r="AB9" s="162">
        <f t="shared" si="3"/>
        <v>1.2310649477874815</v>
      </c>
    </row>
    <row r="10" spans="1:28" s="29" customFormat="1" ht="12">
      <c r="A10" s="15"/>
      <c r="B10" s="16"/>
      <c r="C10" s="16"/>
      <c r="D10" s="17" t="s">
        <v>2</v>
      </c>
      <c r="E10" s="246">
        <v>8</v>
      </c>
      <c r="F10" s="159">
        <f>'fak06-01'!BH10</f>
        <v>89450.61189</v>
      </c>
      <c r="G10" s="54">
        <f>'fak06-01'!BI10</f>
        <v>95229.69532</v>
      </c>
      <c r="H10" s="54">
        <v>98358.81494</v>
      </c>
      <c r="I10" s="54">
        <v>76098.77787</v>
      </c>
      <c r="J10" s="54">
        <v>72553.235</v>
      </c>
      <c r="K10" s="160">
        <v>50466</v>
      </c>
      <c r="L10" s="159">
        <f>'ost06-01'!BE10</f>
        <v>50317.01557</v>
      </c>
      <c r="M10" s="54">
        <f>'ost06-01'!BF10</f>
        <v>89152.82393000001</v>
      </c>
      <c r="N10" s="54">
        <v>42851.504890000004</v>
      </c>
      <c r="O10" s="54">
        <v>66606.75807000001</v>
      </c>
      <c r="P10" s="54">
        <v>39160</v>
      </c>
      <c r="Q10" s="160">
        <v>39669</v>
      </c>
      <c r="R10" s="62">
        <f t="shared" si="4"/>
        <v>139767.62746</v>
      </c>
      <c r="S10" s="54">
        <f t="shared" si="4"/>
        <v>184382.51925</v>
      </c>
      <c r="T10" s="54">
        <f t="shared" si="5"/>
        <v>141210.31983</v>
      </c>
      <c r="U10" s="54">
        <f t="shared" si="6"/>
        <v>142705.53594000003</v>
      </c>
      <c r="V10" s="54">
        <f t="shared" si="7"/>
        <v>111713.235</v>
      </c>
      <c r="W10" s="160">
        <f t="shared" si="8"/>
        <v>90135</v>
      </c>
      <c r="X10" s="207">
        <f t="shared" si="9"/>
        <v>0.9897833786387792</v>
      </c>
      <c r="Y10" s="208">
        <f t="shared" si="2"/>
        <v>1.3057297757839093</v>
      </c>
      <c r="Z10" s="208">
        <f t="shared" si="2"/>
        <v>0.9895223678594453</v>
      </c>
      <c r="AA10" s="161">
        <f t="shared" si="2"/>
        <v>1.277427298027848</v>
      </c>
      <c r="AB10" s="162">
        <f t="shared" si="3"/>
        <v>1.23939906806457</v>
      </c>
    </row>
    <row r="11" spans="1:28" s="29" customFormat="1" ht="12">
      <c r="A11" s="15"/>
      <c r="B11" s="16"/>
      <c r="C11" s="16"/>
      <c r="D11" s="17" t="s">
        <v>3</v>
      </c>
      <c r="E11" s="246">
        <v>9</v>
      </c>
      <c r="F11" s="159">
        <f>'fak06-01'!BH11</f>
        <v>77716.25934000002</v>
      </c>
      <c r="G11" s="54">
        <f>'fak06-01'!BI11</f>
        <v>78690.39489000001</v>
      </c>
      <c r="H11" s="54">
        <v>65831.87069</v>
      </c>
      <c r="I11" s="54">
        <v>56452.91488</v>
      </c>
      <c r="J11" s="54">
        <v>53987.758</v>
      </c>
      <c r="K11" s="160">
        <v>48410</v>
      </c>
      <c r="L11" s="159">
        <f>'ost06-01'!BE11</f>
        <v>69733.3983</v>
      </c>
      <c r="M11" s="54">
        <f>'ost06-01'!BF11</f>
        <v>61034.39287</v>
      </c>
      <c r="N11" s="54">
        <v>62694.14513999999</v>
      </c>
      <c r="O11" s="54">
        <v>46983.093700000005</v>
      </c>
      <c r="P11" s="54">
        <v>80229</v>
      </c>
      <c r="Q11" s="160">
        <v>74986</v>
      </c>
      <c r="R11" s="62">
        <f t="shared" si="4"/>
        <v>147449.65764000002</v>
      </c>
      <c r="S11" s="54">
        <f t="shared" si="4"/>
        <v>139724.78776</v>
      </c>
      <c r="T11" s="54">
        <f t="shared" si="5"/>
        <v>128526.01582999999</v>
      </c>
      <c r="U11" s="54">
        <f t="shared" si="6"/>
        <v>103436.00858</v>
      </c>
      <c r="V11" s="54">
        <f t="shared" si="7"/>
        <v>134216.758</v>
      </c>
      <c r="W11" s="160">
        <f t="shared" si="8"/>
        <v>123396</v>
      </c>
      <c r="X11" s="207">
        <f t="shared" si="9"/>
        <v>1.1472358859628087</v>
      </c>
      <c r="Y11" s="208">
        <f t="shared" si="2"/>
        <v>1.0871323354861673</v>
      </c>
      <c r="Z11" s="208">
        <f t="shared" si="2"/>
        <v>1.2425655010710777</v>
      </c>
      <c r="AA11" s="161">
        <f t="shared" si="2"/>
        <v>0.7706638881860043</v>
      </c>
      <c r="AB11" s="162">
        <f t="shared" si="3"/>
        <v>1.0876913190054782</v>
      </c>
    </row>
    <row r="12" spans="1:28" s="29" customFormat="1" ht="12">
      <c r="A12" s="15"/>
      <c r="B12" s="16"/>
      <c r="C12" s="16"/>
      <c r="D12" s="17" t="s">
        <v>4</v>
      </c>
      <c r="E12" s="246">
        <v>10</v>
      </c>
      <c r="F12" s="159">
        <f>'fak06-01'!BH12</f>
        <v>11446.85583</v>
      </c>
      <c r="G12" s="54">
        <f>'fak06-01'!BI12</f>
        <v>8289.64417</v>
      </c>
      <c r="H12" s="54">
        <v>7846.45567</v>
      </c>
      <c r="I12" s="54">
        <v>6195.70761</v>
      </c>
      <c r="J12" s="54">
        <v>5393.615</v>
      </c>
      <c r="K12" s="160">
        <v>5938</v>
      </c>
      <c r="L12" s="159">
        <f>'ost06-01'!BE12</f>
        <v>4080.6736</v>
      </c>
      <c r="M12" s="54">
        <f>'ost06-01'!BF12</f>
        <v>3052.56314</v>
      </c>
      <c r="N12" s="54">
        <v>3042.64378</v>
      </c>
      <c r="O12" s="54">
        <v>2524.37349</v>
      </c>
      <c r="P12" s="54">
        <v>2336</v>
      </c>
      <c r="Q12" s="160">
        <v>2586</v>
      </c>
      <c r="R12" s="62">
        <f t="shared" si="4"/>
        <v>15527.52943</v>
      </c>
      <c r="S12" s="54">
        <f t="shared" si="4"/>
        <v>11342.20731</v>
      </c>
      <c r="T12" s="54">
        <f t="shared" si="5"/>
        <v>10889.09945</v>
      </c>
      <c r="U12" s="54">
        <f t="shared" si="6"/>
        <v>8720.0811</v>
      </c>
      <c r="V12" s="54">
        <f t="shared" si="7"/>
        <v>7729.615</v>
      </c>
      <c r="W12" s="160">
        <f t="shared" si="8"/>
        <v>8524</v>
      </c>
      <c r="X12" s="207">
        <f t="shared" si="9"/>
        <v>1.4259700263826685</v>
      </c>
      <c r="Y12" s="208">
        <f t="shared" si="2"/>
        <v>1.0416111416816933</v>
      </c>
      <c r="Z12" s="208">
        <f t="shared" si="2"/>
        <v>1.2487383230873852</v>
      </c>
      <c r="AA12" s="161">
        <f t="shared" si="2"/>
        <v>1.1281391246523922</v>
      </c>
      <c r="AB12" s="162">
        <f t="shared" si="3"/>
        <v>0.906806076959174</v>
      </c>
    </row>
    <row r="13" spans="1:28" s="29" customFormat="1" ht="12">
      <c r="A13" s="15"/>
      <c r="B13" s="16"/>
      <c r="C13" s="16"/>
      <c r="D13" s="17" t="s">
        <v>5</v>
      </c>
      <c r="E13" s="246">
        <v>11</v>
      </c>
      <c r="F13" s="159">
        <f>'fak06-01'!BH13</f>
        <v>141146.74766000002</v>
      </c>
      <c r="G13" s="54">
        <f>'fak06-01'!BI13</f>
        <v>112507.45405</v>
      </c>
      <c r="H13" s="54">
        <v>99129.0041</v>
      </c>
      <c r="I13" s="54">
        <v>23370.233719999997</v>
      </c>
      <c r="J13" s="54">
        <v>31602.336</v>
      </c>
      <c r="K13" s="160">
        <v>18991</v>
      </c>
      <c r="L13" s="159">
        <f>'ost06-01'!BE13</f>
        <v>65086.655779999994</v>
      </c>
      <c r="M13" s="54">
        <f>'ost06-01'!BF13</f>
        <v>47593.866550000006</v>
      </c>
      <c r="N13" s="54">
        <v>45579.320999999996</v>
      </c>
      <c r="O13" s="54">
        <v>107117.54412</v>
      </c>
      <c r="P13" s="54">
        <v>106325</v>
      </c>
      <c r="Q13" s="160">
        <v>103265</v>
      </c>
      <c r="R13" s="62">
        <f t="shared" si="4"/>
        <v>206233.40344000002</v>
      </c>
      <c r="S13" s="54">
        <f t="shared" si="4"/>
        <v>160101.3206</v>
      </c>
      <c r="T13" s="54">
        <f t="shared" si="5"/>
        <v>144708.32510000002</v>
      </c>
      <c r="U13" s="54">
        <f t="shared" si="6"/>
        <v>130487.77784</v>
      </c>
      <c r="V13" s="54">
        <f t="shared" si="7"/>
        <v>137927.336</v>
      </c>
      <c r="W13" s="160">
        <f t="shared" si="8"/>
        <v>122256</v>
      </c>
      <c r="X13" s="207">
        <f t="shared" si="9"/>
        <v>1.4251661284689972</v>
      </c>
      <c r="Y13" s="208">
        <f t="shared" si="2"/>
        <v>1.1063725634953119</v>
      </c>
      <c r="Z13" s="208">
        <f t="shared" si="2"/>
        <v>1.1089799174711734</v>
      </c>
      <c r="AA13" s="161">
        <f t="shared" si="2"/>
        <v>0.9460617570399532</v>
      </c>
      <c r="AB13" s="162">
        <f t="shared" si="3"/>
        <v>1.1281845962570345</v>
      </c>
    </row>
    <row r="14" spans="1:28" s="29" customFormat="1" ht="12">
      <c r="A14" s="15"/>
      <c r="B14" s="16"/>
      <c r="C14" s="16"/>
      <c r="D14" s="17" t="s">
        <v>6</v>
      </c>
      <c r="E14" s="246">
        <v>12</v>
      </c>
      <c r="F14" s="159">
        <f>'fak06-01'!BH14</f>
        <v>20783.928099999994</v>
      </c>
      <c r="G14" s="54">
        <f>'fak06-01'!BI14</f>
        <v>17842.71288</v>
      </c>
      <c r="H14" s="54">
        <v>10470.796</v>
      </c>
      <c r="I14" s="54">
        <v>7238.95529</v>
      </c>
      <c r="J14" s="54">
        <v>5545.467</v>
      </c>
      <c r="K14" s="160">
        <v>7881</v>
      </c>
      <c r="L14" s="159">
        <f>'ost06-01'!BE14</f>
        <v>2379.9335</v>
      </c>
      <c r="M14" s="54">
        <f>'ost06-01'!BF14</f>
        <v>743.7219499999999</v>
      </c>
      <c r="N14" s="54">
        <v>574.28409</v>
      </c>
      <c r="O14" s="54">
        <v>934.3877299999999</v>
      </c>
      <c r="P14" s="54">
        <v>319</v>
      </c>
      <c r="Q14" s="160">
        <v>945</v>
      </c>
      <c r="R14" s="62">
        <f t="shared" si="4"/>
        <v>23163.861599999993</v>
      </c>
      <c r="S14" s="54">
        <f t="shared" si="4"/>
        <v>18586.43483</v>
      </c>
      <c r="T14" s="54">
        <f t="shared" si="5"/>
        <v>11045.08009</v>
      </c>
      <c r="U14" s="54">
        <f t="shared" si="6"/>
        <v>8173.34302</v>
      </c>
      <c r="V14" s="54">
        <f t="shared" si="7"/>
        <v>5864.467</v>
      </c>
      <c r="W14" s="160">
        <f t="shared" si="8"/>
        <v>8826</v>
      </c>
      <c r="X14" s="207">
        <f t="shared" si="9"/>
        <v>2.0972108315422813</v>
      </c>
      <c r="Y14" s="208">
        <f t="shared" si="2"/>
        <v>1.6827795433396444</v>
      </c>
      <c r="Z14" s="208">
        <f t="shared" si="2"/>
        <v>1.3513540375061854</v>
      </c>
      <c r="AA14" s="161">
        <f t="shared" si="2"/>
        <v>1.3937060298915487</v>
      </c>
      <c r="AB14" s="162">
        <f t="shared" si="3"/>
        <v>0.664453546340358</v>
      </c>
    </row>
    <row r="15" spans="1:28" s="29" customFormat="1" ht="12">
      <c r="A15" s="15"/>
      <c r="B15" s="17"/>
      <c r="C15" s="17"/>
      <c r="D15" s="17" t="s">
        <v>9</v>
      </c>
      <c r="E15" s="246">
        <v>13</v>
      </c>
      <c r="F15" s="159">
        <f>'fak06-01'!BH15</f>
        <v>79342.34098</v>
      </c>
      <c r="G15" s="54">
        <f>'fak06-01'!BI15</f>
        <v>26394.75335</v>
      </c>
      <c r="H15" s="54">
        <v>24045.27857</v>
      </c>
      <c r="I15" s="54">
        <v>11363.38314</v>
      </c>
      <c r="J15" s="54">
        <v>11234.33</v>
      </c>
      <c r="K15" s="160">
        <v>9572</v>
      </c>
      <c r="L15" s="159">
        <f>'ost06-01'!BE15</f>
        <v>194411.49563000002</v>
      </c>
      <c r="M15" s="54">
        <f>'ost06-01'!BF15</f>
        <v>28198.170570000002</v>
      </c>
      <c r="N15" s="54">
        <v>53065.62796</v>
      </c>
      <c r="O15" s="54">
        <v>8685.81753</v>
      </c>
      <c r="P15" s="54">
        <v>10134</v>
      </c>
      <c r="Q15" s="160">
        <v>11142</v>
      </c>
      <c r="R15" s="62">
        <f t="shared" si="4"/>
        <v>273753.83661</v>
      </c>
      <c r="S15" s="54">
        <f t="shared" si="4"/>
        <v>54592.92392</v>
      </c>
      <c r="T15" s="54">
        <f t="shared" si="5"/>
        <v>77110.90653</v>
      </c>
      <c r="U15" s="54">
        <f t="shared" si="6"/>
        <v>20049.20067</v>
      </c>
      <c r="V15" s="54">
        <f t="shared" si="7"/>
        <v>21368.33</v>
      </c>
      <c r="W15" s="160">
        <f t="shared" si="8"/>
        <v>20714</v>
      </c>
      <c r="X15" s="207">
        <f t="shared" si="9"/>
        <v>3.550131219161534</v>
      </c>
      <c r="Y15" s="208">
        <f t="shared" si="2"/>
        <v>0.707979277856896</v>
      </c>
      <c r="Z15" s="208">
        <f t="shared" si="2"/>
        <v>3.846083831430872</v>
      </c>
      <c r="AA15" s="161">
        <f t="shared" si="2"/>
        <v>0.938267083576489</v>
      </c>
      <c r="AB15" s="162">
        <f t="shared" si="3"/>
        <v>1.031588780534904</v>
      </c>
    </row>
    <row r="16" spans="1:28" ht="12">
      <c r="A16" s="12"/>
      <c r="B16" s="20" t="s">
        <v>14</v>
      </c>
      <c r="C16" s="21"/>
      <c r="D16" s="21"/>
      <c r="E16" s="246">
        <v>14</v>
      </c>
      <c r="F16" s="159">
        <f>'fak06-01'!BH16</f>
        <v>98020</v>
      </c>
      <c r="G16" s="54">
        <f>'fak06-01'!BI16</f>
        <v>93173</v>
      </c>
      <c r="H16" s="55">
        <v>80915</v>
      </c>
      <c r="I16" s="55">
        <v>62556.850999999995</v>
      </c>
      <c r="J16" s="55">
        <v>48869.882</v>
      </c>
      <c r="K16" s="163">
        <v>33885</v>
      </c>
      <c r="L16" s="159">
        <f>'ost06-01'!BE16</f>
        <v>0</v>
      </c>
      <c r="M16" s="54">
        <f>'ost06-01'!BF16</f>
        <v>0</v>
      </c>
      <c r="N16" s="55">
        <v>0</v>
      </c>
      <c r="O16" s="55">
        <v>0</v>
      </c>
      <c r="P16" s="55">
        <v>0</v>
      </c>
      <c r="Q16" s="163">
        <v>0</v>
      </c>
      <c r="R16" s="215">
        <f t="shared" si="4"/>
        <v>98020</v>
      </c>
      <c r="S16" s="55">
        <f t="shared" si="4"/>
        <v>93173</v>
      </c>
      <c r="T16" s="55">
        <f t="shared" si="5"/>
        <v>80915</v>
      </c>
      <c r="U16" s="55">
        <f t="shared" si="6"/>
        <v>62556.850999999995</v>
      </c>
      <c r="V16" s="55">
        <f t="shared" si="7"/>
        <v>48869.882</v>
      </c>
      <c r="W16" s="163">
        <f t="shared" si="8"/>
        <v>33885</v>
      </c>
      <c r="X16" s="209">
        <f t="shared" si="9"/>
        <v>1.2113946734227277</v>
      </c>
      <c r="Y16" s="164">
        <f t="shared" si="2"/>
        <v>1.1514923067416425</v>
      </c>
      <c r="Z16" s="164">
        <f t="shared" si="2"/>
        <v>1.293463444955054</v>
      </c>
      <c r="AA16" s="164">
        <f t="shared" si="2"/>
        <v>1.2800696142462549</v>
      </c>
      <c r="AB16" s="165">
        <f t="shared" si="3"/>
        <v>1.442227593330382</v>
      </c>
    </row>
    <row r="17" spans="1:28" ht="12">
      <c r="A17" s="12"/>
      <c r="B17" s="20" t="s">
        <v>15</v>
      </c>
      <c r="C17" s="21"/>
      <c r="D17" s="21"/>
      <c r="E17" s="246">
        <v>15</v>
      </c>
      <c r="F17" s="159">
        <f>'fak06-01'!BH17</f>
        <v>9795.06421</v>
      </c>
      <c r="G17" s="54">
        <f>'fak06-01'!BI17</f>
        <v>6636.404</v>
      </c>
      <c r="H17" s="55">
        <v>4772.9545</v>
      </c>
      <c r="I17" s="55">
        <v>5388.6356399999995</v>
      </c>
      <c r="J17" s="55">
        <v>5884.844</v>
      </c>
      <c r="K17" s="163">
        <v>5666</v>
      </c>
      <c r="L17" s="159">
        <f>'ost06-01'!BE17</f>
        <v>25857.890760000002</v>
      </c>
      <c r="M17" s="54">
        <f>'ost06-01'!BF17</f>
        <v>22731.5</v>
      </c>
      <c r="N17" s="55">
        <v>23932.773</v>
      </c>
      <c r="O17" s="55">
        <v>22026.21066</v>
      </c>
      <c r="P17" s="55">
        <v>21388</v>
      </c>
      <c r="Q17" s="163">
        <v>16658</v>
      </c>
      <c r="R17" s="215">
        <f t="shared" si="4"/>
        <v>35652.954970000006</v>
      </c>
      <c r="S17" s="55">
        <f t="shared" si="4"/>
        <v>29367.904000000002</v>
      </c>
      <c r="T17" s="55">
        <f t="shared" si="5"/>
        <v>28705.7275</v>
      </c>
      <c r="U17" s="55">
        <f t="shared" si="6"/>
        <v>27414.8463</v>
      </c>
      <c r="V17" s="55">
        <f t="shared" si="7"/>
        <v>27272.844</v>
      </c>
      <c r="W17" s="163">
        <f t="shared" si="8"/>
        <v>22324</v>
      </c>
      <c r="X17" s="209">
        <f t="shared" si="9"/>
        <v>1.2420153772448375</v>
      </c>
      <c r="Y17" s="164">
        <f t="shared" si="2"/>
        <v>1.0230677484136224</v>
      </c>
      <c r="Z17" s="164">
        <f t="shared" si="2"/>
        <v>1.0470869391669724</v>
      </c>
      <c r="AA17" s="164">
        <f t="shared" si="2"/>
        <v>1.0052067287152011</v>
      </c>
      <c r="AB17" s="165">
        <f t="shared" si="3"/>
        <v>1.2216826733560295</v>
      </c>
    </row>
    <row r="18" spans="1:28" ht="12">
      <c r="A18" s="12"/>
      <c r="B18" s="20" t="s">
        <v>20</v>
      </c>
      <c r="C18" s="21"/>
      <c r="D18" s="21"/>
      <c r="E18" s="246">
        <v>16</v>
      </c>
      <c r="F18" s="159">
        <f>'fak06-01'!BH18</f>
        <v>49432.51488999999</v>
      </c>
      <c r="G18" s="54">
        <f>'fak06-01'!BI18</f>
        <v>57478.916370000006</v>
      </c>
      <c r="H18" s="55">
        <v>36746.4</v>
      </c>
      <c r="I18" s="55">
        <v>48593.19407</v>
      </c>
      <c r="J18" s="55">
        <v>72521.41</v>
      </c>
      <c r="K18" s="163">
        <v>36345</v>
      </c>
      <c r="L18" s="159">
        <f>'ost06-01'!BE18</f>
        <v>41664.20341</v>
      </c>
      <c r="M18" s="54">
        <f>'ost06-01'!BF18</f>
        <v>19619.499929999998</v>
      </c>
      <c r="N18" s="55">
        <v>17938.8293</v>
      </c>
      <c r="O18" s="55">
        <v>46354.61525</v>
      </c>
      <c r="P18" s="55">
        <v>24223</v>
      </c>
      <c r="Q18" s="163">
        <v>27926</v>
      </c>
      <c r="R18" s="215">
        <f t="shared" si="4"/>
        <v>91096.7183</v>
      </c>
      <c r="S18" s="55">
        <f t="shared" si="4"/>
        <v>77098.41630000001</v>
      </c>
      <c r="T18" s="55">
        <f t="shared" si="5"/>
        <v>54685.229300000006</v>
      </c>
      <c r="U18" s="55">
        <f t="shared" si="6"/>
        <v>94947.80932</v>
      </c>
      <c r="V18" s="55">
        <f t="shared" si="7"/>
        <v>96744.41</v>
      </c>
      <c r="W18" s="163">
        <f t="shared" si="8"/>
        <v>64271</v>
      </c>
      <c r="X18" s="209">
        <f t="shared" si="9"/>
        <v>1.665837731067171</v>
      </c>
      <c r="Y18" s="164">
        <f t="shared" si="2"/>
        <v>1.409858151586831</v>
      </c>
      <c r="Z18" s="164">
        <f t="shared" si="2"/>
        <v>0.575950405719166</v>
      </c>
      <c r="AA18" s="164">
        <f t="shared" si="2"/>
        <v>0.9814294109602818</v>
      </c>
      <c r="AB18" s="165">
        <f t="shared" si="3"/>
        <v>1.5052575811796922</v>
      </c>
    </row>
    <row r="19" spans="1:28" ht="12">
      <c r="A19" s="12"/>
      <c r="B19" s="20" t="s">
        <v>16</v>
      </c>
      <c r="C19" s="21"/>
      <c r="D19" s="21"/>
      <c r="E19" s="246">
        <v>17</v>
      </c>
      <c r="F19" s="159">
        <f>'fak06-01'!BH19</f>
        <v>8763.332999999999</v>
      </c>
      <c r="G19" s="54">
        <f>'fak06-01'!BI19</f>
        <v>10103</v>
      </c>
      <c r="H19" s="55">
        <v>9696.41957</v>
      </c>
      <c r="I19" s="55">
        <v>13133.07775</v>
      </c>
      <c r="J19" s="55">
        <v>8785.537</v>
      </c>
      <c r="K19" s="163">
        <v>11863</v>
      </c>
      <c r="L19" s="159">
        <f>'ost06-01'!BE19</f>
        <v>0</v>
      </c>
      <c r="M19" s="54">
        <f>'ost06-01'!BF19</f>
        <v>472</v>
      </c>
      <c r="N19" s="55">
        <v>525</v>
      </c>
      <c r="O19" s="55">
        <v>0</v>
      </c>
      <c r="P19" s="55">
        <v>179</v>
      </c>
      <c r="Q19" s="163">
        <v>463</v>
      </c>
      <c r="R19" s="215">
        <f t="shared" si="4"/>
        <v>8763.332999999999</v>
      </c>
      <c r="S19" s="55">
        <f t="shared" si="4"/>
        <v>10575</v>
      </c>
      <c r="T19" s="55">
        <f t="shared" si="5"/>
        <v>10221.41957</v>
      </c>
      <c r="U19" s="55">
        <f t="shared" si="6"/>
        <v>13133.07775</v>
      </c>
      <c r="V19" s="55">
        <f t="shared" si="7"/>
        <v>8964.537</v>
      </c>
      <c r="W19" s="163">
        <f t="shared" si="8"/>
        <v>12326</v>
      </c>
      <c r="X19" s="209">
        <f t="shared" si="9"/>
        <v>0.8573498954803201</v>
      </c>
      <c r="Y19" s="164">
        <f t="shared" si="2"/>
        <v>1.0345921060747534</v>
      </c>
      <c r="Z19" s="164">
        <f t="shared" si="2"/>
        <v>0.7782958240691144</v>
      </c>
      <c r="AA19" s="164">
        <f t="shared" si="2"/>
        <v>1.465003463090174</v>
      </c>
      <c r="AB19" s="165">
        <f t="shared" si="3"/>
        <v>0.7272867921466818</v>
      </c>
    </row>
    <row r="20" spans="1:28" ht="12">
      <c r="A20" s="12"/>
      <c r="B20" s="20" t="s">
        <v>24</v>
      </c>
      <c r="C20" s="20"/>
      <c r="D20" s="20"/>
      <c r="E20" s="246">
        <v>18</v>
      </c>
      <c r="F20" s="159">
        <f>'fak06-01'!BH20</f>
        <v>3394.58995</v>
      </c>
      <c r="G20" s="54">
        <f>'fak06-01'!BI20</f>
        <v>3411.80898</v>
      </c>
      <c r="H20" s="55">
        <v>2308.95733</v>
      </c>
      <c r="I20" s="55">
        <v>3387.1591</v>
      </c>
      <c r="J20" s="55">
        <v>2066.157</v>
      </c>
      <c r="K20" s="163">
        <v>1451</v>
      </c>
      <c r="L20" s="159">
        <f>'ost06-01'!BE20</f>
        <v>4523.54876</v>
      </c>
      <c r="M20" s="54">
        <f>'ost06-01'!BF20</f>
        <v>1711.97163</v>
      </c>
      <c r="N20" s="55">
        <v>500</v>
      </c>
      <c r="O20" s="55">
        <v>0</v>
      </c>
      <c r="P20" s="55">
        <v>0</v>
      </c>
      <c r="Q20" s="163">
        <v>0</v>
      </c>
      <c r="R20" s="215">
        <f t="shared" si="4"/>
        <v>7918.138709999999</v>
      </c>
      <c r="S20" s="55">
        <f t="shared" si="4"/>
        <v>5123.78061</v>
      </c>
      <c r="T20" s="55">
        <f t="shared" si="5"/>
        <v>2808.95733</v>
      </c>
      <c r="U20" s="55">
        <f t="shared" si="6"/>
        <v>3387.1591</v>
      </c>
      <c r="V20" s="55">
        <f t="shared" si="7"/>
        <v>2066.157</v>
      </c>
      <c r="W20" s="163">
        <f t="shared" si="8"/>
        <v>1451</v>
      </c>
      <c r="X20" s="209">
        <f t="shared" si="9"/>
        <v>2.818888925592899</v>
      </c>
      <c r="Y20" s="164">
        <f t="shared" si="2"/>
        <v>1.8240863096343296</v>
      </c>
      <c r="Z20" s="164">
        <f t="shared" si="2"/>
        <v>0.8292959518789655</v>
      </c>
      <c r="AA20" s="164">
        <f t="shared" si="2"/>
        <v>1.639352237027486</v>
      </c>
      <c r="AB20" s="165">
        <f t="shared" si="3"/>
        <v>1.4239538249483117</v>
      </c>
    </row>
    <row r="21" spans="1:28" ht="12">
      <c r="A21" s="12"/>
      <c r="B21" s="20" t="s">
        <v>31</v>
      </c>
      <c r="C21" s="20"/>
      <c r="D21" s="20"/>
      <c r="E21" s="246">
        <v>19</v>
      </c>
      <c r="F21" s="159">
        <f>'fak06-01'!BH21</f>
        <v>39233.34682</v>
      </c>
      <c r="G21" s="54">
        <f>'fak06-01'!BI21</f>
        <v>28887.288539999998</v>
      </c>
      <c r="H21" s="55">
        <v>22211.07121</v>
      </c>
      <c r="I21" s="55">
        <v>24052.48293</v>
      </c>
      <c r="J21" s="55">
        <v>19152.068</v>
      </c>
      <c r="K21" s="163">
        <v>12674</v>
      </c>
      <c r="L21" s="159">
        <f>'ost06-01'!BE21</f>
        <v>28421.89823</v>
      </c>
      <c r="M21" s="54">
        <f>'ost06-01'!BF21</f>
        <v>16932.98316</v>
      </c>
      <c r="N21" s="55">
        <v>12821.49224</v>
      </c>
      <c r="O21" s="55">
        <v>12915.365960000001</v>
      </c>
      <c r="P21" s="55">
        <v>15438</v>
      </c>
      <c r="Q21" s="163">
        <v>11387</v>
      </c>
      <c r="R21" s="215">
        <f t="shared" si="4"/>
        <v>67655.24505</v>
      </c>
      <c r="S21" s="55">
        <f t="shared" si="4"/>
        <v>45820.2717</v>
      </c>
      <c r="T21" s="55">
        <f t="shared" si="5"/>
        <v>35032.56345</v>
      </c>
      <c r="U21" s="55">
        <f t="shared" si="6"/>
        <v>36967.84889</v>
      </c>
      <c r="V21" s="55">
        <f t="shared" si="7"/>
        <v>34590.068</v>
      </c>
      <c r="W21" s="163">
        <f t="shared" si="8"/>
        <v>24061</v>
      </c>
      <c r="X21" s="209">
        <f t="shared" si="9"/>
        <v>1.9312102337746568</v>
      </c>
      <c r="Y21" s="164">
        <f t="shared" si="2"/>
        <v>1.3079337390024763</v>
      </c>
      <c r="Z21" s="164">
        <f t="shared" si="2"/>
        <v>0.9476494981961608</v>
      </c>
      <c r="AA21" s="164">
        <f t="shared" si="2"/>
        <v>1.0687417234912635</v>
      </c>
      <c r="AB21" s="165">
        <f t="shared" si="3"/>
        <v>1.4375989360375712</v>
      </c>
    </row>
    <row r="22" spans="1:28" ht="12">
      <c r="A22" s="12"/>
      <c r="B22" s="20" t="s">
        <v>25</v>
      </c>
      <c r="C22" s="20"/>
      <c r="D22" s="20"/>
      <c r="E22" s="246">
        <v>20</v>
      </c>
      <c r="F22" s="159">
        <f>'fak06-01'!BH22</f>
        <v>257524.59553000005</v>
      </c>
      <c r="G22" s="54">
        <f>'fak06-01'!BI22</f>
        <v>254564.891</v>
      </c>
      <c r="H22" s="55">
        <v>113636</v>
      </c>
      <c r="I22" s="55">
        <v>112989.42275</v>
      </c>
      <c r="J22" s="55">
        <v>100353</v>
      </c>
      <c r="K22" s="163">
        <v>95328</v>
      </c>
      <c r="L22" s="159">
        <f>'ost06-01'!BE22</f>
        <v>1111.13661</v>
      </c>
      <c r="M22" s="54">
        <f>'ost06-01'!BF22</f>
        <v>807</v>
      </c>
      <c r="N22" s="55">
        <v>2097.00992</v>
      </c>
      <c r="O22" s="55">
        <v>1747</v>
      </c>
      <c r="P22" s="55">
        <v>2005</v>
      </c>
      <c r="Q22" s="163">
        <v>2070</v>
      </c>
      <c r="R22" s="215">
        <f t="shared" si="4"/>
        <v>258635.73214000004</v>
      </c>
      <c r="S22" s="55">
        <f t="shared" si="4"/>
        <v>255371.891</v>
      </c>
      <c r="T22" s="55">
        <f t="shared" si="5"/>
        <v>115733.00992</v>
      </c>
      <c r="U22" s="55">
        <f t="shared" si="6"/>
        <v>114736.42275</v>
      </c>
      <c r="V22" s="55">
        <f t="shared" si="7"/>
        <v>102358</v>
      </c>
      <c r="W22" s="163">
        <f t="shared" si="8"/>
        <v>97398</v>
      </c>
      <c r="X22" s="209">
        <f t="shared" si="9"/>
        <v>2.2347619950330593</v>
      </c>
      <c r="Y22" s="164">
        <f t="shared" si="2"/>
        <v>2.206560523886183</v>
      </c>
      <c r="Z22" s="164">
        <f t="shared" si="2"/>
        <v>1.0086858832279568</v>
      </c>
      <c r="AA22" s="164">
        <f t="shared" si="2"/>
        <v>1.1209326359444303</v>
      </c>
      <c r="AB22" s="165">
        <f t="shared" si="3"/>
        <v>1.0509250703299862</v>
      </c>
    </row>
    <row r="23" spans="1:28" ht="12">
      <c r="A23" s="12"/>
      <c r="B23" s="20" t="s">
        <v>26</v>
      </c>
      <c r="C23" s="20"/>
      <c r="D23" s="20"/>
      <c r="E23" s="246">
        <v>21</v>
      </c>
      <c r="F23" s="159">
        <f>'fak06-01'!BH23</f>
        <v>222957.97942000002</v>
      </c>
      <c r="G23" s="54">
        <f>'fak06-01'!BI23</f>
        <v>165511.82596</v>
      </c>
      <c r="H23" s="55">
        <v>123500.72864999999</v>
      </c>
      <c r="I23" s="55">
        <v>123333.988</v>
      </c>
      <c r="J23" s="55">
        <v>95084.674</v>
      </c>
      <c r="K23" s="163">
        <v>81399</v>
      </c>
      <c r="L23" s="159">
        <f>'ost06-01'!BE23</f>
        <v>12178.087</v>
      </c>
      <c r="M23" s="54">
        <f>'ost06-01'!BF23</f>
        <v>12455</v>
      </c>
      <c r="N23" s="55">
        <v>5684</v>
      </c>
      <c r="O23" s="55">
        <v>121</v>
      </c>
      <c r="P23" s="55">
        <v>525</v>
      </c>
      <c r="Q23" s="163">
        <v>648</v>
      </c>
      <c r="R23" s="215">
        <f t="shared" si="4"/>
        <v>235136.06642000002</v>
      </c>
      <c r="S23" s="55">
        <f t="shared" si="4"/>
        <v>177966.82596</v>
      </c>
      <c r="T23" s="55">
        <f t="shared" si="5"/>
        <v>129184.72864999999</v>
      </c>
      <c r="U23" s="55">
        <f t="shared" si="6"/>
        <v>123454.988</v>
      </c>
      <c r="V23" s="55">
        <f t="shared" si="7"/>
        <v>95609.674</v>
      </c>
      <c r="W23" s="163">
        <f t="shared" si="8"/>
        <v>82047</v>
      </c>
      <c r="X23" s="209">
        <f t="shared" si="9"/>
        <v>1.8201537354856692</v>
      </c>
      <c r="Y23" s="164">
        <f t="shared" si="2"/>
        <v>1.377615046451545</v>
      </c>
      <c r="Z23" s="164">
        <f t="shared" si="2"/>
        <v>1.046411576744068</v>
      </c>
      <c r="AA23" s="164">
        <f t="shared" si="2"/>
        <v>1.2912395036510635</v>
      </c>
      <c r="AB23" s="165">
        <f t="shared" si="3"/>
        <v>1.1653037161626871</v>
      </c>
    </row>
    <row r="24" spans="1:28" ht="12">
      <c r="A24" s="12"/>
      <c r="B24" s="20" t="s">
        <v>27</v>
      </c>
      <c r="C24" s="20"/>
      <c r="D24" s="20"/>
      <c r="E24" s="246">
        <v>22</v>
      </c>
      <c r="F24" s="159">
        <f>'fak06-01'!BH24</f>
        <v>63553.88250000001</v>
      </c>
      <c r="G24" s="54">
        <f>'fak06-01'!BI24</f>
        <v>50114.36197</v>
      </c>
      <c r="H24" s="55">
        <v>33774.924</v>
      </c>
      <c r="I24" s="55">
        <v>21074.01096</v>
      </c>
      <c r="J24" s="55">
        <v>16793.95</v>
      </c>
      <c r="K24" s="163">
        <v>13976</v>
      </c>
      <c r="L24" s="159">
        <f>'ost06-01'!BE24</f>
        <v>4094.96083</v>
      </c>
      <c r="M24" s="54">
        <f>'ost06-01'!BF24</f>
        <v>5763.34071</v>
      </c>
      <c r="N24" s="55">
        <v>6395.81591</v>
      </c>
      <c r="O24" s="55">
        <v>4923.29285</v>
      </c>
      <c r="P24" s="55">
        <v>3533</v>
      </c>
      <c r="Q24" s="163">
        <v>994</v>
      </c>
      <c r="R24" s="215">
        <f t="shared" si="4"/>
        <v>67648.84333</v>
      </c>
      <c r="S24" s="55">
        <f t="shared" si="4"/>
        <v>55877.70268</v>
      </c>
      <c r="T24" s="55">
        <f t="shared" si="5"/>
        <v>40170.73991</v>
      </c>
      <c r="U24" s="55">
        <f t="shared" si="6"/>
        <v>25997.303809999998</v>
      </c>
      <c r="V24" s="55">
        <f t="shared" si="7"/>
        <v>20326.95</v>
      </c>
      <c r="W24" s="163">
        <f t="shared" si="8"/>
        <v>14970</v>
      </c>
      <c r="X24" s="209">
        <f t="shared" si="9"/>
        <v>1.6840327930618892</v>
      </c>
      <c r="Y24" s="164">
        <f t="shared" si="2"/>
        <v>1.3910050650097674</v>
      </c>
      <c r="Z24" s="164">
        <f t="shared" si="2"/>
        <v>1.5451886935501409</v>
      </c>
      <c r="AA24" s="164">
        <f t="shared" si="2"/>
        <v>1.2789574338501348</v>
      </c>
      <c r="AB24" s="165">
        <f t="shared" si="3"/>
        <v>1.3578456913827657</v>
      </c>
    </row>
    <row r="25" spans="1:28" ht="12.75" thickBot="1">
      <c r="A25" s="12"/>
      <c r="B25" s="23" t="s">
        <v>30</v>
      </c>
      <c r="C25" s="23"/>
      <c r="D25" s="23"/>
      <c r="E25" s="247">
        <v>23</v>
      </c>
      <c r="F25" s="159">
        <f>'fak06-01'!BH25</f>
        <v>27926.473280000002</v>
      </c>
      <c r="G25" s="54">
        <f>'fak06-01'!BI25</f>
        <v>28231.797870000002</v>
      </c>
      <c r="H25" s="55">
        <v>30526.041540000002</v>
      </c>
      <c r="I25" s="55">
        <v>13287.275560000002</v>
      </c>
      <c r="J25" s="55">
        <v>23547.528</v>
      </c>
      <c r="K25" s="163">
        <v>24339</v>
      </c>
      <c r="L25" s="159">
        <f>'ost06-01'!BE25</f>
        <v>51127.22172000001</v>
      </c>
      <c r="M25" s="54">
        <f>'ost06-01'!BF25</f>
        <v>41989.09691</v>
      </c>
      <c r="N25" s="55">
        <v>39534.27285</v>
      </c>
      <c r="O25" s="55">
        <v>29196.227699999996</v>
      </c>
      <c r="P25" s="55">
        <v>28335</v>
      </c>
      <c r="Q25" s="163">
        <v>28280</v>
      </c>
      <c r="R25" s="215">
        <f t="shared" si="4"/>
        <v>79053.695</v>
      </c>
      <c r="S25" s="55">
        <f t="shared" si="4"/>
        <v>70220.89478</v>
      </c>
      <c r="T25" s="55">
        <f t="shared" si="5"/>
        <v>70060.31439</v>
      </c>
      <c r="U25" s="55">
        <f t="shared" si="6"/>
        <v>42483.50326</v>
      </c>
      <c r="V25" s="55">
        <f t="shared" si="7"/>
        <v>51882.528</v>
      </c>
      <c r="W25" s="163">
        <f t="shared" si="8"/>
        <v>52619</v>
      </c>
      <c r="X25" s="156">
        <f t="shared" si="9"/>
        <v>1.128366261103785</v>
      </c>
      <c r="Y25" s="157">
        <f t="shared" si="2"/>
        <v>1.0022920306795386</v>
      </c>
      <c r="Z25" s="157">
        <f t="shared" si="2"/>
        <v>1.6491181050025299</v>
      </c>
      <c r="AA25" s="157">
        <f t="shared" si="2"/>
        <v>0.818840270466389</v>
      </c>
      <c r="AB25" s="158">
        <f t="shared" si="3"/>
        <v>0.9860036868811646</v>
      </c>
    </row>
    <row r="26" spans="1:28" ht="12.75" thickBot="1">
      <c r="A26" s="132" t="s">
        <v>34</v>
      </c>
      <c r="B26" s="133"/>
      <c r="C26" s="133"/>
      <c r="D26" s="133"/>
      <c r="E26" s="506">
        <v>24</v>
      </c>
      <c r="F26" s="498">
        <f>SUM(F27:F41)</f>
        <v>2308904.58425</v>
      </c>
      <c r="G26" s="121">
        <f aca="true" t="shared" si="10" ref="G26:W26">SUM(G27:G41)</f>
        <v>2047383.1026699997</v>
      </c>
      <c r="H26" s="121">
        <f t="shared" si="10"/>
        <v>1662877.56807</v>
      </c>
      <c r="I26" s="121">
        <f t="shared" si="10"/>
        <v>1335974.1918200003</v>
      </c>
      <c r="J26" s="121">
        <f t="shared" si="10"/>
        <v>1212597.1380000003</v>
      </c>
      <c r="K26" s="166">
        <f t="shared" si="10"/>
        <v>983315</v>
      </c>
      <c r="L26" s="504">
        <f>SUM(L27:L41)</f>
        <v>865568.2486900003</v>
      </c>
      <c r="M26" s="121">
        <f>SUM(M27:M41)</f>
        <v>628282.87733</v>
      </c>
      <c r="N26" s="121">
        <f t="shared" si="10"/>
        <v>569228.8768999999</v>
      </c>
      <c r="O26" s="121">
        <f t="shared" si="10"/>
        <v>573942.52174</v>
      </c>
      <c r="P26" s="121">
        <f t="shared" si="10"/>
        <v>546939</v>
      </c>
      <c r="Q26" s="166">
        <f t="shared" si="10"/>
        <v>524573</v>
      </c>
      <c r="R26" s="119">
        <f>SUM(R27:R41)</f>
        <v>3174472.8329399996</v>
      </c>
      <c r="S26" s="121">
        <f>SUM(S27:S41)</f>
        <v>2675665.9800000004</v>
      </c>
      <c r="T26" s="121">
        <f t="shared" si="10"/>
        <v>2232106.44497</v>
      </c>
      <c r="U26" s="121">
        <f t="shared" si="10"/>
        <v>1909916.7135599996</v>
      </c>
      <c r="V26" s="121">
        <f t="shared" si="10"/>
        <v>1759536.1379999998</v>
      </c>
      <c r="W26" s="166">
        <f t="shared" si="10"/>
        <v>1507888</v>
      </c>
      <c r="X26" s="151">
        <f t="shared" si="9"/>
        <v>1.4221870288012475</v>
      </c>
      <c r="Y26" s="152">
        <f t="shared" si="2"/>
        <v>1.1987179133098924</v>
      </c>
      <c r="Z26" s="152">
        <f t="shared" si="2"/>
        <v>1.168693079191633</v>
      </c>
      <c r="AA26" s="152">
        <f t="shared" si="2"/>
        <v>1.0854660340940379</v>
      </c>
      <c r="AB26" s="153">
        <f t="shared" si="3"/>
        <v>1.166887817928122</v>
      </c>
    </row>
    <row r="27" spans="1:28" ht="12">
      <c r="A27" s="12" t="s">
        <v>10</v>
      </c>
      <c r="B27" s="21" t="s">
        <v>23</v>
      </c>
      <c r="C27" s="21"/>
      <c r="D27" s="21"/>
      <c r="E27" s="246">
        <v>25</v>
      </c>
      <c r="F27" s="159">
        <f>'fak06-01'!BH27</f>
        <v>1140987.57485</v>
      </c>
      <c r="G27" s="54">
        <f>'fak06-01'!BI27</f>
        <v>1012497.87595</v>
      </c>
      <c r="H27" s="55">
        <v>968988.65369</v>
      </c>
      <c r="I27" s="55">
        <v>678553.59152</v>
      </c>
      <c r="J27" s="55">
        <v>592940</v>
      </c>
      <c r="K27" s="163">
        <v>475989</v>
      </c>
      <c r="L27" s="159">
        <f>'ost06-01'!BE27</f>
        <v>350215.6645</v>
      </c>
      <c r="M27" s="54">
        <f>'ost06-01'!BF27</f>
        <v>298943.68383</v>
      </c>
      <c r="N27" s="55">
        <v>243895</v>
      </c>
      <c r="O27" s="55">
        <v>291428.939</v>
      </c>
      <c r="P27" s="55">
        <v>248824</v>
      </c>
      <c r="Q27" s="163">
        <v>190973</v>
      </c>
      <c r="R27" s="215">
        <f aca="true" t="shared" si="11" ref="R27:S42">F27+L27</f>
        <v>1491203.23935</v>
      </c>
      <c r="S27" s="55">
        <f t="shared" si="11"/>
        <v>1311441.55978</v>
      </c>
      <c r="T27" s="55">
        <f aca="true" t="shared" si="12" ref="T27:T41">H27+N27</f>
        <v>1212883.65369</v>
      </c>
      <c r="U27" s="55">
        <f aca="true" t="shared" si="13" ref="U27:U41">I27+O27</f>
        <v>969982.53052</v>
      </c>
      <c r="V27" s="55">
        <f aca="true" t="shared" si="14" ref="V27:V41">J27+P27</f>
        <v>841764</v>
      </c>
      <c r="W27" s="163">
        <f aca="true" t="shared" si="15" ref="W27:W41">K27+Q27</f>
        <v>666962</v>
      </c>
      <c r="X27" s="156">
        <f t="shared" si="9"/>
        <v>1.2294693186879533</v>
      </c>
      <c r="Y27" s="157">
        <f t="shared" si="2"/>
        <v>1.081259159351479</v>
      </c>
      <c r="Z27" s="157">
        <f t="shared" si="2"/>
        <v>1.250418039013324</v>
      </c>
      <c r="AA27" s="157">
        <f t="shared" si="2"/>
        <v>1.152321233172243</v>
      </c>
      <c r="AB27" s="158">
        <f t="shared" si="3"/>
        <v>1.262086895505291</v>
      </c>
    </row>
    <row r="28" spans="1:28" ht="12">
      <c r="A28" s="12"/>
      <c r="B28" s="20" t="s">
        <v>14</v>
      </c>
      <c r="C28" s="20"/>
      <c r="D28" s="20"/>
      <c r="E28" s="246">
        <v>26</v>
      </c>
      <c r="F28" s="159">
        <f>'fak06-01'!BH28</f>
        <v>98020</v>
      </c>
      <c r="G28" s="54">
        <f>'fak06-01'!BI28</f>
        <v>93173</v>
      </c>
      <c r="H28" s="55">
        <v>80915</v>
      </c>
      <c r="I28" s="55">
        <v>62556.850999999995</v>
      </c>
      <c r="J28" s="55">
        <v>48869.882</v>
      </c>
      <c r="K28" s="163">
        <v>33885</v>
      </c>
      <c r="L28" s="159">
        <f>'ost06-01'!BE28</f>
        <v>0</v>
      </c>
      <c r="M28" s="54">
        <f>'ost06-01'!BF28</f>
        <v>0</v>
      </c>
      <c r="N28" s="55">
        <v>0</v>
      </c>
      <c r="O28" s="55">
        <v>0</v>
      </c>
      <c r="P28" s="55">
        <v>0</v>
      </c>
      <c r="Q28" s="163">
        <v>0</v>
      </c>
      <c r="R28" s="215">
        <f t="shared" si="11"/>
        <v>98020</v>
      </c>
      <c r="S28" s="55">
        <f t="shared" si="11"/>
        <v>93173</v>
      </c>
      <c r="T28" s="55">
        <f t="shared" si="12"/>
        <v>80915</v>
      </c>
      <c r="U28" s="55">
        <f t="shared" si="13"/>
        <v>62556.850999999995</v>
      </c>
      <c r="V28" s="55">
        <f t="shared" si="14"/>
        <v>48869.882</v>
      </c>
      <c r="W28" s="163">
        <f t="shared" si="15"/>
        <v>33885</v>
      </c>
      <c r="X28" s="209">
        <f t="shared" si="9"/>
        <v>1.2113946734227277</v>
      </c>
      <c r="Y28" s="164">
        <f t="shared" si="2"/>
        <v>1.1514923067416425</v>
      </c>
      <c r="Z28" s="164">
        <f t="shared" si="2"/>
        <v>1.293463444955054</v>
      </c>
      <c r="AA28" s="164">
        <f t="shared" si="2"/>
        <v>1.2800696142462549</v>
      </c>
      <c r="AB28" s="165">
        <f t="shared" si="3"/>
        <v>1.442227593330382</v>
      </c>
    </row>
    <row r="29" spans="1:28" ht="12">
      <c r="A29" s="12"/>
      <c r="B29" s="20" t="s">
        <v>15</v>
      </c>
      <c r="C29" s="20"/>
      <c r="D29" s="20"/>
      <c r="E29" s="246">
        <v>27</v>
      </c>
      <c r="F29" s="159">
        <f>'fak06-01'!BH29</f>
        <v>9795.06421</v>
      </c>
      <c r="G29" s="54">
        <f>'fak06-01'!BI29</f>
        <v>6636.404</v>
      </c>
      <c r="H29" s="55">
        <v>4772.9545</v>
      </c>
      <c r="I29" s="55">
        <v>5380.95829</v>
      </c>
      <c r="J29" s="55">
        <v>5884.844</v>
      </c>
      <c r="K29" s="163">
        <v>5681</v>
      </c>
      <c r="L29" s="159">
        <f>'ost06-01'!BE29</f>
        <v>25857.890760000002</v>
      </c>
      <c r="M29" s="54">
        <f>'ost06-01'!BF29</f>
        <v>22731.5</v>
      </c>
      <c r="N29" s="55">
        <v>23932.773</v>
      </c>
      <c r="O29" s="55">
        <v>22026.21043</v>
      </c>
      <c r="P29" s="55">
        <v>21388</v>
      </c>
      <c r="Q29" s="163">
        <v>16658</v>
      </c>
      <c r="R29" s="215">
        <f t="shared" si="11"/>
        <v>35652.954970000006</v>
      </c>
      <c r="S29" s="55">
        <f t="shared" si="11"/>
        <v>29367.904000000002</v>
      </c>
      <c r="T29" s="55">
        <f t="shared" si="12"/>
        <v>28705.7275</v>
      </c>
      <c r="U29" s="55">
        <f t="shared" si="13"/>
        <v>27407.168719999998</v>
      </c>
      <c r="V29" s="55">
        <f t="shared" si="14"/>
        <v>27272.844</v>
      </c>
      <c r="W29" s="163">
        <f t="shared" si="15"/>
        <v>22339</v>
      </c>
      <c r="X29" s="209">
        <f t="shared" si="9"/>
        <v>1.2420153772448375</v>
      </c>
      <c r="Y29" s="164">
        <f t="shared" si="2"/>
        <v>1.0230677484136224</v>
      </c>
      <c r="Z29" s="164">
        <f t="shared" si="2"/>
        <v>1.0473802600066602</v>
      </c>
      <c r="AA29" s="164">
        <f t="shared" si="2"/>
        <v>1.0049252186533975</v>
      </c>
      <c r="AB29" s="165">
        <f t="shared" si="3"/>
        <v>1.2208623483593715</v>
      </c>
    </row>
    <row r="30" spans="1:28" ht="12">
      <c r="A30" s="12"/>
      <c r="B30" s="20" t="s">
        <v>20</v>
      </c>
      <c r="C30" s="21"/>
      <c r="D30" s="21"/>
      <c r="E30" s="246">
        <v>28</v>
      </c>
      <c r="F30" s="159">
        <f>'fak06-01'!BH30</f>
        <v>49432.51488999999</v>
      </c>
      <c r="G30" s="54">
        <f>'fak06-01'!BI30</f>
        <v>57478.916370000006</v>
      </c>
      <c r="H30" s="55">
        <v>36746.4</v>
      </c>
      <c r="I30" s="55">
        <v>48593.14462999999</v>
      </c>
      <c r="J30" s="55">
        <v>72521.41</v>
      </c>
      <c r="K30" s="163">
        <v>44556</v>
      </c>
      <c r="L30" s="159">
        <f>'ost06-01'!BE30</f>
        <v>41664.20341</v>
      </c>
      <c r="M30" s="54">
        <f>'ost06-01'!BF30</f>
        <v>19619.499929999998</v>
      </c>
      <c r="N30" s="55">
        <v>17938.8293</v>
      </c>
      <c r="O30" s="55">
        <v>46266.06712000001</v>
      </c>
      <c r="P30" s="55">
        <v>24223</v>
      </c>
      <c r="Q30" s="163">
        <v>32907</v>
      </c>
      <c r="R30" s="215">
        <f t="shared" si="11"/>
        <v>91096.7183</v>
      </c>
      <c r="S30" s="55">
        <f t="shared" si="11"/>
        <v>77098.41630000001</v>
      </c>
      <c r="T30" s="55">
        <f t="shared" si="12"/>
        <v>54685.229300000006</v>
      </c>
      <c r="U30" s="55">
        <f t="shared" si="13"/>
        <v>94859.21174999999</v>
      </c>
      <c r="V30" s="55">
        <f t="shared" si="14"/>
        <v>96744.41</v>
      </c>
      <c r="W30" s="163">
        <f t="shared" si="15"/>
        <v>77463</v>
      </c>
      <c r="X30" s="209">
        <f t="shared" si="9"/>
        <v>1.665837731067171</v>
      </c>
      <c r="Y30" s="164">
        <f t="shared" si="2"/>
        <v>1.409858151586831</v>
      </c>
      <c r="Z30" s="164">
        <f t="shared" si="2"/>
        <v>0.5764883377285708</v>
      </c>
      <c r="AA30" s="164">
        <f t="shared" si="2"/>
        <v>0.9805136208903438</v>
      </c>
      <c r="AB30" s="165">
        <f t="shared" si="3"/>
        <v>1.2489112221318566</v>
      </c>
    </row>
    <row r="31" spans="1:28" ht="12">
      <c r="A31" s="12"/>
      <c r="B31" s="20" t="s">
        <v>16</v>
      </c>
      <c r="C31" s="20"/>
      <c r="D31" s="20"/>
      <c r="E31" s="246">
        <v>29</v>
      </c>
      <c r="F31" s="159">
        <f>'fak06-01'!BH31</f>
        <v>8763.332999999999</v>
      </c>
      <c r="G31" s="54">
        <f>'fak06-01'!BI31</f>
        <v>10103</v>
      </c>
      <c r="H31" s="55">
        <v>9696.41957</v>
      </c>
      <c r="I31" s="55">
        <v>13133.07775</v>
      </c>
      <c r="J31" s="55">
        <v>8785.537</v>
      </c>
      <c r="K31" s="163">
        <v>11862</v>
      </c>
      <c r="L31" s="159">
        <f>'ost06-01'!BE31</f>
        <v>0</v>
      </c>
      <c r="M31" s="54">
        <f>'ost06-01'!BF31</f>
        <v>472</v>
      </c>
      <c r="N31" s="55">
        <v>525</v>
      </c>
      <c r="O31" s="55">
        <v>0</v>
      </c>
      <c r="P31" s="55">
        <v>179</v>
      </c>
      <c r="Q31" s="163">
        <v>463</v>
      </c>
      <c r="R31" s="215">
        <f t="shared" si="11"/>
        <v>8763.332999999999</v>
      </c>
      <c r="S31" s="55">
        <f t="shared" si="11"/>
        <v>10575</v>
      </c>
      <c r="T31" s="55">
        <f t="shared" si="12"/>
        <v>10221.41957</v>
      </c>
      <c r="U31" s="55">
        <f t="shared" si="13"/>
        <v>13133.07775</v>
      </c>
      <c r="V31" s="55">
        <f t="shared" si="14"/>
        <v>8964.537</v>
      </c>
      <c r="W31" s="163">
        <f t="shared" si="15"/>
        <v>12325</v>
      </c>
      <c r="X31" s="209">
        <f t="shared" si="9"/>
        <v>0.8573498954803201</v>
      </c>
      <c r="Y31" s="164">
        <f t="shared" si="2"/>
        <v>1.0345921060747534</v>
      </c>
      <c r="Z31" s="164">
        <f t="shared" si="2"/>
        <v>0.7782958240691144</v>
      </c>
      <c r="AA31" s="164">
        <f t="shared" si="2"/>
        <v>1.465003463090174</v>
      </c>
      <c r="AB31" s="165">
        <f t="shared" si="3"/>
        <v>0.7273458012170385</v>
      </c>
    </row>
    <row r="32" spans="1:28" ht="12">
      <c r="A32" s="12"/>
      <c r="B32" s="20" t="s">
        <v>22</v>
      </c>
      <c r="C32" s="20"/>
      <c r="D32" s="20"/>
      <c r="E32" s="246">
        <v>30</v>
      </c>
      <c r="F32" s="159">
        <f>'fak06-01'!BH32</f>
        <v>0</v>
      </c>
      <c r="G32" s="54">
        <f>'fak06-01'!BI32</f>
        <v>0</v>
      </c>
      <c r="H32" s="55">
        <v>0</v>
      </c>
      <c r="I32" s="55">
        <v>0</v>
      </c>
      <c r="J32" s="55">
        <v>0</v>
      </c>
      <c r="K32" s="163">
        <v>0</v>
      </c>
      <c r="L32" s="159">
        <f>'ost06-01'!BE32</f>
        <v>103207.037</v>
      </c>
      <c r="M32" s="54">
        <f>'ost06-01'!BF32</f>
        <v>61238</v>
      </c>
      <c r="N32" s="55">
        <v>52352</v>
      </c>
      <c r="O32" s="55">
        <v>54129</v>
      </c>
      <c r="P32" s="55">
        <v>53297</v>
      </c>
      <c r="Q32" s="163">
        <v>52349</v>
      </c>
      <c r="R32" s="215">
        <f t="shared" si="11"/>
        <v>103207.037</v>
      </c>
      <c r="S32" s="55">
        <f t="shared" si="11"/>
        <v>61238</v>
      </c>
      <c r="T32" s="55">
        <f t="shared" si="12"/>
        <v>52352</v>
      </c>
      <c r="U32" s="55">
        <f t="shared" si="13"/>
        <v>54129</v>
      </c>
      <c r="V32" s="55">
        <f t="shared" si="14"/>
        <v>53297</v>
      </c>
      <c r="W32" s="163">
        <f t="shared" si="15"/>
        <v>52349</v>
      </c>
      <c r="X32" s="209">
        <f t="shared" si="9"/>
        <v>1.971405810666259</v>
      </c>
      <c r="Y32" s="164">
        <f t="shared" si="2"/>
        <v>1.1697356356968216</v>
      </c>
      <c r="Z32" s="164">
        <f t="shared" si="2"/>
        <v>0.9671710173843965</v>
      </c>
      <c r="AA32" s="164">
        <f t="shared" si="2"/>
        <v>1.01561063474492</v>
      </c>
      <c r="AB32" s="165">
        <f t="shared" si="3"/>
        <v>1.0181092284475348</v>
      </c>
    </row>
    <row r="33" spans="1:28" ht="12">
      <c r="A33" s="12"/>
      <c r="B33" s="20" t="s">
        <v>24</v>
      </c>
      <c r="C33" s="20"/>
      <c r="D33" s="20"/>
      <c r="E33" s="246">
        <v>31</v>
      </c>
      <c r="F33" s="159">
        <f>'fak06-01'!BH33</f>
        <v>3394.58995</v>
      </c>
      <c r="G33" s="54">
        <f>'fak06-01'!BI33</f>
        <v>3411.80898</v>
      </c>
      <c r="H33" s="55">
        <v>2308.95716</v>
      </c>
      <c r="I33" s="55">
        <v>3387.1589999999997</v>
      </c>
      <c r="J33" s="55">
        <v>2066.157</v>
      </c>
      <c r="K33" s="163">
        <v>1451</v>
      </c>
      <c r="L33" s="159">
        <f>'ost06-01'!BE33</f>
        <v>4523.54876</v>
      </c>
      <c r="M33" s="54">
        <f>'ost06-01'!BF33</f>
        <v>1711.97163</v>
      </c>
      <c r="N33" s="55">
        <v>500</v>
      </c>
      <c r="O33" s="55">
        <v>0</v>
      </c>
      <c r="P33" s="55">
        <v>0</v>
      </c>
      <c r="Q33" s="163">
        <v>0</v>
      </c>
      <c r="R33" s="215">
        <f t="shared" si="11"/>
        <v>7918.138709999999</v>
      </c>
      <c r="S33" s="55">
        <f t="shared" si="11"/>
        <v>5123.78061</v>
      </c>
      <c r="T33" s="55">
        <f t="shared" si="12"/>
        <v>2808.95716</v>
      </c>
      <c r="U33" s="55">
        <f t="shared" si="13"/>
        <v>3387.1589999999997</v>
      </c>
      <c r="V33" s="55">
        <f t="shared" si="14"/>
        <v>2066.157</v>
      </c>
      <c r="W33" s="163">
        <f t="shared" si="15"/>
        <v>1451</v>
      </c>
      <c r="X33" s="209">
        <f t="shared" si="9"/>
        <v>2.8188890961939768</v>
      </c>
      <c r="Y33" s="164">
        <f t="shared" si="2"/>
        <v>1.8240864200292752</v>
      </c>
      <c r="Z33" s="164">
        <f t="shared" si="2"/>
        <v>0.8292959261729373</v>
      </c>
      <c r="AA33" s="164">
        <f t="shared" si="2"/>
        <v>1.6393521886284534</v>
      </c>
      <c r="AB33" s="165">
        <f t="shared" si="3"/>
        <v>1.4239538249483117</v>
      </c>
    </row>
    <row r="34" spans="1:28" ht="12">
      <c r="A34" s="12"/>
      <c r="B34" s="20" t="s">
        <v>31</v>
      </c>
      <c r="C34" s="20"/>
      <c r="D34" s="20"/>
      <c r="E34" s="246">
        <v>32</v>
      </c>
      <c r="F34" s="159">
        <f>'fak06-01'!BH34</f>
        <v>39608.06121</v>
      </c>
      <c r="G34" s="54">
        <f>'fak06-01'!BI34</f>
        <v>29196.468589999997</v>
      </c>
      <c r="H34" s="55">
        <v>22904.019559999997</v>
      </c>
      <c r="I34" s="55">
        <v>25581.6232</v>
      </c>
      <c r="J34" s="55">
        <v>20220.415</v>
      </c>
      <c r="K34" s="163">
        <v>17284</v>
      </c>
      <c r="L34" s="159">
        <f>'ost06-01'!BE34</f>
        <v>28421.89823</v>
      </c>
      <c r="M34" s="54">
        <f>'ost06-01'!BF34</f>
        <v>16930.98183</v>
      </c>
      <c r="N34" s="55">
        <v>12821.49224</v>
      </c>
      <c r="O34" s="55">
        <v>14609.77309</v>
      </c>
      <c r="P34" s="55">
        <v>17320</v>
      </c>
      <c r="Q34" s="163">
        <v>11898</v>
      </c>
      <c r="R34" s="215">
        <f t="shared" si="11"/>
        <v>68029.95944</v>
      </c>
      <c r="S34" s="55">
        <f t="shared" si="11"/>
        <v>46127.450419999994</v>
      </c>
      <c r="T34" s="55">
        <f t="shared" si="12"/>
        <v>35725.51179999999</v>
      </c>
      <c r="U34" s="55">
        <f t="shared" si="13"/>
        <v>40191.396290000004</v>
      </c>
      <c r="V34" s="55">
        <f t="shared" si="14"/>
        <v>37540.415</v>
      </c>
      <c r="W34" s="163">
        <f t="shared" si="15"/>
        <v>29182</v>
      </c>
      <c r="X34" s="209">
        <f t="shared" si="9"/>
        <v>1.9042403037036413</v>
      </c>
      <c r="Y34" s="164">
        <f t="shared" si="2"/>
        <v>1.2911627600531674</v>
      </c>
      <c r="Z34" s="164">
        <f t="shared" si="2"/>
        <v>0.888884564801468</v>
      </c>
      <c r="AA34" s="164">
        <f t="shared" si="2"/>
        <v>1.0706167283979147</v>
      </c>
      <c r="AB34" s="165">
        <f t="shared" si="3"/>
        <v>1.2864236515660339</v>
      </c>
    </row>
    <row r="35" spans="1:28" ht="12">
      <c r="A35" s="12"/>
      <c r="B35" s="20" t="s">
        <v>36</v>
      </c>
      <c r="C35" s="20"/>
      <c r="D35" s="20"/>
      <c r="E35" s="246">
        <v>33</v>
      </c>
      <c r="F35" s="159">
        <f>'fak06-01'!BH35</f>
        <v>112915</v>
      </c>
      <c r="G35" s="54">
        <f>'fak06-01'!BI35</f>
        <v>99469</v>
      </c>
      <c r="H35" s="55">
        <v>98014</v>
      </c>
      <c r="I35" s="55">
        <v>93699.99999</v>
      </c>
      <c r="J35" s="55">
        <v>89632</v>
      </c>
      <c r="K35" s="163">
        <v>65916</v>
      </c>
      <c r="L35" s="159">
        <f>'ost06-01'!BE35</f>
        <v>0</v>
      </c>
      <c r="M35" s="54">
        <f>'ost06-01'!BF35</f>
        <v>0</v>
      </c>
      <c r="N35" s="55">
        <v>0</v>
      </c>
      <c r="O35" s="55">
        <v>0</v>
      </c>
      <c r="P35" s="55">
        <v>35915</v>
      </c>
      <c r="Q35" s="163">
        <v>64522</v>
      </c>
      <c r="R35" s="215">
        <f t="shared" si="11"/>
        <v>112915</v>
      </c>
      <c r="S35" s="55">
        <f t="shared" si="11"/>
        <v>99469</v>
      </c>
      <c r="T35" s="55">
        <f t="shared" si="12"/>
        <v>98014</v>
      </c>
      <c r="U35" s="55">
        <f t="shared" si="13"/>
        <v>93699.99999</v>
      </c>
      <c r="V35" s="55">
        <f t="shared" si="14"/>
        <v>125547</v>
      </c>
      <c r="W35" s="163">
        <f t="shared" si="15"/>
        <v>130438</v>
      </c>
      <c r="X35" s="209">
        <f t="shared" si="9"/>
        <v>1.152029301936458</v>
      </c>
      <c r="Y35" s="164">
        <f t="shared" si="2"/>
        <v>1.014844818087212</v>
      </c>
      <c r="Z35" s="164">
        <f t="shared" si="2"/>
        <v>1.046040555074284</v>
      </c>
      <c r="AA35" s="164">
        <f t="shared" si="2"/>
        <v>0.7463340421515449</v>
      </c>
      <c r="AB35" s="165">
        <f t="shared" si="3"/>
        <v>0.9625032582529631</v>
      </c>
    </row>
    <row r="36" spans="1:28" ht="12">
      <c r="A36" s="12"/>
      <c r="B36" s="20" t="s">
        <v>25</v>
      </c>
      <c r="C36" s="20"/>
      <c r="D36" s="20"/>
      <c r="E36" s="246">
        <v>34</v>
      </c>
      <c r="F36" s="159">
        <f>'fak06-01'!BH36</f>
        <v>257524.59553000005</v>
      </c>
      <c r="G36" s="54">
        <f>'fak06-01'!BI36</f>
        <v>254564.89062000002</v>
      </c>
      <c r="H36" s="55">
        <v>113636.00001</v>
      </c>
      <c r="I36" s="55">
        <v>112989.42275</v>
      </c>
      <c r="J36" s="55">
        <v>100353</v>
      </c>
      <c r="K36" s="163">
        <v>95328</v>
      </c>
      <c r="L36" s="159">
        <f>'ost06-01'!BE36</f>
        <v>1111.13661</v>
      </c>
      <c r="M36" s="54">
        <f>'ost06-01'!BF36</f>
        <v>807</v>
      </c>
      <c r="N36" s="55">
        <v>2097.00992</v>
      </c>
      <c r="O36" s="55">
        <v>1747</v>
      </c>
      <c r="P36" s="55">
        <v>2005</v>
      </c>
      <c r="Q36" s="163">
        <v>2070</v>
      </c>
      <c r="R36" s="215">
        <f t="shared" si="11"/>
        <v>258635.73214000004</v>
      </c>
      <c r="S36" s="55">
        <f t="shared" si="11"/>
        <v>255371.89062000002</v>
      </c>
      <c r="T36" s="55">
        <f t="shared" si="12"/>
        <v>115733.00993</v>
      </c>
      <c r="U36" s="55">
        <f t="shared" si="13"/>
        <v>114736.42275</v>
      </c>
      <c r="V36" s="55">
        <f t="shared" si="14"/>
        <v>102358</v>
      </c>
      <c r="W36" s="163">
        <f t="shared" si="15"/>
        <v>97398</v>
      </c>
      <c r="X36" s="209">
        <f t="shared" si="9"/>
        <v>2.234761994839963</v>
      </c>
      <c r="Y36" s="164">
        <f t="shared" si="2"/>
        <v>2.206560520412104</v>
      </c>
      <c r="Z36" s="164">
        <f t="shared" si="2"/>
        <v>1.0086858833151133</v>
      </c>
      <c r="AA36" s="164">
        <f t="shared" si="2"/>
        <v>1.1209326359444303</v>
      </c>
      <c r="AB36" s="165">
        <f t="shared" si="3"/>
        <v>1.0509250703299862</v>
      </c>
    </row>
    <row r="37" spans="1:28" ht="12">
      <c r="A37" s="12"/>
      <c r="B37" s="20" t="s">
        <v>26</v>
      </c>
      <c r="C37" s="20"/>
      <c r="D37" s="20"/>
      <c r="E37" s="246">
        <v>35</v>
      </c>
      <c r="F37" s="159">
        <f>'fak06-01'!BH37</f>
        <v>222957.97942000002</v>
      </c>
      <c r="G37" s="54">
        <f>'fak06-01'!BI37</f>
        <v>165511.82565999997</v>
      </c>
      <c r="H37" s="55">
        <v>123497.31</v>
      </c>
      <c r="I37" s="55">
        <v>123333.97782</v>
      </c>
      <c r="J37" s="55">
        <v>95084.674</v>
      </c>
      <c r="K37" s="163">
        <v>81412</v>
      </c>
      <c r="L37" s="159">
        <f>'ost06-01'!BE37</f>
        <v>12178.087</v>
      </c>
      <c r="M37" s="54">
        <f>'ost06-01'!BF37</f>
        <v>12455</v>
      </c>
      <c r="N37" s="55">
        <v>5684</v>
      </c>
      <c r="O37" s="55">
        <v>121</v>
      </c>
      <c r="P37" s="55">
        <v>525</v>
      </c>
      <c r="Q37" s="163">
        <v>648</v>
      </c>
      <c r="R37" s="215">
        <f t="shared" si="11"/>
        <v>235136.06642000002</v>
      </c>
      <c r="S37" s="55">
        <f t="shared" si="11"/>
        <v>177966.82565999997</v>
      </c>
      <c r="T37" s="55">
        <f t="shared" si="12"/>
        <v>129181.31</v>
      </c>
      <c r="U37" s="55">
        <f t="shared" si="13"/>
        <v>123454.97782</v>
      </c>
      <c r="V37" s="55">
        <f t="shared" si="14"/>
        <v>95609.674</v>
      </c>
      <c r="W37" s="163">
        <f t="shared" si="15"/>
        <v>82060</v>
      </c>
      <c r="X37" s="209">
        <f t="shared" si="9"/>
        <v>1.8202019039751185</v>
      </c>
      <c r="Y37" s="164">
        <f t="shared" si="2"/>
        <v>1.3776515012891568</v>
      </c>
      <c r="Z37" s="164">
        <f t="shared" si="2"/>
        <v>1.0463839715588392</v>
      </c>
      <c r="AA37" s="164">
        <f t="shared" si="2"/>
        <v>1.2912393971764824</v>
      </c>
      <c r="AB37" s="165">
        <f t="shared" si="3"/>
        <v>1.1651191079697782</v>
      </c>
    </row>
    <row r="38" spans="1:28" ht="12">
      <c r="A38" s="12"/>
      <c r="B38" s="20" t="s">
        <v>27</v>
      </c>
      <c r="C38" s="20"/>
      <c r="D38" s="20"/>
      <c r="E38" s="246">
        <v>36</v>
      </c>
      <c r="F38" s="159">
        <f>'fak06-01'!BH38</f>
        <v>63553.88250000001</v>
      </c>
      <c r="G38" s="54">
        <f>'fak06-01'!BI38</f>
        <v>49992.63367999999</v>
      </c>
      <c r="H38" s="55">
        <v>33774.24766</v>
      </c>
      <c r="I38" s="55">
        <v>21059.619049999998</v>
      </c>
      <c r="J38" s="55">
        <v>16826.571</v>
      </c>
      <c r="K38" s="163">
        <v>14024</v>
      </c>
      <c r="L38" s="159">
        <f>'ost06-01'!BE38</f>
        <v>4094.96083</v>
      </c>
      <c r="M38" s="54">
        <f>'ost06-01'!BF38</f>
        <v>5763.34071</v>
      </c>
      <c r="N38" s="55">
        <v>6395.81591</v>
      </c>
      <c r="O38" s="55">
        <v>4923.29285</v>
      </c>
      <c r="P38" s="55">
        <v>3487</v>
      </c>
      <c r="Q38" s="163">
        <v>1172</v>
      </c>
      <c r="R38" s="215">
        <f t="shared" si="11"/>
        <v>67648.84333</v>
      </c>
      <c r="S38" s="55">
        <f t="shared" si="11"/>
        <v>55755.97438999999</v>
      </c>
      <c r="T38" s="55">
        <f t="shared" si="12"/>
        <v>40170.06357</v>
      </c>
      <c r="U38" s="55">
        <f t="shared" si="13"/>
        <v>25982.9119</v>
      </c>
      <c r="V38" s="55">
        <f t="shared" si="14"/>
        <v>20313.571</v>
      </c>
      <c r="W38" s="163">
        <f t="shared" si="15"/>
        <v>15196</v>
      </c>
      <c r="X38" s="209">
        <f t="shared" si="9"/>
        <v>1.6840611469811524</v>
      </c>
      <c r="Y38" s="164">
        <f t="shared" si="2"/>
        <v>1.3879981616867525</v>
      </c>
      <c r="Z38" s="164">
        <f t="shared" si="2"/>
        <v>1.5460185419017642</v>
      </c>
      <c r="AA38" s="164">
        <f t="shared" si="2"/>
        <v>1.2790912981277394</v>
      </c>
      <c r="AB38" s="165">
        <f t="shared" si="3"/>
        <v>1.336770926559621</v>
      </c>
    </row>
    <row r="39" spans="1:28" ht="12">
      <c r="A39" s="12"/>
      <c r="B39" s="20" t="s">
        <v>28</v>
      </c>
      <c r="C39" s="20"/>
      <c r="D39" s="20"/>
      <c r="E39" s="246">
        <v>37</v>
      </c>
      <c r="F39" s="159">
        <f>'fak06-01'!BH39</f>
        <v>260472.08320999998</v>
      </c>
      <c r="G39" s="54">
        <f>'fak06-01'!BI39</f>
        <v>220622.34882999997</v>
      </c>
      <c r="H39" s="55">
        <v>129789.23939</v>
      </c>
      <c r="I39" s="55">
        <v>114963.02170000001</v>
      </c>
      <c r="J39" s="55">
        <v>132721.14500000002</v>
      </c>
      <c r="K39" s="163">
        <v>104633</v>
      </c>
      <c r="L39" s="159">
        <f>'ost06-01'!BE39</f>
        <v>212032.20380999998</v>
      </c>
      <c r="M39" s="54">
        <f>'ost06-01'!BF39</f>
        <v>131349.01666000002</v>
      </c>
      <c r="N39" s="55">
        <v>147244.08317</v>
      </c>
      <c r="O39" s="55">
        <v>93240.88903</v>
      </c>
      <c r="P39" s="55">
        <v>100249</v>
      </c>
      <c r="Q39" s="163">
        <v>111567</v>
      </c>
      <c r="R39" s="215">
        <f t="shared" si="11"/>
        <v>472504.28701999993</v>
      </c>
      <c r="S39" s="55">
        <f t="shared" si="11"/>
        <v>351971.36549</v>
      </c>
      <c r="T39" s="55">
        <f t="shared" si="12"/>
        <v>277033.32256</v>
      </c>
      <c r="U39" s="55">
        <f t="shared" si="13"/>
        <v>208203.91073</v>
      </c>
      <c r="V39" s="55">
        <f t="shared" si="14"/>
        <v>232970.14500000002</v>
      </c>
      <c r="W39" s="163">
        <f t="shared" si="15"/>
        <v>216200</v>
      </c>
      <c r="X39" s="209">
        <f t="shared" si="9"/>
        <v>1.7055864711641855</v>
      </c>
      <c r="Y39" s="164">
        <f t="shared" si="2"/>
        <v>1.2705019101583706</v>
      </c>
      <c r="Z39" s="164">
        <f t="shared" si="2"/>
        <v>1.3305865465671216</v>
      </c>
      <c r="AA39" s="164">
        <f t="shared" si="2"/>
        <v>0.8936935276835578</v>
      </c>
      <c r="AB39" s="165">
        <f t="shared" si="3"/>
        <v>1.0775677382053654</v>
      </c>
    </row>
    <row r="40" spans="1:28" ht="12">
      <c r="A40" s="12"/>
      <c r="B40" s="20" t="s">
        <v>29</v>
      </c>
      <c r="C40" s="20"/>
      <c r="D40" s="20"/>
      <c r="E40" s="246">
        <v>38</v>
      </c>
      <c r="F40" s="159">
        <f>'fak06-01'!BH40</f>
        <v>11018.653</v>
      </c>
      <c r="G40" s="54">
        <f>'fak06-01'!BI40</f>
        <v>10559.45</v>
      </c>
      <c r="H40" s="55">
        <v>2766.532</v>
      </c>
      <c r="I40" s="55">
        <v>2340.712</v>
      </c>
      <c r="J40" s="55">
        <v>1010</v>
      </c>
      <c r="K40" s="163">
        <v>1225</v>
      </c>
      <c r="L40" s="159">
        <f>'ost06-01'!BE40</f>
        <v>17786.886000000002</v>
      </c>
      <c r="M40" s="54">
        <f>'ost06-01'!BF40</f>
        <v>5386.25</v>
      </c>
      <c r="N40" s="55">
        <v>4197.784</v>
      </c>
      <c r="O40" s="55">
        <v>6391.328</v>
      </c>
      <c r="P40" s="55">
        <v>2090</v>
      </c>
      <c r="Q40" s="163">
        <v>0</v>
      </c>
      <c r="R40" s="215">
        <f t="shared" si="11"/>
        <v>28805.539000000004</v>
      </c>
      <c r="S40" s="55">
        <f t="shared" si="11"/>
        <v>15945.7</v>
      </c>
      <c r="T40" s="55">
        <f t="shared" si="12"/>
        <v>6964.316</v>
      </c>
      <c r="U40" s="55">
        <f t="shared" si="13"/>
        <v>8732.04</v>
      </c>
      <c r="V40" s="55">
        <f t="shared" si="14"/>
        <v>3100</v>
      </c>
      <c r="W40" s="163">
        <f t="shared" si="15"/>
        <v>1225</v>
      </c>
      <c r="X40" s="209">
        <f t="shared" si="9"/>
        <v>4.1361619719725535</v>
      </c>
      <c r="Y40" s="164">
        <f t="shared" si="2"/>
        <v>2.2896290174081706</v>
      </c>
      <c r="Z40" s="164">
        <f t="shared" si="2"/>
        <v>0.7975588751311262</v>
      </c>
      <c r="AA40" s="164">
        <f t="shared" si="2"/>
        <v>2.8167870967741937</v>
      </c>
      <c r="AB40" s="165">
        <f t="shared" si="3"/>
        <v>2.5306122448979593</v>
      </c>
    </row>
    <row r="41" spans="1:28" ht="12.75" thickBot="1">
      <c r="A41" s="12"/>
      <c r="B41" s="20" t="s">
        <v>30</v>
      </c>
      <c r="C41" s="20"/>
      <c r="D41" s="20"/>
      <c r="E41" s="246">
        <v>39</v>
      </c>
      <c r="F41" s="159">
        <f>'fak06-01'!BH41</f>
        <v>30461.25248</v>
      </c>
      <c r="G41" s="54">
        <f>'fak06-01'!BI41</f>
        <v>34165.47999</v>
      </c>
      <c r="H41" s="55">
        <v>35067.83453</v>
      </c>
      <c r="I41" s="55">
        <v>30401.03312</v>
      </c>
      <c r="J41" s="55">
        <v>25681.503</v>
      </c>
      <c r="K41" s="163">
        <v>30069</v>
      </c>
      <c r="L41" s="159">
        <f>'ost06-01'!BE41</f>
        <v>64474.73178000001</v>
      </c>
      <c r="M41" s="54">
        <f>'ost06-01'!BF41</f>
        <v>50874.632739999994</v>
      </c>
      <c r="N41" s="55">
        <v>51645.08936</v>
      </c>
      <c r="O41" s="55">
        <v>39059.022220000006</v>
      </c>
      <c r="P41" s="55">
        <v>37437</v>
      </c>
      <c r="Q41" s="163">
        <v>39346</v>
      </c>
      <c r="R41" s="215">
        <f t="shared" si="11"/>
        <v>94935.98426000001</v>
      </c>
      <c r="S41" s="55">
        <f t="shared" si="11"/>
        <v>85040.11273</v>
      </c>
      <c r="T41" s="55">
        <f t="shared" si="12"/>
        <v>86712.92389</v>
      </c>
      <c r="U41" s="55">
        <f t="shared" si="13"/>
        <v>69460.05534</v>
      </c>
      <c r="V41" s="55">
        <f t="shared" si="14"/>
        <v>63118.503</v>
      </c>
      <c r="W41" s="163">
        <f t="shared" si="15"/>
        <v>69415</v>
      </c>
      <c r="X41" s="156">
        <f t="shared" si="9"/>
        <v>1.0948308510555058</v>
      </c>
      <c r="Y41" s="157">
        <f t="shared" si="2"/>
        <v>0.9807086292912685</v>
      </c>
      <c r="Z41" s="157">
        <f t="shared" si="2"/>
        <v>1.2483854708371442</v>
      </c>
      <c r="AA41" s="164">
        <f t="shared" si="2"/>
        <v>1.1004705757993025</v>
      </c>
      <c r="AB41" s="165">
        <f t="shared" si="3"/>
        <v>0.9092919830007923</v>
      </c>
    </row>
    <row r="42" spans="1:28" s="29" customFormat="1" ht="12.75" hidden="1" thickBot="1">
      <c r="A42" s="40" t="s">
        <v>32</v>
      </c>
      <c r="B42" s="41"/>
      <c r="C42" s="41"/>
      <c r="D42" s="41"/>
      <c r="E42" s="508">
        <v>42</v>
      </c>
      <c r="F42" s="159">
        <f>fak!F43/1000</f>
        <v>8246.675</v>
      </c>
      <c r="G42" s="54"/>
      <c r="H42" s="54"/>
      <c r="I42" s="54" t="e">
        <f>#REF!</f>
        <v>#REF!</v>
      </c>
      <c r="J42" s="54" t="e">
        <f>#REF!</f>
        <v>#REF!</v>
      </c>
      <c r="K42" s="160" t="e">
        <f>#REF!</f>
        <v>#REF!</v>
      </c>
      <c r="L42" s="159">
        <f>fak!K43/1000</f>
        <v>39533.28573000004</v>
      </c>
      <c r="M42" s="54">
        <f>fak!L43/1000</f>
        <v>0</v>
      </c>
      <c r="N42" s="54"/>
      <c r="O42" s="54" t="e">
        <f>#REF!</f>
        <v>#REF!</v>
      </c>
      <c r="P42" s="54" t="e">
        <f>#REF!</f>
        <v>#REF!</v>
      </c>
      <c r="Q42" s="160" t="e">
        <f>#REF!</f>
        <v>#REF!</v>
      </c>
      <c r="R42" s="62">
        <f t="shared" si="11"/>
        <v>47779.960730000035</v>
      </c>
      <c r="S42" s="54">
        <f t="shared" si="11"/>
        <v>0</v>
      </c>
      <c r="T42" s="54"/>
      <c r="U42" s="54" t="e">
        <f>I42+O42</f>
        <v>#REF!</v>
      </c>
      <c r="V42" s="167" t="e">
        <f>J42+P42</f>
        <v>#REF!</v>
      </c>
      <c r="W42" s="509" t="e">
        <f>K42+Q42</f>
        <v>#REF!</v>
      </c>
      <c r="X42" s="156" t="e">
        <f t="shared" si="9"/>
        <v>#DIV/0!</v>
      </c>
      <c r="Y42" s="157" t="e">
        <f t="shared" si="2"/>
        <v>#DIV/0!</v>
      </c>
      <c r="Z42" s="157" t="e">
        <f t="shared" si="2"/>
        <v>#REF!</v>
      </c>
      <c r="AA42" s="157" t="e">
        <f t="shared" si="2"/>
        <v>#REF!</v>
      </c>
      <c r="AB42" s="158" t="e">
        <f t="shared" si="3"/>
        <v>#REF!</v>
      </c>
    </row>
    <row r="43" spans="1:28" ht="12.75" thickBot="1">
      <c r="A43" s="132" t="s">
        <v>33</v>
      </c>
      <c r="B43" s="133"/>
      <c r="C43" s="133"/>
      <c r="D43" s="133"/>
      <c r="E43" s="506">
        <v>40</v>
      </c>
      <c r="F43" s="498">
        <f aca="true" t="shared" si="16" ref="F43:W43">F26-F3</f>
        <v>34661.262259999756</v>
      </c>
      <c r="G43" s="121">
        <f t="shared" si="16"/>
        <v>39720.73680999945</v>
      </c>
      <c r="H43" s="121">
        <f t="shared" si="16"/>
        <v>36480.42557000066</v>
      </c>
      <c r="I43" s="121">
        <f t="shared" si="16"/>
        <v>43672.57736000023</v>
      </c>
      <c r="J43" s="121">
        <f t="shared" si="16"/>
        <v>34899.45600000047</v>
      </c>
      <c r="K43" s="166">
        <f t="shared" si="16"/>
        <v>12007</v>
      </c>
      <c r="L43" s="504">
        <f>L26-L3</f>
        <v>25354.565450000344</v>
      </c>
      <c r="M43" s="121">
        <f>M26-M3</f>
        <v>19483.915860000066</v>
      </c>
      <c r="N43" s="121">
        <f t="shared" si="16"/>
        <v>20977.192170000053</v>
      </c>
      <c r="O43" s="121">
        <f t="shared" si="16"/>
        <v>9625.02013999992</v>
      </c>
      <c r="P43" s="121">
        <f t="shared" si="16"/>
        <v>20424</v>
      </c>
      <c r="Q43" s="166">
        <f t="shared" si="16"/>
        <v>40948</v>
      </c>
      <c r="R43" s="119">
        <f t="shared" si="16"/>
        <v>60015.82770999987</v>
      </c>
      <c r="S43" s="121">
        <f>S26-S3</f>
        <v>59204.652670000214</v>
      </c>
      <c r="T43" s="121">
        <f t="shared" si="16"/>
        <v>57457.61774000013</v>
      </c>
      <c r="U43" s="121">
        <f t="shared" si="16"/>
        <v>53297.59749999968</v>
      </c>
      <c r="V43" s="121">
        <f t="shared" si="16"/>
        <v>55323.456000000006</v>
      </c>
      <c r="W43" s="166">
        <f t="shared" si="16"/>
        <v>52955</v>
      </c>
      <c r="X43" s="151">
        <f t="shared" si="9"/>
        <v>1.0445234256243587</v>
      </c>
      <c r="Y43" s="152">
        <f>S43/T43</f>
        <v>1.0304056276385412</v>
      </c>
      <c r="Z43" s="152">
        <f>T43/U43</f>
        <v>1.078052678453292</v>
      </c>
      <c r="AA43" s="152">
        <f>U43/V43</f>
        <v>0.9633815627859489</v>
      </c>
      <c r="AB43" s="153">
        <f>V43/W43</f>
        <v>1.0447258238126713</v>
      </c>
    </row>
    <row r="44" ht="13.5">
      <c r="A44" s="35"/>
    </row>
  </sheetData>
  <mergeCells count="1">
    <mergeCell ref="A1:D1"/>
  </mergeCells>
  <printOptions/>
  <pageMargins left="0.55" right="0.97" top="0.45" bottom="0.34" header="0.2" footer="0.18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7"/>
  <dimension ref="A1:C27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customWidth="1"/>
    <col min="2" max="2" width="31.375" style="0" customWidth="1"/>
    <col min="3" max="3" width="9.125" style="64" customWidth="1"/>
  </cols>
  <sheetData>
    <row r="1" ht="15.75">
      <c r="A1" s="84" t="s">
        <v>193</v>
      </c>
    </row>
    <row r="2" ht="13.5" thickBot="1"/>
    <row r="3" spans="1:3" ht="13.5" thickBot="1">
      <c r="A3" s="70" t="s">
        <v>92</v>
      </c>
      <c r="B3" s="72" t="s">
        <v>93</v>
      </c>
      <c r="C3" s="71" t="s">
        <v>94</v>
      </c>
    </row>
    <row r="4" spans="1:3" ht="12.75">
      <c r="A4" s="66">
        <v>11</v>
      </c>
      <c r="B4" s="73" t="s">
        <v>95</v>
      </c>
      <c r="C4" s="67" t="s">
        <v>59</v>
      </c>
    </row>
    <row r="5" spans="1:3" ht="12.75">
      <c r="A5" s="75">
        <v>21</v>
      </c>
      <c r="B5" s="76" t="s">
        <v>96</v>
      </c>
      <c r="C5" s="77" t="s">
        <v>60</v>
      </c>
    </row>
    <row r="6" spans="1:3" ht="12.75">
      <c r="A6" s="75">
        <v>22</v>
      </c>
      <c r="B6" s="76" t="s">
        <v>97</v>
      </c>
      <c r="C6" s="77" t="s">
        <v>62</v>
      </c>
    </row>
    <row r="7" spans="1:3" ht="12.75">
      <c r="A7" s="75">
        <v>23</v>
      </c>
      <c r="B7" s="76" t="s">
        <v>98</v>
      </c>
      <c r="C7" s="77" t="s">
        <v>61</v>
      </c>
    </row>
    <row r="8" spans="1:3" ht="12.75">
      <c r="A8" s="75">
        <v>31</v>
      </c>
      <c r="B8" s="76" t="s">
        <v>99</v>
      </c>
      <c r="C8" s="77" t="s">
        <v>63</v>
      </c>
    </row>
    <row r="9" spans="1:3" ht="12.75">
      <c r="A9" s="75">
        <v>33</v>
      </c>
      <c r="B9" s="76" t="s">
        <v>100</v>
      </c>
      <c r="C9" s="77" t="s">
        <v>64</v>
      </c>
    </row>
    <row r="10" spans="1:3" ht="12.75">
      <c r="A10" s="75">
        <v>41</v>
      </c>
      <c r="B10" s="76" t="s">
        <v>101</v>
      </c>
      <c r="C10" s="77" t="s">
        <v>65</v>
      </c>
    </row>
    <row r="11" spans="1:3" ht="12.75">
      <c r="A11" s="75">
        <v>51</v>
      </c>
      <c r="B11" s="76" t="s">
        <v>102</v>
      </c>
      <c r="C11" s="77" t="s">
        <v>66</v>
      </c>
    </row>
    <row r="12" spans="1:3" ht="12.75">
      <c r="A12" s="81">
        <v>56</v>
      </c>
      <c r="B12" s="82" t="s">
        <v>103</v>
      </c>
      <c r="C12" s="83" t="s">
        <v>67</v>
      </c>
    </row>
    <row r="13" spans="1:3" ht="12.75">
      <c r="A13" s="78">
        <v>81</v>
      </c>
      <c r="B13" s="79" t="s">
        <v>104</v>
      </c>
      <c r="C13" s="80" t="s">
        <v>69</v>
      </c>
    </row>
    <row r="14" spans="1:3" ht="12.75">
      <c r="A14" s="78">
        <v>82</v>
      </c>
      <c r="B14" s="79"/>
      <c r="C14" s="80" t="s">
        <v>148</v>
      </c>
    </row>
    <row r="15" spans="1:3" ht="12.75">
      <c r="A15" s="78">
        <v>83</v>
      </c>
      <c r="B15" s="79" t="s">
        <v>189</v>
      </c>
      <c r="C15" s="80" t="s">
        <v>134</v>
      </c>
    </row>
    <row r="16" spans="1:3" ht="12.75">
      <c r="A16" s="78">
        <v>84</v>
      </c>
      <c r="B16" s="79" t="s">
        <v>192</v>
      </c>
      <c r="C16" s="80" t="s">
        <v>135</v>
      </c>
    </row>
    <row r="17" spans="1:3" ht="12.75">
      <c r="A17" s="75">
        <v>92</v>
      </c>
      <c r="B17" s="76" t="s">
        <v>105</v>
      </c>
      <c r="C17" s="77" t="s">
        <v>70</v>
      </c>
    </row>
    <row r="18" spans="1:3" ht="12.75">
      <c r="A18" s="75">
        <v>94</v>
      </c>
      <c r="B18" s="76" t="s">
        <v>191</v>
      </c>
      <c r="C18" s="77" t="s">
        <v>190</v>
      </c>
    </row>
    <row r="19" spans="1:3" ht="12.75">
      <c r="A19" s="75">
        <v>96</v>
      </c>
      <c r="B19" s="76" t="s">
        <v>106</v>
      </c>
      <c r="C19" s="77" t="s">
        <v>71</v>
      </c>
    </row>
    <row r="20" spans="1:3" ht="12.75">
      <c r="A20" s="75">
        <v>97</v>
      </c>
      <c r="B20" s="76" t="s">
        <v>107</v>
      </c>
      <c r="C20" s="77" t="s">
        <v>56</v>
      </c>
    </row>
    <row r="21" spans="1:3" ht="13.5" thickBot="1">
      <c r="A21" s="68">
        <v>99</v>
      </c>
      <c r="B21" s="74" t="s">
        <v>108</v>
      </c>
      <c r="C21" s="69" t="s">
        <v>57</v>
      </c>
    </row>
    <row r="22" ht="12.75">
      <c r="A22" s="64"/>
    </row>
    <row r="24" ht="12.75">
      <c r="A24" s="65" t="s">
        <v>115</v>
      </c>
    </row>
    <row r="25" spans="1:2" ht="12.75">
      <c r="A25" t="s">
        <v>109</v>
      </c>
      <c r="B25" t="s">
        <v>110</v>
      </c>
    </row>
    <row r="26" spans="1:2" ht="12.75">
      <c r="A26" t="s">
        <v>111</v>
      </c>
      <c r="B26" t="s">
        <v>112</v>
      </c>
    </row>
    <row r="27" spans="1:2" ht="12.75">
      <c r="A27" t="s">
        <v>113</v>
      </c>
      <c r="B27" t="s">
        <v>114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7">
    <tabColor indexed="43"/>
  </sheetPr>
  <dimension ref="A1:R53"/>
  <sheetViews>
    <sheetView workbookViewId="0" topLeftCell="A1">
      <selection activeCell="E45" sqref="E45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9.75390625" style="5" customWidth="1"/>
    <col min="5" max="5" width="3.75390625" style="5" customWidth="1"/>
    <col min="6" max="15" width="9.25390625" style="5" customWidth="1"/>
    <col min="16" max="16" width="10.25390625" style="5" customWidth="1"/>
    <col min="17" max="17" width="9.625" style="5" hidden="1" customWidth="1"/>
    <col min="18" max="16384" width="9.125" style="5" customWidth="1"/>
  </cols>
  <sheetData>
    <row r="1" spans="1:18" ht="12.75">
      <c r="A1" s="610" t="s">
        <v>202</v>
      </c>
      <c r="B1" s="611"/>
      <c r="C1" s="611"/>
      <c r="D1" s="612"/>
      <c r="E1" s="242"/>
      <c r="F1" s="260" t="s">
        <v>69</v>
      </c>
      <c r="G1" s="260" t="s">
        <v>148</v>
      </c>
      <c r="H1" s="260" t="s">
        <v>134</v>
      </c>
      <c r="I1" s="260" t="s">
        <v>135</v>
      </c>
      <c r="J1" s="260" t="s">
        <v>216</v>
      </c>
      <c r="K1" s="260" t="s">
        <v>70</v>
      </c>
      <c r="L1" s="260" t="s">
        <v>55</v>
      </c>
      <c r="M1" s="260" t="s">
        <v>71</v>
      </c>
      <c r="N1" s="260" t="s">
        <v>56</v>
      </c>
      <c r="O1" s="260" t="s">
        <v>57</v>
      </c>
      <c r="P1" s="287" t="s">
        <v>9</v>
      </c>
      <c r="Q1" s="31" t="s">
        <v>11</v>
      </c>
      <c r="R1" s="204"/>
    </row>
    <row r="2" spans="1:18" ht="13.5" thickBot="1">
      <c r="A2" s="240" t="s">
        <v>39</v>
      </c>
      <c r="B2" s="256"/>
      <c r="C2" s="256"/>
      <c r="D2" s="257" t="s">
        <v>44</v>
      </c>
      <c r="E2" s="244" t="s">
        <v>21</v>
      </c>
      <c r="F2" s="276">
        <v>81</v>
      </c>
      <c r="G2" s="276">
        <v>82</v>
      </c>
      <c r="H2" s="276">
        <v>83</v>
      </c>
      <c r="I2" s="276">
        <v>84</v>
      </c>
      <c r="J2" s="276">
        <v>85</v>
      </c>
      <c r="K2" s="276">
        <v>92</v>
      </c>
      <c r="L2" s="276">
        <v>94</v>
      </c>
      <c r="M2" s="276">
        <v>96</v>
      </c>
      <c r="N2" s="276">
        <v>97</v>
      </c>
      <c r="O2" s="276">
        <v>99</v>
      </c>
      <c r="P2" s="288" t="s">
        <v>129</v>
      </c>
      <c r="Q2" s="34" t="s">
        <v>12</v>
      </c>
      <c r="R2" s="204"/>
    </row>
    <row r="3" spans="1:17" ht="13.5" thickBot="1">
      <c r="A3" s="239" t="s">
        <v>157</v>
      </c>
      <c r="B3" s="171"/>
      <c r="C3" s="171"/>
      <c r="D3" s="171"/>
      <c r="E3" s="245">
        <v>1</v>
      </c>
      <c r="F3" s="262">
        <f aca="true" t="shared" si="0" ref="F3:Q3">SUM(F5:F25)</f>
        <v>152400.61818</v>
      </c>
      <c r="G3" s="262">
        <f t="shared" si="0"/>
        <v>14601.233160000002</v>
      </c>
      <c r="H3" s="262">
        <f t="shared" si="0"/>
        <v>4656.371770000002</v>
      </c>
      <c r="I3" s="262">
        <f t="shared" si="0"/>
        <v>15608.59545</v>
      </c>
      <c r="J3" s="262">
        <f>SUM(J5:J25)</f>
        <v>34997.574440000004</v>
      </c>
      <c r="K3" s="262">
        <f t="shared" si="0"/>
        <v>187433.77196</v>
      </c>
      <c r="L3" s="262">
        <f t="shared" si="0"/>
        <v>1016.7192999999995</v>
      </c>
      <c r="M3" s="262">
        <f t="shared" si="0"/>
        <v>27858.485960000005</v>
      </c>
      <c r="N3" s="262">
        <f t="shared" si="0"/>
        <v>59034.04575</v>
      </c>
      <c r="O3" s="262">
        <f t="shared" si="0"/>
        <v>342606.26726999995</v>
      </c>
      <c r="P3" s="255">
        <f t="shared" si="0"/>
        <v>840213.6832399999</v>
      </c>
      <c r="Q3" s="46" t="e">
        <f t="shared" si="0"/>
        <v>#REF!</v>
      </c>
    </row>
    <row r="4" spans="1:17" ht="12">
      <c r="A4" s="240" t="s">
        <v>10</v>
      </c>
      <c r="B4" s="3" t="s">
        <v>91</v>
      </c>
      <c r="C4" s="3"/>
      <c r="D4" s="3"/>
      <c r="E4" s="246">
        <v>2</v>
      </c>
      <c r="F4" s="37">
        <f aca="true" t="shared" si="1" ref="F4:Q4">SUM(F5:F15)</f>
        <v>127012.0644</v>
      </c>
      <c r="G4" s="37">
        <f t="shared" si="1"/>
        <v>14601.233160000002</v>
      </c>
      <c r="H4" s="37">
        <f t="shared" si="1"/>
        <v>4656.371770000002</v>
      </c>
      <c r="I4" s="37">
        <f t="shared" si="1"/>
        <v>3036.57992</v>
      </c>
      <c r="J4" s="37">
        <f>SUM(J5:J15)</f>
        <v>29627.721250000002</v>
      </c>
      <c r="K4" s="37">
        <f t="shared" si="1"/>
        <v>134700.04116000002</v>
      </c>
      <c r="L4" s="37">
        <f t="shared" si="1"/>
        <v>175.3529499999995</v>
      </c>
      <c r="M4" s="37">
        <f t="shared" si="1"/>
        <v>23079.765860000003</v>
      </c>
      <c r="N4" s="37">
        <f t="shared" si="1"/>
        <v>11791.684249999998</v>
      </c>
      <c r="O4" s="37">
        <f t="shared" si="1"/>
        <v>322553.9212</v>
      </c>
      <c r="P4" s="289">
        <f t="shared" si="1"/>
        <v>671234.7359199999</v>
      </c>
      <c r="Q4" s="47" t="e">
        <f t="shared" si="1"/>
        <v>#REF!</v>
      </c>
    </row>
    <row r="5" spans="1:17" s="29" customFormat="1" ht="12">
      <c r="A5" s="241"/>
      <c r="B5" s="27"/>
      <c r="C5" s="27" t="s">
        <v>13</v>
      </c>
      <c r="D5" s="28" t="s">
        <v>17</v>
      </c>
      <c r="E5" s="246">
        <v>3</v>
      </c>
      <c r="F5" s="38">
        <f>SKM!H6/1000</f>
        <v>29728.75</v>
      </c>
      <c r="G5" s="38">
        <f>SUKB!H6/1000</f>
        <v>0</v>
      </c>
      <c r="H5" s="38">
        <f>UCT!H6/1000</f>
        <v>1052.747</v>
      </c>
      <c r="I5" s="38">
        <f>SPSSN!H6/1000</f>
        <v>1163.536</v>
      </c>
      <c r="J5" s="38">
        <f>IBA!H6/1000</f>
        <v>3455.928</v>
      </c>
      <c r="K5" s="38">
        <f>ÚVT!H6/1000</f>
        <v>39768.489</v>
      </c>
      <c r="L5" s="38">
        <f>VMU!H6/1000</f>
        <v>1712.579</v>
      </c>
      <c r="M5" s="38">
        <f>CJV!H6/1000</f>
        <v>15432.53</v>
      </c>
      <c r="N5" s="38">
        <f>CZS!H6/1000</f>
        <v>3812.708</v>
      </c>
      <c r="O5" s="38">
        <f>RMU!H6/1000</f>
        <v>56725.27833</v>
      </c>
      <c r="P5" s="222">
        <f aca="true" t="shared" si="2" ref="P5:P25">SUM(F5:O5)</f>
        <v>152852.54533</v>
      </c>
      <c r="Q5" s="48" t="e">
        <f>#REF!+#REF!+#REF!+#REF!+#REF!+#REF!+#REF!</f>
        <v>#REF!</v>
      </c>
    </row>
    <row r="6" spans="1:17" s="29" customFormat="1" ht="12">
      <c r="A6" s="241"/>
      <c r="B6" s="27"/>
      <c r="C6" s="27"/>
      <c r="D6" s="28" t="s">
        <v>18</v>
      </c>
      <c r="E6" s="246">
        <v>4</v>
      </c>
      <c r="F6" s="38">
        <f>SKM!H7/1000</f>
        <v>485.655</v>
      </c>
      <c r="G6" s="38">
        <f>SUKB!H7/1000</f>
        <v>0</v>
      </c>
      <c r="H6" s="38">
        <f>UCT!H7/1000</f>
        <v>139.912</v>
      </c>
      <c r="I6" s="38">
        <f>SPSSN!H7/1000</f>
        <v>46.67</v>
      </c>
      <c r="J6" s="38">
        <f>IBA!H7/1000</f>
        <v>4125.246</v>
      </c>
      <c r="K6" s="38">
        <f>ÚVT!H7/1000</f>
        <v>1639</v>
      </c>
      <c r="L6" s="38">
        <f>VMU!H7/1000</f>
        <v>100.8</v>
      </c>
      <c r="M6" s="38">
        <f>CJV!H7/1000</f>
        <v>729.9</v>
      </c>
      <c r="N6" s="38">
        <f>CZS!H7/1000</f>
        <v>371.282</v>
      </c>
      <c r="O6" s="38">
        <f>RMU!H7/1000</f>
        <v>2294.996</v>
      </c>
      <c r="P6" s="222">
        <f t="shared" si="2"/>
        <v>9933.461</v>
      </c>
      <c r="Q6" s="48" t="e">
        <f>SKM!#REF!</f>
        <v>#REF!</v>
      </c>
    </row>
    <row r="7" spans="1:17" s="29" customFormat="1" ht="12">
      <c r="A7" s="241"/>
      <c r="B7" s="27"/>
      <c r="C7" s="27"/>
      <c r="D7" s="28" t="s">
        <v>19</v>
      </c>
      <c r="E7" s="246">
        <v>5</v>
      </c>
      <c r="F7" s="38">
        <f>SKM!H8/1000</f>
        <v>10515.164</v>
      </c>
      <c r="G7" s="38">
        <f>SUKB!H8/1000</f>
        <v>0</v>
      </c>
      <c r="H7" s="38">
        <f>UCT!H8/1000</f>
        <v>417.429</v>
      </c>
      <c r="I7" s="38">
        <f>SPSSN!H8/1000</f>
        <v>409.215</v>
      </c>
      <c r="J7" s="38">
        <f>IBA!H8/1000</f>
        <v>1209.934</v>
      </c>
      <c r="K7" s="38">
        <f>ÚVT!H8/1000</f>
        <v>14414.854</v>
      </c>
      <c r="L7" s="38">
        <f>VMU!H8/1000</f>
        <v>634.684</v>
      </c>
      <c r="M7" s="38">
        <f>CJV!H8/1000</f>
        <v>5628.863</v>
      </c>
      <c r="N7" s="38">
        <f>CZS!H8/1000</f>
        <v>1380.052</v>
      </c>
      <c r="O7" s="38">
        <f>RMU!H8/1000</f>
        <v>20787.044670000003</v>
      </c>
      <c r="P7" s="222">
        <f t="shared" si="2"/>
        <v>55397.23967</v>
      </c>
      <c r="Q7" s="48" t="e">
        <f>SKM!#REF!</f>
        <v>#REF!</v>
      </c>
    </row>
    <row r="8" spans="1:17" s="29" customFormat="1" ht="12">
      <c r="A8" s="241"/>
      <c r="B8" s="27"/>
      <c r="C8" s="27"/>
      <c r="D8" s="28" t="s">
        <v>0</v>
      </c>
      <c r="E8" s="246">
        <v>6</v>
      </c>
      <c r="F8" s="38">
        <f>SKM!H9/1000</f>
        <v>28670.05898</v>
      </c>
      <c r="G8" s="38">
        <f>SUKB!H9/1000</f>
        <v>0.45982</v>
      </c>
      <c r="H8" s="38">
        <f>UCT!H9/1000</f>
        <v>971.22834</v>
      </c>
      <c r="I8" s="38">
        <f>SPSSN!H9/1000</f>
        <v>10.6244</v>
      </c>
      <c r="J8" s="38">
        <f>IBA!H9/1000</f>
        <v>32.99543</v>
      </c>
      <c r="K8" s="38">
        <f>ÚVT!H9/1000</f>
        <v>2801.83918</v>
      </c>
      <c r="L8" s="38">
        <f>VMU!H9/1000</f>
        <v>204.40679999999998</v>
      </c>
      <c r="M8" s="38">
        <f>CJV!H9/1000</f>
        <v>25.94948</v>
      </c>
      <c r="N8" s="38">
        <f>CZS!H9/1000</f>
        <v>85.59552000000001</v>
      </c>
      <c r="O8" s="38">
        <f>RMU!H9/1000</f>
        <v>3525.2140099999997</v>
      </c>
      <c r="P8" s="222">
        <f t="shared" si="2"/>
        <v>36328.371960000004</v>
      </c>
      <c r="Q8" s="48" t="e">
        <f>SKM!#REF!</f>
        <v>#REF!</v>
      </c>
    </row>
    <row r="9" spans="1:17" s="29" customFormat="1" ht="12">
      <c r="A9" s="241"/>
      <c r="B9" s="27"/>
      <c r="C9" s="27"/>
      <c r="D9" s="28" t="s">
        <v>1</v>
      </c>
      <c r="E9" s="246">
        <v>7</v>
      </c>
      <c r="F9" s="38">
        <f>SKM!H10/1000</f>
        <v>13074.77273</v>
      </c>
      <c r="G9" s="38">
        <f>SUKB!H10/1000</f>
        <v>37.63</v>
      </c>
      <c r="H9" s="38">
        <f>UCT!H10/1000</f>
        <v>260.3051</v>
      </c>
      <c r="I9" s="38">
        <f>SPSSN!H10/1000</f>
        <v>1.19</v>
      </c>
      <c r="J9" s="38">
        <f>IBA!H10/1000</f>
        <v>0</v>
      </c>
      <c r="K9" s="38">
        <f>ÚVT!H10/1000</f>
        <v>2480.6239</v>
      </c>
      <c r="L9" s="38">
        <f>VMU!H10/1000</f>
        <v>248.5259</v>
      </c>
      <c r="M9" s="38">
        <f>CJV!H10/1000</f>
        <v>42.2455</v>
      </c>
      <c r="N9" s="38">
        <f>CZS!H10/1000</f>
        <v>6.2906</v>
      </c>
      <c r="O9" s="38">
        <f>RMU!H10/1000</f>
        <v>14562.36185</v>
      </c>
      <c r="P9" s="222">
        <f t="shared" si="2"/>
        <v>30713.94558</v>
      </c>
      <c r="Q9" s="48" t="e">
        <f>SKM!#REF!</f>
        <v>#REF!</v>
      </c>
    </row>
    <row r="10" spans="1:17" s="29" customFormat="1" ht="12">
      <c r="A10" s="241"/>
      <c r="B10" s="27"/>
      <c r="C10" s="27"/>
      <c r="D10" s="28" t="s">
        <v>2</v>
      </c>
      <c r="E10" s="246">
        <v>8</v>
      </c>
      <c r="F10" s="38">
        <f>SKM!H11/1000</f>
        <v>22085.35023</v>
      </c>
      <c r="G10" s="38">
        <f>SUKB!H11/1000</f>
        <v>8.2655</v>
      </c>
      <c r="H10" s="38">
        <f>UCT!H11/1000</f>
        <v>1073.25087</v>
      </c>
      <c r="I10" s="38">
        <f>SPSSN!H11/1000</f>
        <v>603.1913900000001</v>
      </c>
      <c r="J10" s="38">
        <f>IBA!H11/1000</f>
        <v>46.489940000000004</v>
      </c>
      <c r="K10" s="38">
        <f>ÚVT!H11/1000</f>
        <v>13110.76408</v>
      </c>
      <c r="L10" s="38">
        <f>VMU!H11/1000</f>
        <v>1078.53826</v>
      </c>
      <c r="M10" s="38">
        <f>CJV!H11/1000</f>
        <v>909.58425</v>
      </c>
      <c r="N10" s="38">
        <f>CZS!H11/1000</f>
        <v>814.99022</v>
      </c>
      <c r="O10" s="38">
        <f>RMU!H11/1000</f>
        <v>10586.59083</v>
      </c>
      <c r="P10" s="222">
        <f t="shared" si="2"/>
        <v>50317.01557</v>
      </c>
      <c r="Q10" s="48" t="e">
        <f>SKM!#REF!</f>
        <v>#REF!</v>
      </c>
    </row>
    <row r="11" spans="1:17" s="29" customFormat="1" ht="12">
      <c r="A11" s="241"/>
      <c r="B11" s="27"/>
      <c r="C11" s="27"/>
      <c r="D11" s="28" t="s">
        <v>3</v>
      </c>
      <c r="E11" s="246">
        <v>9</v>
      </c>
      <c r="F11" s="38">
        <f>SKM!H12/1000</f>
        <v>17429.51592</v>
      </c>
      <c r="G11" s="38">
        <f>SUKB!H12/1000</f>
        <v>0</v>
      </c>
      <c r="H11" s="38">
        <f>UCT!H12/1000</f>
        <v>109.6663</v>
      </c>
      <c r="I11" s="38">
        <f>SPSSN!H12/1000</f>
        <v>177.00773</v>
      </c>
      <c r="J11" s="38">
        <f>IBA!H12/1000</f>
        <v>1015.98765</v>
      </c>
      <c r="K11" s="38">
        <f>ÚVT!H12/1000</f>
        <v>20256.40043</v>
      </c>
      <c r="L11" s="38">
        <f>VMU!H12/1000</f>
        <v>882.97533</v>
      </c>
      <c r="M11" s="38">
        <f>CJV!H12/1000</f>
        <v>90.00557</v>
      </c>
      <c r="N11" s="38">
        <f>CZS!H12/1000</f>
        <v>1369.2303200000001</v>
      </c>
      <c r="O11" s="38">
        <f>RMU!H12/1000</f>
        <v>28402.60905</v>
      </c>
      <c r="P11" s="222">
        <f t="shared" si="2"/>
        <v>69733.3983</v>
      </c>
      <c r="Q11" s="48" t="e">
        <f>SKM!#REF!</f>
        <v>#REF!</v>
      </c>
    </row>
    <row r="12" spans="1:17" s="29" customFormat="1" ht="12">
      <c r="A12" s="241"/>
      <c r="B12" s="27"/>
      <c r="C12" s="27"/>
      <c r="D12" s="28" t="s">
        <v>4</v>
      </c>
      <c r="E12" s="246">
        <v>10</v>
      </c>
      <c r="F12" s="38">
        <f>SKM!H13/1000</f>
        <v>102.64383000000001</v>
      </c>
      <c r="G12" s="38">
        <f>SUKB!H13/1000</f>
        <v>0</v>
      </c>
      <c r="H12" s="38">
        <f>UCT!H13/1000</f>
        <v>17.126900000000003</v>
      </c>
      <c r="I12" s="38">
        <f>SPSSN!H13/1000</f>
        <v>20.727439999999998</v>
      </c>
      <c r="J12" s="38">
        <f>IBA!H13/1000</f>
        <v>397.85254</v>
      </c>
      <c r="K12" s="38">
        <f>ÚVT!H13/1000</f>
        <v>908.15105</v>
      </c>
      <c r="L12" s="38">
        <f>VMU!H13/1000</f>
        <v>0</v>
      </c>
      <c r="M12" s="38">
        <f>CJV!H13/1000</f>
        <v>43.646300000000004</v>
      </c>
      <c r="N12" s="38">
        <f>CZS!H13/1000</f>
        <v>680.04446</v>
      </c>
      <c r="O12" s="38">
        <f>RMU!H13/1000</f>
        <v>1910.48108</v>
      </c>
      <c r="P12" s="222">
        <f t="shared" si="2"/>
        <v>4080.6736</v>
      </c>
      <c r="Q12" s="48" t="e">
        <f>SKM!#REF!</f>
        <v>#REF!</v>
      </c>
    </row>
    <row r="13" spans="1:17" s="29" customFormat="1" ht="13.5">
      <c r="A13" s="241"/>
      <c r="B13" s="27"/>
      <c r="C13" s="27"/>
      <c r="D13" s="28" t="s">
        <v>178</v>
      </c>
      <c r="E13" s="246">
        <v>11</v>
      </c>
      <c r="F13" s="38">
        <f>SKM!H14/1000</f>
        <v>10651.9949</v>
      </c>
      <c r="G13" s="38">
        <f>SUKB!H14/1000</f>
        <v>14554.771</v>
      </c>
      <c r="H13" s="38">
        <f>UCT!H14/1000</f>
        <v>398.676</v>
      </c>
      <c r="I13" s="38">
        <f>SPSSN!H14/1000</f>
        <v>379.074</v>
      </c>
      <c r="J13" s="38">
        <f>IBA!H14/1000</f>
        <v>190.235</v>
      </c>
      <c r="K13" s="38">
        <f>ÚVT!H14/1000</f>
        <v>34514.79865</v>
      </c>
      <c r="L13" s="38">
        <f>VMU!H14/1000</f>
        <v>377.1841</v>
      </c>
      <c r="M13" s="38">
        <f>CJV!H14/1000</f>
        <v>43.422650000000004</v>
      </c>
      <c r="N13" s="38">
        <f>CZS!H14/1000</f>
        <v>80.543</v>
      </c>
      <c r="O13" s="38">
        <f>RMU!H14/1000</f>
        <v>3895.95648</v>
      </c>
      <c r="P13" s="222">
        <f t="shared" si="2"/>
        <v>65086.655779999994</v>
      </c>
      <c r="Q13" s="48" t="e">
        <f>SKM!#REF!</f>
        <v>#REF!</v>
      </c>
    </row>
    <row r="14" spans="1:17" s="29" customFormat="1" ht="12">
      <c r="A14" s="241"/>
      <c r="B14" s="27"/>
      <c r="C14" s="27"/>
      <c r="D14" s="28" t="s">
        <v>6</v>
      </c>
      <c r="E14" s="246">
        <v>12</v>
      </c>
      <c r="F14" s="38">
        <f>SKM!H15/1000</f>
        <v>0</v>
      </c>
      <c r="G14" s="38">
        <f>SUKB!H15/1000</f>
        <v>0</v>
      </c>
      <c r="H14" s="38">
        <f>UCT!H15/1000</f>
        <v>0</v>
      </c>
      <c r="I14" s="38">
        <f>SPSSN!H15/1000</f>
        <v>0</v>
      </c>
      <c r="J14" s="38">
        <f>IBA!H15/1000</f>
        <v>0</v>
      </c>
      <c r="K14" s="38">
        <f>ÚVT!H15/1000</f>
        <v>0</v>
      </c>
      <c r="L14" s="38">
        <f>VMU!H15/1000</f>
        <v>0</v>
      </c>
      <c r="M14" s="38">
        <f>CJV!H15/1000</f>
        <v>0</v>
      </c>
      <c r="N14" s="38">
        <f>CZS!H15/1000</f>
        <v>1165.5105</v>
      </c>
      <c r="O14" s="38">
        <f>RMU!H15/1000</f>
        <v>1214.423</v>
      </c>
      <c r="P14" s="222">
        <f t="shared" si="2"/>
        <v>2379.9335</v>
      </c>
      <c r="Q14" s="48" t="e">
        <f>SKM!#REF!</f>
        <v>#REF!</v>
      </c>
    </row>
    <row r="15" spans="1:17" s="29" customFormat="1" ht="12">
      <c r="A15" s="241"/>
      <c r="B15" s="28"/>
      <c r="C15" s="28"/>
      <c r="D15" s="28" t="s">
        <v>9</v>
      </c>
      <c r="E15" s="246">
        <v>13</v>
      </c>
      <c r="F15" s="38">
        <f>SKM!H16/1000</f>
        <v>-5731.84119</v>
      </c>
      <c r="G15" s="38">
        <f>SUKB!H16/1000</f>
        <v>0.10684</v>
      </c>
      <c r="H15" s="38">
        <f>UCT!H16/1000</f>
        <v>216.03026</v>
      </c>
      <c r="I15" s="38">
        <f>SPSSN!H16/1000</f>
        <v>225.34395999999998</v>
      </c>
      <c r="J15" s="38">
        <f>IBA!H16/1000</f>
        <v>19153.05269</v>
      </c>
      <c r="K15" s="38">
        <f>ÚVT!H16/1000</f>
        <v>4805.12087</v>
      </c>
      <c r="L15" s="38">
        <f>VMU!H16/1000</f>
        <v>-5064.340440000001</v>
      </c>
      <c r="M15" s="38">
        <f>CJV!H16/1000</f>
        <v>133.61910999999998</v>
      </c>
      <c r="N15" s="38">
        <f>CZS!H16/1000</f>
        <v>2025.43763</v>
      </c>
      <c r="O15" s="38">
        <f>RMU!H16/1000</f>
        <v>178648.9659</v>
      </c>
      <c r="P15" s="222">
        <f t="shared" si="2"/>
        <v>194411.49563000002</v>
      </c>
      <c r="Q15" s="48" t="e">
        <f>SKM!#REF!</f>
        <v>#REF!</v>
      </c>
    </row>
    <row r="16" spans="1:17" ht="12">
      <c r="A16" s="240"/>
      <c r="B16" s="4" t="s">
        <v>14</v>
      </c>
      <c r="C16" s="3"/>
      <c r="D16" s="3"/>
      <c r="E16" s="246">
        <v>14</v>
      </c>
      <c r="F16" s="224">
        <f>SKM!H17/1000</f>
        <v>0</v>
      </c>
      <c r="G16" s="224">
        <f>SUKB!H17/1000</f>
        <v>0</v>
      </c>
      <c r="H16" s="224">
        <f>UCT!H17/1000</f>
        <v>0</v>
      </c>
      <c r="I16" s="224">
        <f>SPSSN!H17/1000</f>
        <v>0</v>
      </c>
      <c r="J16" s="224">
        <f>IBA!H17/1000</f>
        <v>0</v>
      </c>
      <c r="K16" s="224">
        <f>ÚVT!H17/1000</f>
        <v>0</v>
      </c>
      <c r="L16" s="224">
        <f>VMU!H17/1000</f>
        <v>0</v>
      </c>
      <c r="M16" s="224">
        <f>CJV!H17/1000</f>
        <v>0</v>
      </c>
      <c r="N16" s="224">
        <f>CZS!H17/1000</f>
        <v>0</v>
      </c>
      <c r="O16" s="224">
        <f>RMU!H17/1000</f>
        <v>0</v>
      </c>
      <c r="P16" s="289">
        <f t="shared" si="2"/>
        <v>0</v>
      </c>
      <c r="Q16" s="49" t="e">
        <f>SKM!#REF!</f>
        <v>#REF!</v>
      </c>
    </row>
    <row r="17" spans="1:17" ht="12">
      <c r="A17" s="240"/>
      <c r="B17" s="4" t="s">
        <v>15</v>
      </c>
      <c r="C17" s="3"/>
      <c r="D17" s="3"/>
      <c r="E17" s="246">
        <v>15</v>
      </c>
      <c r="F17" s="224">
        <f>SKM!H18/1000</f>
        <v>731</v>
      </c>
      <c r="G17" s="224">
        <f>SUKB!H18/1000</f>
        <v>0</v>
      </c>
      <c r="H17" s="224">
        <f>UCT!H18/1000</f>
        <v>0</v>
      </c>
      <c r="I17" s="224">
        <f>SPSSN!H18/1000</f>
        <v>0</v>
      </c>
      <c r="J17" s="224">
        <f>IBA!H18/1000</f>
        <v>0</v>
      </c>
      <c r="K17" s="224">
        <f>ÚVT!H18/1000</f>
        <v>0</v>
      </c>
      <c r="L17" s="224">
        <f>VMU!H18/1000</f>
        <v>0</v>
      </c>
      <c r="M17" s="224">
        <f>CJV!H18/1000</f>
        <v>0</v>
      </c>
      <c r="N17" s="224">
        <f>CZS!H18/1000</f>
        <v>25126.890760000002</v>
      </c>
      <c r="O17" s="224">
        <f>RMU!H18/1000</f>
        <v>0</v>
      </c>
      <c r="P17" s="289">
        <f t="shared" si="2"/>
        <v>25857.890760000002</v>
      </c>
      <c r="Q17" s="49" t="e">
        <f>SKM!#REF!</f>
        <v>#REF!</v>
      </c>
    </row>
    <row r="18" spans="1:17" ht="12">
      <c r="A18" s="240"/>
      <c r="B18" s="4" t="s">
        <v>20</v>
      </c>
      <c r="C18" s="3"/>
      <c r="D18" s="3"/>
      <c r="E18" s="246">
        <v>16</v>
      </c>
      <c r="F18" s="224">
        <f>SKM!H19/1000</f>
        <v>0</v>
      </c>
      <c r="G18" s="224">
        <f>SUKB!H19/1000</f>
        <v>0</v>
      </c>
      <c r="H18" s="224">
        <f>UCT!H19/1000</f>
        <v>0</v>
      </c>
      <c r="I18" s="224">
        <f>SPSSN!H19/1000</f>
        <v>8120</v>
      </c>
      <c r="J18" s="224">
        <f>IBA!H19/1000</f>
        <v>0</v>
      </c>
      <c r="K18" s="224">
        <f>ÚVT!H19/1000</f>
        <v>15907.63974</v>
      </c>
      <c r="L18" s="224">
        <f>VMU!H19/1000</f>
        <v>0</v>
      </c>
      <c r="M18" s="224">
        <f>CJV!H19/1000</f>
        <v>2223.095</v>
      </c>
      <c r="N18" s="224">
        <f>CZS!H19/1000</f>
        <v>4800</v>
      </c>
      <c r="O18" s="224">
        <f>RMU!H19/1000</f>
        <v>10613.46867</v>
      </c>
      <c r="P18" s="289">
        <f t="shared" si="2"/>
        <v>41664.20341</v>
      </c>
      <c r="Q18" s="49" t="e">
        <f>SKM!#REF!</f>
        <v>#REF!</v>
      </c>
    </row>
    <row r="19" spans="1:17" ht="12">
      <c r="A19" s="240"/>
      <c r="B19" s="4" t="s">
        <v>16</v>
      </c>
      <c r="C19" s="3"/>
      <c r="D19" s="3"/>
      <c r="E19" s="246">
        <v>17</v>
      </c>
      <c r="F19" s="224">
        <f>SKM!H20/1000</f>
        <v>0</v>
      </c>
      <c r="G19" s="224">
        <f>SUKB!H20/1000</f>
        <v>0</v>
      </c>
      <c r="H19" s="224">
        <f>UCT!H20/1000</f>
        <v>0</v>
      </c>
      <c r="I19" s="224">
        <f>SPSSN!H20/1000</f>
        <v>0</v>
      </c>
      <c r="J19" s="224">
        <f>IBA!H20/1000</f>
        <v>0</v>
      </c>
      <c r="K19" s="224">
        <f>ÚVT!H20/1000</f>
        <v>0</v>
      </c>
      <c r="L19" s="224">
        <f>VMU!H20/1000</f>
        <v>0</v>
      </c>
      <c r="M19" s="224">
        <f>CJV!H20/1000</f>
        <v>0</v>
      </c>
      <c r="N19" s="224">
        <f>CZS!H20/1000</f>
        <v>0</v>
      </c>
      <c r="O19" s="224">
        <f>RMU!H20/1000</f>
        <v>0</v>
      </c>
      <c r="P19" s="289">
        <f t="shared" si="2"/>
        <v>0</v>
      </c>
      <c r="Q19" s="49" t="e">
        <f>SKM!#REF!</f>
        <v>#REF!</v>
      </c>
    </row>
    <row r="20" spans="1:17" ht="12">
      <c r="A20" s="240"/>
      <c r="B20" s="4" t="s">
        <v>24</v>
      </c>
      <c r="C20" s="4"/>
      <c r="D20" s="4"/>
      <c r="E20" s="246">
        <v>18</v>
      </c>
      <c r="F20" s="224">
        <f>SKM!H21/1000</f>
        <v>0</v>
      </c>
      <c r="G20" s="224">
        <f>SUKB!H21/1000</f>
        <v>0</v>
      </c>
      <c r="H20" s="224">
        <f>UCT!H21/1000</f>
        <v>0</v>
      </c>
      <c r="I20" s="224">
        <f>SPSSN!H21/1000</f>
        <v>0</v>
      </c>
      <c r="J20" s="224">
        <f>IBA!H21/1000</f>
        <v>0</v>
      </c>
      <c r="K20" s="224">
        <f>ÚVT!H21/1000</f>
        <v>0</v>
      </c>
      <c r="L20" s="224">
        <f>VMU!H21/1000</f>
        <v>0</v>
      </c>
      <c r="M20" s="224">
        <f>CJV!H21/1000</f>
        <v>0</v>
      </c>
      <c r="N20" s="224">
        <f>CZS!H21/1000</f>
        <v>0</v>
      </c>
      <c r="O20" s="224">
        <f>RMU!H21/1000</f>
        <v>4523.54876</v>
      </c>
      <c r="P20" s="289">
        <f t="shared" si="2"/>
        <v>4523.54876</v>
      </c>
      <c r="Q20" s="49" t="e">
        <f>SKM!#REF!</f>
        <v>#REF!</v>
      </c>
    </row>
    <row r="21" spans="1:17" ht="12">
      <c r="A21" s="240"/>
      <c r="B21" s="4" t="s">
        <v>31</v>
      </c>
      <c r="C21" s="4"/>
      <c r="D21" s="4"/>
      <c r="E21" s="246">
        <v>19</v>
      </c>
      <c r="F21" s="224">
        <f>SKM!H22/1000</f>
        <v>0</v>
      </c>
      <c r="G21" s="224">
        <f>SUKB!H22/1000</f>
        <v>0</v>
      </c>
      <c r="H21" s="224">
        <f>UCT!H22/1000</f>
        <v>0</v>
      </c>
      <c r="I21" s="224">
        <f>SPSSN!H22/1000</f>
        <v>4452.015530000001</v>
      </c>
      <c r="J21" s="224">
        <f>IBA!H22/1000</f>
        <v>0</v>
      </c>
      <c r="K21" s="224">
        <f>ÚVT!H22/1000</f>
        <v>811.62</v>
      </c>
      <c r="L21" s="224">
        <f>VMU!H22/1000</f>
        <v>0</v>
      </c>
      <c r="M21" s="224">
        <f>CJV!H22/1000</f>
        <v>2545.5381</v>
      </c>
      <c r="N21" s="224">
        <f>CZS!H22/1000</f>
        <v>17315.470739999997</v>
      </c>
      <c r="O21" s="224">
        <f>RMU!H22/1000</f>
        <v>3297.25386</v>
      </c>
      <c r="P21" s="289">
        <f t="shared" si="2"/>
        <v>28421.89823</v>
      </c>
      <c r="Q21" s="49" t="e">
        <f>SKM!#REF!</f>
        <v>#REF!</v>
      </c>
    </row>
    <row r="22" spans="1:17" ht="12">
      <c r="A22" s="240"/>
      <c r="B22" s="4" t="s">
        <v>25</v>
      </c>
      <c r="C22" s="4"/>
      <c r="D22" s="4"/>
      <c r="E22" s="246">
        <v>20</v>
      </c>
      <c r="F22" s="224">
        <f>SKM!H23/1000</f>
        <v>0</v>
      </c>
      <c r="G22" s="224">
        <f>SUKB!H23/1000</f>
        <v>0</v>
      </c>
      <c r="H22" s="224">
        <f>UCT!H23/1000</f>
        <v>0</v>
      </c>
      <c r="I22" s="224">
        <f>SPSSN!H23/1000</f>
        <v>0</v>
      </c>
      <c r="J22" s="224">
        <f>IBA!H23/1000</f>
        <v>0</v>
      </c>
      <c r="K22" s="224">
        <f>ÚVT!H23/1000</f>
        <v>1111.13661</v>
      </c>
      <c r="L22" s="224">
        <f>VMU!H23/1000</f>
        <v>0</v>
      </c>
      <c r="M22" s="224">
        <f>CJV!H23/1000</f>
        <v>0</v>
      </c>
      <c r="N22" s="224">
        <f>CZS!H23/1000</f>
        <v>0</v>
      </c>
      <c r="O22" s="224">
        <f>RMU!H23/1000</f>
        <v>0</v>
      </c>
      <c r="P22" s="289">
        <f t="shared" si="2"/>
        <v>1111.13661</v>
      </c>
      <c r="Q22" s="49" t="e">
        <f>SKM!#REF!</f>
        <v>#REF!</v>
      </c>
    </row>
    <row r="23" spans="1:17" ht="12">
      <c r="A23" s="240"/>
      <c r="B23" s="4" t="s">
        <v>26</v>
      </c>
      <c r="C23" s="4"/>
      <c r="D23" s="4"/>
      <c r="E23" s="246">
        <v>21</v>
      </c>
      <c r="F23" s="224">
        <f>SKM!H24/1000</f>
        <v>0</v>
      </c>
      <c r="G23" s="224">
        <f>SUKB!H24/1000</f>
        <v>0</v>
      </c>
      <c r="H23" s="224">
        <f>UCT!H24/1000</f>
        <v>0</v>
      </c>
      <c r="I23" s="224">
        <f>SPSSN!H24/1000</f>
        <v>0</v>
      </c>
      <c r="J23" s="224">
        <f>IBA!H24/1000</f>
        <v>0</v>
      </c>
      <c r="K23" s="224">
        <f>ÚVT!H24/1000</f>
        <v>12068</v>
      </c>
      <c r="L23" s="224">
        <f>VMU!H24/1000</f>
        <v>0</v>
      </c>
      <c r="M23" s="224">
        <f>CJV!H24/1000</f>
        <v>10.087</v>
      </c>
      <c r="N23" s="224">
        <f>CZS!H24/1000</f>
        <v>0</v>
      </c>
      <c r="O23" s="224">
        <f>RMU!H24/1000</f>
        <v>100</v>
      </c>
      <c r="P23" s="289">
        <f t="shared" si="2"/>
        <v>12178.087</v>
      </c>
      <c r="Q23" s="49" t="e">
        <f>SKM!#REF!</f>
        <v>#REF!</v>
      </c>
    </row>
    <row r="24" spans="1:17" ht="12">
      <c r="A24" s="240"/>
      <c r="B24" s="4" t="s">
        <v>27</v>
      </c>
      <c r="C24" s="4"/>
      <c r="D24" s="4"/>
      <c r="E24" s="246">
        <v>22</v>
      </c>
      <c r="F24" s="224">
        <f>SKM!H25/1000</f>
        <v>0</v>
      </c>
      <c r="G24" s="224">
        <f>SUKB!H25/1000</f>
        <v>0</v>
      </c>
      <c r="H24" s="224">
        <f>UCT!H25/1000</f>
        <v>0</v>
      </c>
      <c r="I24" s="224">
        <f>SPSSN!H25/1000</f>
        <v>0</v>
      </c>
      <c r="J24" s="224">
        <f>IBA!H25/1000</f>
        <v>0</v>
      </c>
      <c r="K24" s="224">
        <f>ÚVT!H25/1000</f>
        <v>4094.96083</v>
      </c>
      <c r="L24" s="224">
        <f>VMU!H25/1000</f>
        <v>0</v>
      </c>
      <c r="M24" s="224">
        <f>CJV!H25/1000</f>
        <v>0</v>
      </c>
      <c r="N24" s="224">
        <f>CZS!H25/1000</f>
        <v>0</v>
      </c>
      <c r="O24" s="224">
        <f>RMU!H25/1000</f>
        <v>0</v>
      </c>
      <c r="P24" s="289">
        <f t="shared" si="2"/>
        <v>4094.96083</v>
      </c>
      <c r="Q24" s="49" t="e">
        <f>SKM!#REF!</f>
        <v>#REF!</v>
      </c>
    </row>
    <row r="25" spans="1:17" ht="12.75" thickBot="1">
      <c r="A25" s="240"/>
      <c r="B25" s="95" t="s">
        <v>30</v>
      </c>
      <c r="C25" s="95"/>
      <c r="D25" s="95"/>
      <c r="E25" s="247">
        <v>23</v>
      </c>
      <c r="F25" s="280">
        <f>SKM!H26/1000</f>
        <v>24657.553780000002</v>
      </c>
      <c r="G25" s="280">
        <f>SUKB!H26/1000</f>
        <v>0</v>
      </c>
      <c r="H25" s="280">
        <f>UCT!H26/1000</f>
        <v>0</v>
      </c>
      <c r="I25" s="280">
        <f>SPSSN!H26/1000</f>
        <v>0</v>
      </c>
      <c r="J25" s="280">
        <f>IBA!H26/1000</f>
        <v>5369.853190000001</v>
      </c>
      <c r="K25" s="280">
        <f>ÚVT!H26/1000</f>
        <v>18740.373620000002</v>
      </c>
      <c r="L25" s="280">
        <f>VMU!H26/1000</f>
        <v>841.36635</v>
      </c>
      <c r="M25" s="280">
        <f>CJV!H26/1000</f>
        <v>0</v>
      </c>
      <c r="N25" s="280">
        <f>CZS!H26/1000</f>
        <v>0</v>
      </c>
      <c r="O25" s="280">
        <f>RMU!H26/1000</f>
        <v>1518.07478</v>
      </c>
      <c r="P25" s="291">
        <f t="shared" si="2"/>
        <v>51127.22172000001</v>
      </c>
      <c r="Q25" s="49" t="e">
        <f>SKM!#REF!</f>
        <v>#REF!</v>
      </c>
    </row>
    <row r="26" spans="1:17" ht="13.5" thickBot="1">
      <c r="A26" s="239" t="s">
        <v>158</v>
      </c>
      <c r="B26" s="171"/>
      <c r="C26" s="171"/>
      <c r="D26" s="171"/>
      <c r="E26" s="245">
        <v>24</v>
      </c>
      <c r="F26" s="262">
        <f>SUM(F27:F41)</f>
        <v>155220.33462</v>
      </c>
      <c r="G26" s="262">
        <f>SUM(G27:G41)</f>
        <v>14605.4555</v>
      </c>
      <c r="H26" s="262">
        <f aca="true" t="shared" si="3" ref="H26:O26">SUM(H27:H41)</f>
        <v>4959.56799</v>
      </c>
      <c r="I26" s="262">
        <f t="shared" si="3"/>
        <v>15715.75473</v>
      </c>
      <c r="J26" s="262">
        <f t="shared" si="3"/>
        <v>35148.964349999995</v>
      </c>
      <c r="K26" s="262">
        <f t="shared" si="3"/>
        <v>190570.43438</v>
      </c>
      <c r="L26" s="262">
        <f t="shared" si="3"/>
        <v>1041.9121300000002</v>
      </c>
      <c r="M26" s="262">
        <f t="shared" si="3"/>
        <v>27943.90103</v>
      </c>
      <c r="N26" s="262">
        <f t="shared" si="3"/>
        <v>59525.2272</v>
      </c>
      <c r="O26" s="262">
        <f t="shared" si="3"/>
        <v>360836.69675999996</v>
      </c>
      <c r="P26" s="255">
        <f>SUM(P27:P41)</f>
        <v>865568.2486900003</v>
      </c>
      <c r="Q26" s="50" t="e">
        <f>SUM(Q27:Q41)</f>
        <v>#REF!</v>
      </c>
    </row>
    <row r="27" spans="1:18" ht="13.5">
      <c r="A27" s="240" t="s">
        <v>10</v>
      </c>
      <c r="B27" s="3" t="s">
        <v>179</v>
      </c>
      <c r="C27" s="3"/>
      <c r="D27" s="3"/>
      <c r="E27" s="246">
        <v>25</v>
      </c>
      <c r="F27" s="224">
        <f>SKM!H28/1000</f>
        <v>0</v>
      </c>
      <c r="G27" s="224">
        <f>SUKB!H28/1000</f>
        <v>0</v>
      </c>
      <c r="H27" s="224">
        <f>UCT!H28/1000</f>
        <v>3895</v>
      </c>
      <c r="I27" s="224">
        <f>SPSSN!H28/1000</f>
        <v>2040</v>
      </c>
      <c r="J27" s="224">
        <f>IBA!H28/1000</f>
        <v>0</v>
      </c>
      <c r="K27" s="224">
        <f>ÚVT!H28/1000</f>
        <v>116968</v>
      </c>
      <c r="L27" s="224">
        <f>VMU!H28/1000</f>
        <v>0</v>
      </c>
      <c r="M27" s="224">
        <f>CJV!H28/1000</f>
        <v>22810</v>
      </c>
      <c r="N27" s="224">
        <f>CZS!H28/1000</f>
        <v>7524</v>
      </c>
      <c r="O27" s="224">
        <f>RMU!H28/1000</f>
        <v>196978.6645</v>
      </c>
      <c r="P27" s="289">
        <f aca="true" t="shared" si="4" ref="P27:P41">SUM(F27:O27)</f>
        <v>350215.6645</v>
      </c>
      <c r="Q27" s="49" t="e">
        <f>SKM!#REF!</f>
        <v>#REF!</v>
      </c>
      <c r="R27" s="10"/>
    </row>
    <row r="28" spans="1:18" ht="12">
      <c r="A28" s="240"/>
      <c r="B28" s="4" t="s">
        <v>14</v>
      </c>
      <c r="C28" s="4"/>
      <c r="D28" s="4"/>
      <c r="E28" s="246">
        <v>26</v>
      </c>
      <c r="F28" s="224">
        <f>SKM!H29/1000</f>
        <v>0</v>
      </c>
      <c r="G28" s="224">
        <f>SUKB!H29/1000</f>
        <v>0</v>
      </c>
      <c r="H28" s="224">
        <f>UCT!H29/1000</f>
        <v>0</v>
      </c>
      <c r="I28" s="224">
        <f>SPSSN!H29/1000</f>
        <v>0</v>
      </c>
      <c r="J28" s="224">
        <f>IBA!H29/1000</f>
        <v>0</v>
      </c>
      <c r="K28" s="224">
        <f>ÚVT!H29/1000</f>
        <v>0</v>
      </c>
      <c r="L28" s="224">
        <f>VMU!H29/1000</f>
        <v>0</v>
      </c>
      <c r="M28" s="224">
        <f>CJV!H29/1000</f>
        <v>0</v>
      </c>
      <c r="N28" s="224">
        <f>CZS!H29/1000</f>
        <v>0</v>
      </c>
      <c r="O28" s="224">
        <f>RMU!H29/1000</f>
        <v>0</v>
      </c>
      <c r="P28" s="289">
        <f t="shared" si="4"/>
        <v>0</v>
      </c>
      <c r="Q28" s="49" t="e">
        <f>SKM!#REF!</f>
        <v>#REF!</v>
      </c>
      <c r="R28" s="10"/>
    </row>
    <row r="29" spans="1:18" ht="12">
      <c r="A29" s="240"/>
      <c r="B29" s="4" t="s">
        <v>15</v>
      </c>
      <c r="C29" s="4"/>
      <c r="D29" s="4"/>
      <c r="E29" s="246">
        <v>27</v>
      </c>
      <c r="F29" s="224">
        <f>SKM!H30/1000</f>
        <v>731</v>
      </c>
      <c r="G29" s="224">
        <f>SUKB!H30/1000</f>
        <v>0</v>
      </c>
      <c r="H29" s="224">
        <f>UCT!H30/1000</f>
        <v>0</v>
      </c>
      <c r="I29" s="224">
        <f>SPSSN!H30/1000</f>
        <v>0</v>
      </c>
      <c r="J29" s="224">
        <f>IBA!H30/1000</f>
        <v>0</v>
      </c>
      <c r="K29" s="224">
        <f>ÚVT!H30/1000</f>
        <v>0</v>
      </c>
      <c r="L29" s="224">
        <f>VMU!H30/1000</f>
        <v>0</v>
      </c>
      <c r="M29" s="224">
        <f>CJV!H30/1000</f>
        <v>0</v>
      </c>
      <c r="N29" s="224">
        <f>CZS!H30/1000</f>
        <v>25126.890760000002</v>
      </c>
      <c r="O29" s="224">
        <f>RMU!H30/1000</f>
        <v>0</v>
      </c>
      <c r="P29" s="289">
        <f t="shared" si="4"/>
        <v>25857.890760000002</v>
      </c>
      <c r="Q29" s="49" t="e">
        <f>SKM!#REF!</f>
        <v>#REF!</v>
      </c>
      <c r="R29" s="10"/>
    </row>
    <row r="30" spans="1:18" ht="12">
      <c r="A30" s="240"/>
      <c r="B30" s="4" t="s">
        <v>20</v>
      </c>
      <c r="C30" s="3"/>
      <c r="D30" s="3"/>
      <c r="E30" s="246">
        <v>28</v>
      </c>
      <c r="F30" s="224">
        <f>SKM!H31/1000</f>
        <v>0</v>
      </c>
      <c r="G30" s="224">
        <f>SUKB!H31/1000</f>
        <v>0</v>
      </c>
      <c r="H30" s="224">
        <f>UCT!H31/1000</f>
        <v>0</v>
      </c>
      <c r="I30" s="224">
        <f>SPSSN!H31/1000</f>
        <v>8120</v>
      </c>
      <c r="J30" s="224">
        <f>IBA!H31/1000</f>
        <v>0</v>
      </c>
      <c r="K30" s="224">
        <f>ÚVT!H31/1000</f>
        <v>15907.63974</v>
      </c>
      <c r="L30" s="224">
        <f>VMU!H31/1000</f>
        <v>0</v>
      </c>
      <c r="M30" s="224">
        <f>CJV!H31/1000</f>
        <v>2223.095</v>
      </c>
      <c r="N30" s="224">
        <f>CZS!H31/1000</f>
        <v>4800</v>
      </c>
      <c r="O30" s="224">
        <f>RMU!H31/1000</f>
        <v>10613.46867</v>
      </c>
      <c r="P30" s="289">
        <f t="shared" si="4"/>
        <v>41664.20341</v>
      </c>
      <c r="Q30" s="49" t="e">
        <f>SKM!#REF!</f>
        <v>#REF!</v>
      </c>
      <c r="R30" s="10"/>
    </row>
    <row r="31" spans="1:18" ht="12">
      <c r="A31" s="240"/>
      <c r="B31" s="4" t="s">
        <v>16</v>
      </c>
      <c r="C31" s="4"/>
      <c r="D31" s="4"/>
      <c r="E31" s="246">
        <v>29</v>
      </c>
      <c r="F31" s="224">
        <f>SKM!H32/1000</f>
        <v>0</v>
      </c>
      <c r="G31" s="224">
        <f>SUKB!H32/1000</f>
        <v>0</v>
      </c>
      <c r="H31" s="224">
        <f>UCT!H32/1000</f>
        <v>0</v>
      </c>
      <c r="I31" s="224">
        <f>SPSSN!H32/1000</f>
        <v>0</v>
      </c>
      <c r="J31" s="224">
        <f>IBA!H32/1000</f>
        <v>0</v>
      </c>
      <c r="K31" s="224">
        <f>ÚVT!H32/1000</f>
        <v>0</v>
      </c>
      <c r="L31" s="224">
        <f>VMU!H32/1000</f>
        <v>0</v>
      </c>
      <c r="M31" s="224">
        <f>CJV!H32/1000</f>
        <v>0</v>
      </c>
      <c r="N31" s="224">
        <f>CZS!H32/1000</f>
        <v>0</v>
      </c>
      <c r="O31" s="224">
        <f>RMU!H32/1000</f>
        <v>0</v>
      </c>
      <c r="P31" s="289">
        <f t="shared" si="4"/>
        <v>0</v>
      </c>
      <c r="Q31" s="49" t="e">
        <f>SKM!#REF!</f>
        <v>#REF!</v>
      </c>
      <c r="R31" s="10"/>
    </row>
    <row r="32" spans="1:18" ht="12">
      <c r="A32" s="240"/>
      <c r="B32" s="4" t="s">
        <v>173</v>
      </c>
      <c r="C32" s="4"/>
      <c r="D32" s="4"/>
      <c r="E32" s="246">
        <v>30</v>
      </c>
      <c r="F32" s="224">
        <f>SKM!H33/1000</f>
        <v>16674</v>
      </c>
      <c r="G32" s="224">
        <f>SUKB!H33/1000</f>
        <v>0</v>
      </c>
      <c r="H32" s="224">
        <f>UCT!H33/1000</f>
        <v>0</v>
      </c>
      <c r="I32" s="224">
        <f>SPSSN!H33/1000</f>
        <v>0</v>
      </c>
      <c r="J32" s="224">
        <f>IBA!H33/1000</f>
        <v>0</v>
      </c>
      <c r="K32" s="224">
        <f>ÚVT!H33/1000</f>
        <v>0</v>
      </c>
      <c r="L32" s="224">
        <f>VMU!H33/1000</f>
        <v>0</v>
      </c>
      <c r="M32" s="224">
        <f>CJV!H33/1000</f>
        <v>0</v>
      </c>
      <c r="N32" s="224">
        <f>CZS!H33/1000</f>
        <v>0</v>
      </c>
      <c r="O32" s="224">
        <f>RMU!H33/1000</f>
        <v>86533.037</v>
      </c>
      <c r="P32" s="289">
        <f t="shared" si="4"/>
        <v>103207.037</v>
      </c>
      <c r="Q32" s="49" t="e">
        <f>SKM!#REF!</f>
        <v>#REF!</v>
      </c>
      <c r="R32" s="10"/>
    </row>
    <row r="33" spans="1:18" ht="12">
      <c r="A33" s="240"/>
      <c r="B33" s="4" t="s">
        <v>24</v>
      </c>
      <c r="C33" s="4"/>
      <c r="D33" s="4"/>
      <c r="E33" s="246">
        <v>31</v>
      </c>
      <c r="F33" s="224">
        <f>SKM!H34/1000</f>
        <v>0</v>
      </c>
      <c r="G33" s="224">
        <f>SUKB!H34/1000</f>
        <v>0</v>
      </c>
      <c r="H33" s="224">
        <f>UCT!H34/1000</f>
        <v>0</v>
      </c>
      <c r="I33" s="224">
        <f>SPSSN!H34/1000</f>
        <v>0</v>
      </c>
      <c r="J33" s="224">
        <f>IBA!H34/1000</f>
        <v>0</v>
      </c>
      <c r="K33" s="224">
        <f>ÚVT!H34/1000</f>
        <v>0</v>
      </c>
      <c r="L33" s="224">
        <f>VMU!H34/1000</f>
        <v>0</v>
      </c>
      <c r="M33" s="224">
        <f>CJV!H34/1000</f>
        <v>0</v>
      </c>
      <c r="N33" s="224">
        <f>CZS!H34/1000</f>
        <v>0</v>
      </c>
      <c r="O33" s="224">
        <f>RMU!H34/1000</f>
        <v>4523.54876</v>
      </c>
      <c r="P33" s="289">
        <f t="shared" si="4"/>
        <v>4523.54876</v>
      </c>
      <c r="Q33" s="49" t="e">
        <f>SKM!#REF!</f>
        <v>#REF!</v>
      </c>
      <c r="R33" s="10"/>
    </row>
    <row r="34" spans="1:18" ht="12">
      <c r="A34" s="240"/>
      <c r="B34" s="4" t="s">
        <v>31</v>
      </c>
      <c r="C34" s="4"/>
      <c r="D34" s="4"/>
      <c r="E34" s="246">
        <v>32</v>
      </c>
      <c r="F34" s="224">
        <f>SKM!H35/1000</f>
        <v>0</v>
      </c>
      <c r="G34" s="224">
        <f>SUKB!H35/1000</f>
        <v>0</v>
      </c>
      <c r="H34" s="224">
        <f>UCT!H35/1000</f>
        <v>0</v>
      </c>
      <c r="I34" s="224">
        <f>SPSSN!H35/1000</f>
        <v>4452.015530000001</v>
      </c>
      <c r="J34" s="224">
        <f>IBA!H35/1000</f>
        <v>0</v>
      </c>
      <c r="K34" s="224">
        <f>ÚVT!H35/1000</f>
        <v>811.62</v>
      </c>
      <c r="L34" s="224">
        <f>VMU!H35/1000</f>
        <v>0</v>
      </c>
      <c r="M34" s="224">
        <f>CJV!H35/1000</f>
        <v>2545.5381</v>
      </c>
      <c r="N34" s="224">
        <f>CZS!H35/1000</f>
        <v>17315.470739999997</v>
      </c>
      <c r="O34" s="224">
        <f>RMU!H35/1000</f>
        <v>3297.25386</v>
      </c>
      <c r="P34" s="289">
        <f t="shared" si="4"/>
        <v>28421.89823</v>
      </c>
      <c r="Q34" s="49" t="e">
        <f>SKM!#REF!</f>
        <v>#REF!</v>
      </c>
      <c r="R34" s="10"/>
    </row>
    <row r="35" spans="1:18" ht="12">
      <c r="A35" s="240"/>
      <c r="B35" s="4" t="s">
        <v>85</v>
      </c>
      <c r="C35" s="4"/>
      <c r="D35" s="4"/>
      <c r="E35" s="246">
        <v>33</v>
      </c>
      <c r="F35" s="224">
        <f>SKM!H36/1000</f>
        <v>0</v>
      </c>
      <c r="G35" s="224">
        <f>SUKB!H36/1000</f>
        <v>0</v>
      </c>
      <c r="H35" s="224">
        <f>UCT!H36/1000</f>
        <v>0</v>
      </c>
      <c r="I35" s="224">
        <f>SPSSN!H36/1000</f>
        <v>0</v>
      </c>
      <c r="J35" s="224">
        <f>IBA!H36/1000</f>
        <v>0</v>
      </c>
      <c r="K35" s="224">
        <f>ÚVT!H36/1000</f>
        <v>0</v>
      </c>
      <c r="L35" s="224">
        <f>VMU!H36/1000</f>
        <v>0</v>
      </c>
      <c r="M35" s="224">
        <f>CJV!H36/1000</f>
        <v>0</v>
      </c>
      <c r="N35" s="224">
        <f>CZS!H36/1000</f>
        <v>0</v>
      </c>
      <c r="O35" s="224">
        <f>RMU!H36/1000</f>
        <v>0</v>
      </c>
      <c r="P35" s="289">
        <f t="shared" si="4"/>
        <v>0</v>
      </c>
      <c r="Q35" s="49" t="e">
        <f>SKM!#REF!</f>
        <v>#REF!</v>
      </c>
      <c r="R35" s="10"/>
    </row>
    <row r="36" spans="1:18" ht="12">
      <c r="A36" s="240"/>
      <c r="B36" s="4" t="s">
        <v>25</v>
      </c>
      <c r="C36" s="4"/>
      <c r="D36" s="4"/>
      <c r="E36" s="246">
        <v>34</v>
      </c>
      <c r="F36" s="224">
        <f>SKM!H37/1000</f>
        <v>0</v>
      </c>
      <c r="G36" s="224">
        <f>SUKB!H37/1000</f>
        <v>0</v>
      </c>
      <c r="H36" s="224">
        <f>UCT!H37/1000</f>
        <v>0</v>
      </c>
      <c r="I36" s="224">
        <f>SPSSN!H37/1000</f>
        <v>0</v>
      </c>
      <c r="J36" s="224">
        <f>IBA!H37/1000</f>
        <v>0</v>
      </c>
      <c r="K36" s="224">
        <f>ÚVT!H37/1000</f>
        <v>1111.13661</v>
      </c>
      <c r="L36" s="224">
        <f>VMU!H37/1000</f>
        <v>0</v>
      </c>
      <c r="M36" s="224">
        <f>CJV!H37/1000</f>
        <v>0</v>
      </c>
      <c r="N36" s="224">
        <f>CZS!H37/1000</f>
        <v>0</v>
      </c>
      <c r="O36" s="224">
        <f>RMU!H37/1000</f>
        <v>0</v>
      </c>
      <c r="P36" s="289">
        <f t="shared" si="4"/>
        <v>1111.13661</v>
      </c>
      <c r="Q36" s="49" t="e">
        <f>SKM!#REF!</f>
        <v>#REF!</v>
      </c>
      <c r="R36" s="10"/>
    </row>
    <row r="37" spans="1:18" ht="12">
      <c r="A37" s="240"/>
      <c r="B37" s="4" t="s">
        <v>26</v>
      </c>
      <c r="C37" s="4"/>
      <c r="D37" s="4"/>
      <c r="E37" s="246">
        <v>35</v>
      </c>
      <c r="F37" s="224">
        <f>SKM!H38/1000</f>
        <v>0</v>
      </c>
      <c r="G37" s="224">
        <f>SUKB!H38/1000</f>
        <v>0</v>
      </c>
      <c r="H37" s="224">
        <f>UCT!H38/1000</f>
        <v>0</v>
      </c>
      <c r="I37" s="224">
        <f>SPSSN!H38/1000</f>
        <v>0</v>
      </c>
      <c r="J37" s="224">
        <f>IBA!H38/1000</f>
        <v>0</v>
      </c>
      <c r="K37" s="224">
        <f>ÚVT!H38/1000</f>
        <v>12068</v>
      </c>
      <c r="L37" s="224">
        <f>VMU!H38/1000</f>
        <v>0</v>
      </c>
      <c r="M37" s="224">
        <f>CJV!H38/1000</f>
        <v>10.087</v>
      </c>
      <c r="N37" s="224">
        <f>CZS!H38/1000</f>
        <v>0</v>
      </c>
      <c r="O37" s="224">
        <f>RMU!H38/1000</f>
        <v>100</v>
      </c>
      <c r="P37" s="289">
        <f t="shared" si="4"/>
        <v>12178.087</v>
      </c>
      <c r="Q37" s="49" t="e">
        <f>SKM!#REF!</f>
        <v>#REF!</v>
      </c>
      <c r="R37" s="10"/>
    </row>
    <row r="38" spans="1:18" ht="12">
      <c r="A38" s="240"/>
      <c r="B38" s="4" t="s">
        <v>27</v>
      </c>
      <c r="C38" s="4"/>
      <c r="D38" s="4"/>
      <c r="E38" s="246">
        <v>36</v>
      </c>
      <c r="F38" s="224">
        <f>SKM!H39/1000</f>
        <v>0</v>
      </c>
      <c r="G38" s="224">
        <f>SUKB!H39/1000</f>
        <v>0</v>
      </c>
      <c r="H38" s="224">
        <f>UCT!H39/1000</f>
        <v>0</v>
      </c>
      <c r="I38" s="224">
        <f>SPSSN!H39/1000</f>
        <v>0</v>
      </c>
      <c r="J38" s="224">
        <f>IBA!H39/1000</f>
        <v>0</v>
      </c>
      <c r="K38" s="224">
        <f>ÚVT!H39/1000</f>
        <v>4094.96083</v>
      </c>
      <c r="L38" s="224">
        <f>VMU!H39/1000</f>
        <v>0</v>
      </c>
      <c r="M38" s="224">
        <f>CJV!H39/1000</f>
        <v>0</v>
      </c>
      <c r="N38" s="224">
        <f>CZS!H39/1000</f>
        <v>0</v>
      </c>
      <c r="O38" s="224">
        <f>RMU!H39/1000</f>
        <v>0</v>
      </c>
      <c r="P38" s="289">
        <f t="shared" si="4"/>
        <v>4094.96083</v>
      </c>
      <c r="Q38" s="49" t="e">
        <f>SKM!#REF!</f>
        <v>#REF!</v>
      </c>
      <c r="R38" s="10"/>
    </row>
    <row r="39" spans="1:18" ht="13.5">
      <c r="A39" s="240"/>
      <c r="B39" s="4" t="s">
        <v>180</v>
      </c>
      <c r="C39" s="4"/>
      <c r="D39" s="4"/>
      <c r="E39" s="246">
        <v>37</v>
      </c>
      <c r="F39" s="224">
        <f>SKM!H40/1000</f>
        <v>103647.8647</v>
      </c>
      <c r="G39" s="224">
        <f>SUKB!H40/1000</f>
        <v>14605.4555</v>
      </c>
      <c r="H39" s="224">
        <f>UCT!H40/1000</f>
        <v>1064.56799</v>
      </c>
      <c r="I39" s="224">
        <f>SPSSN!H40/1000</f>
        <v>1103.7392</v>
      </c>
      <c r="J39" s="224">
        <f>IBA!H40/1000</f>
        <v>29627.72125</v>
      </c>
      <c r="K39" s="224">
        <f>ÚVT!H40/1000</f>
        <v>17492.5086</v>
      </c>
      <c r="L39" s="224">
        <f>VMU!H40/1000</f>
        <v>61.670199999999994</v>
      </c>
      <c r="M39" s="224">
        <f>CJV!H40/1000</f>
        <v>355.18093</v>
      </c>
      <c r="N39" s="224">
        <f>CZS!H40/1000</f>
        <v>4758.8657</v>
      </c>
      <c r="O39" s="224">
        <f>RMU!H40/1000</f>
        <v>39314.629740000004</v>
      </c>
      <c r="P39" s="289">
        <f t="shared" si="4"/>
        <v>212032.20380999998</v>
      </c>
      <c r="Q39" s="49" t="e">
        <f>SKM!#REF!</f>
        <v>#REF!</v>
      </c>
      <c r="R39" s="10"/>
    </row>
    <row r="40" spans="1:18" ht="12">
      <c r="A40" s="240"/>
      <c r="B40" s="4" t="s">
        <v>29</v>
      </c>
      <c r="C40" s="4"/>
      <c r="D40" s="4"/>
      <c r="E40" s="246">
        <v>38</v>
      </c>
      <c r="F40" s="224">
        <f>SKM!H41/1000</f>
        <v>0</v>
      </c>
      <c r="G40" s="224">
        <f>SUKB!H41/1000</f>
        <v>0</v>
      </c>
      <c r="H40" s="224">
        <f>UCT!H41/1000</f>
        <v>0</v>
      </c>
      <c r="I40" s="224">
        <f>SPSSN!H41/1000</f>
        <v>0</v>
      </c>
      <c r="J40" s="224">
        <f>IBA!H41/1000</f>
        <v>0</v>
      </c>
      <c r="K40" s="224">
        <f>ÚVT!H41/1000</f>
        <v>0</v>
      </c>
      <c r="L40" s="224">
        <f>VMU!H41/1000</f>
        <v>103.95</v>
      </c>
      <c r="M40" s="224">
        <f>CJV!H41/1000</f>
        <v>0</v>
      </c>
      <c r="N40" s="224">
        <f>CZS!H41/1000</f>
        <v>0</v>
      </c>
      <c r="O40" s="224">
        <f>RMU!H41/1000</f>
        <v>17682.936</v>
      </c>
      <c r="P40" s="289">
        <f t="shared" si="4"/>
        <v>17786.886000000002</v>
      </c>
      <c r="Q40" s="49" t="e">
        <f>SKM!#REF!</f>
        <v>#REF!</v>
      </c>
      <c r="R40" s="10"/>
    </row>
    <row r="41" spans="1:18" ht="12.75" thickBot="1">
      <c r="A41" s="240"/>
      <c r="B41" s="4" t="s">
        <v>30</v>
      </c>
      <c r="C41" s="4"/>
      <c r="D41" s="4"/>
      <c r="E41" s="246">
        <v>39</v>
      </c>
      <c r="F41" s="224">
        <f>SKM!H42/1000</f>
        <v>34167.46992</v>
      </c>
      <c r="G41" s="224">
        <f>SUKB!H42/1000</f>
        <v>0</v>
      </c>
      <c r="H41" s="224">
        <f>UCT!H42/1000</f>
        <v>0</v>
      </c>
      <c r="I41" s="224">
        <f>SPSSN!H42/1000</f>
        <v>0</v>
      </c>
      <c r="J41" s="224">
        <f>IBA!H42/1000</f>
        <v>5521.2431</v>
      </c>
      <c r="K41" s="224">
        <f>ÚVT!H42/1000</f>
        <v>22116.568600000002</v>
      </c>
      <c r="L41" s="224">
        <f>VMU!H42/1000</f>
        <v>876.2919300000001</v>
      </c>
      <c r="M41" s="224">
        <f>CJV!H42/1000</f>
        <v>0</v>
      </c>
      <c r="N41" s="224">
        <f>CZS!H42/1000</f>
        <v>0</v>
      </c>
      <c r="O41" s="224">
        <f>RMU!H42/1000</f>
        <v>1793.15823</v>
      </c>
      <c r="P41" s="292">
        <f t="shared" si="4"/>
        <v>64474.73178000001</v>
      </c>
      <c r="Q41" s="49" t="e">
        <f>SKM!#REF!</f>
        <v>#REF!</v>
      </c>
      <c r="R41" s="10"/>
    </row>
    <row r="42" spans="1:17" s="29" customFormat="1" ht="12.75" hidden="1" thickBot="1">
      <c r="A42" s="241" t="s">
        <v>32</v>
      </c>
      <c r="B42" s="27"/>
      <c r="C42" s="27"/>
      <c r="D42" s="27"/>
      <c r="E42" s="247">
        <v>42</v>
      </c>
      <c r="F42" s="181">
        <f>SKM!F43/1000</f>
        <v>0</v>
      </c>
      <c r="G42" s="181">
        <f>SUKB!F43</f>
        <v>0</v>
      </c>
      <c r="H42" s="181"/>
      <c r="I42" s="181"/>
      <c r="J42" s="181"/>
      <c r="K42" s="181">
        <f>ÚVT!F43/1000</f>
        <v>2100</v>
      </c>
      <c r="L42" s="181">
        <f>VMU!F43/1000</f>
        <v>46</v>
      </c>
      <c r="M42" s="181">
        <f>CJV!F43/1000</f>
        <v>35</v>
      </c>
      <c r="N42" s="181">
        <f>CZS!F43/1000</f>
        <v>689.6</v>
      </c>
      <c r="O42" s="181">
        <f>RMU!F43/1000</f>
        <v>8057.136</v>
      </c>
      <c r="P42" s="293">
        <f>P27+P32+P35+P39+P40+P41-P4-P25</f>
        <v>25354.56545000025</v>
      </c>
      <c r="Q42" s="51" t="e">
        <f>Q27+Q32+Q35+Q39+Q40+Q41-Q4-Q25</f>
        <v>#REF!</v>
      </c>
    </row>
    <row r="43" spans="1:17" ht="13.5" thickBot="1">
      <c r="A43" s="239" t="s">
        <v>165</v>
      </c>
      <c r="B43" s="171"/>
      <c r="C43" s="171"/>
      <c r="D43" s="171"/>
      <c r="E43" s="245">
        <v>40</v>
      </c>
      <c r="F43" s="262">
        <f aca="true" t="shared" si="5" ref="F43:Q43">F26-F3</f>
        <v>2819.7164400000183</v>
      </c>
      <c r="G43" s="262">
        <f t="shared" si="5"/>
        <v>4.2223399999984395</v>
      </c>
      <c r="H43" s="262">
        <f t="shared" si="5"/>
        <v>303.196219999998</v>
      </c>
      <c r="I43" s="262">
        <f t="shared" si="5"/>
        <v>107.15927999999985</v>
      </c>
      <c r="J43" s="262">
        <f t="shared" si="5"/>
        <v>151.38990999999078</v>
      </c>
      <c r="K43" s="262">
        <f t="shared" si="5"/>
        <v>3136.6624199999787</v>
      </c>
      <c r="L43" s="262">
        <f t="shared" si="5"/>
        <v>25.19283000000064</v>
      </c>
      <c r="M43" s="262">
        <f t="shared" si="5"/>
        <v>85.41506999999547</v>
      </c>
      <c r="N43" s="262">
        <f t="shared" si="5"/>
        <v>491.1814500000037</v>
      </c>
      <c r="O43" s="262">
        <f t="shared" si="5"/>
        <v>18230.42949000001</v>
      </c>
      <c r="P43" s="255">
        <f t="shared" si="5"/>
        <v>25354.565450000344</v>
      </c>
      <c r="Q43" s="50" t="e">
        <f t="shared" si="5"/>
        <v>#REF!</v>
      </c>
    </row>
    <row r="44" spans="1:15" s="89" customFormat="1" ht="11.25">
      <c r="A44" s="90" t="s">
        <v>167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6" s="89" customFormat="1" ht="11.25">
      <c r="A45" s="210" t="s">
        <v>141</v>
      </c>
      <c r="B45" s="90"/>
      <c r="C45" s="90"/>
      <c r="D45" s="90"/>
      <c r="E45" s="90"/>
      <c r="F45" s="91">
        <f>SKM!F46/1000</f>
        <v>9300</v>
      </c>
      <c r="G45" s="91">
        <f>SUKB!F46/1000</f>
        <v>0</v>
      </c>
      <c r="H45" s="91">
        <f>UCT!F46/1000</f>
        <v>627</v>
      </c>
      <c r="I45" s="91">
        <f>SPSSN!F46/1000</f>
        <v>30</v>
      </c>
      <c r="J45" s="91"/>
      <c r="K45" s="91">
        <f>ÚVT!F46/1000</f>
        <v>35583</v>
      </c>
      <c r="L45" s="91">
        <f>VMU!F46/1000</f>
        <v>446</v>
      </c>
      <c r="M45" s="91">
        <f>CJV!F46/1000</f>
        <v>42</v>
      </c>
      <c r="N45" s="91">
        <f>CZS!F46/1000</f>
        <v>74</v>
      </c>
      <c r="O45" s="91">
        <f>RMU!F46/1000</f>
        <v>10197</v>
      </c>
      <c r="P45" s="234">
        <f aca="true" t="shared" si="6" ref="P45:P53">SUM(F45:O45)</f>
        <v>56299</v>
      </c>
    </row>
    <row r="46" spans="1:16" s="89" customFormat="1" ht="11.25">
      <c r="A46" s="142" t="s">
        <v>142</v>
      </c>
      <c r="B46" s="90"/>
      <c r="C46" s="90"/>
      <c r="D46" s="90"/>
      <c r="E46" s="90"/>
      <c r="F46" s="91">
        <f>SKM!F47/1000</f>
        <v>3843</v>
      </c>
      <c r="G46" s="91">
        <f>SUKB!F47/1000</f>
        <v>0</v>
      </c>
      <c r="H46" s="91">
        <f>UCT!F47/1000</f>
        <v>395</v>
      </c>
      <c r="I46" s="91">
        <f>SPSSN!F47/1000</f>
        <v>30</v>
      </c>
      <c r="J46" s="91"/>
      <c r="K46" s="91">
        <f>ÚVT!F47/1000</f>
        <v>20182</v>
      </c>
      <c r="L46" s="91">
        <f>VMU!F47/1000</f>
        <v>363</v>
      </c>
      <c r="M46" s="91">
        <f>CJV!F47/1000</f>
        <v>42</v>
      </c>
      <c r="N46" s="91">
        <f>CZS!F47/1000</f>
        <v>64</v>
      </c>
      <c r="O46" s="91">
        <f>RMU!F47/1000</f>
        <v>1807</v>
      </c>
      <c r="P46" s="234">
        <f t="shared" si="6"/>
        <v>26726</v>
      </c>
    </row>
    <row r="47" spans="1:16" s="89" customFormat="1" ht="11.25">
      <c r="A47" s="142" t="s">
        <v>143</v>
      </c>
      <c r="B47" s="90"/>
      <c r="C47" s="90"/>
      <c r="D47" s="90"/>
      <c r="E47" s="90"/>
      <c r="F47" s="91">
        <f>SKM!F48/1000</f>
        <v>5457</v>
      </c>
      <c r="G47" s="91">
        <f>SUKB!F48/1000</f>
        <v>0</v>
      </c>
      <c r="H47" s="91">
        <f>UCT!F48/1000</f>
        <v>232</v>
      </c>
      <c r="I47" s="91">
        <f>SPSSN!F48/1000</f>
        <v>0</v>
      </c>
      <c r="J47" s="91"/>
      <c r="K47" s="91">
        <f>ÚVT!F48/1000</f>
        <v>15401</v>
      </c>
      <c r="L47" s="91">
        <f>VMU!F48/1000</f>
        <v>83</v>
      </c>
      <c r="M47" s="91">
        <f>CJV!F48/1000</f>
        <v>0</v>
      </c>
      <c r="N47" s="91">
        <f>CZS!F48/1000</f>
        <v>10</v>
      </c>
      <c r="O47" s="91">
        <f>RMU!F48/1000</f>
        <v>8390</v>
      </c>
      <c r="P47" s="234">
        <f t="shared" si="6"/>
        <v>29573</v>
      </c>
    </row>
    <row r="48" spans="1:16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234">
        <f t="shared" si="6"/>
        <v>0</v>
      </c>
    </row>
    <row r="49" spans="1:16" s="89" customFormat="1" ht="11.25">
      <c r="A49" s="90" t="s">
        <v>170</v>
      </c>
      <c r="B49" s="90"/>
      <c r="C49" s="90"/>
      <c r="D49" s="90"/>
      <c r="E49" s="90"/>
      <c r="F49" s="91">
        <f>SKM!F50/1000</f>
        <v>0</v>
      </c>
      <c r="G49" s="91">
        <f>SUKB!F50/1000</f>
        <v>0</v>
      </c>
      <c r="H49" s="91">
        <f>UCT!F50/1000</f>
        <v>3500</v>
      </c>
      <c r="I49" s="91">
        <f>SPSSN!F50/1000</f>
        <v>1710</v>
      </c>
      <c r="J49" s="91"/>
      <c r="K49" s="91">
        <f>ÚVT!F50/1000</f>
        <v>88369</v>
      </c>
      <c r="L49" s="91">
        <f>VMU!F50/1000</f>
        <v>0</v>
      </c>
      <c r="M49" s="91">
        <f>CJV!F50/1000</f>
        <v>21961</v>
      </c>
      <c r="N49" s="91">
        <f>CZS!F50/1000</f>
        <v>7380</v>
      </c>
      <c r="O49" s="91">
        <f>RMU!F50/1000</f>
        <v>74128</v>
      </c>
      <c r="P49" s="234">
        <f t="shared" si="6"/>
        <v>197048</v>
      </c>
    </row>
    <row r="50" spans="1:16" s="89" customFormat="1" ht="11.25">
      <c r="A50" s="90" t="s">
        <v>146</v>
      </c>
      <c r="B50" s="90"/>
      <c r="C50" s="90"/>
      <c r="D50" s="90"/>
      <c r="E50" s="90"/>
      <c r="F50" s="91">
        <f>SKM!F51/1000</f>
        <v>0</v>
      </c>
      <c r="G50" s="91">
        <f>SUKB!F51/1000</f>
        <v>0</v>
      </c>
      <c r="H50" s="91">
        <f>UCT!F51/1000</f>
        <v>0</v>
      </c>
      <c r="I50" s="91">
        <f>SPSSN!F51/1000</f>
        <v>0</v>
      </c>
      <c r="J50" s="91"/>
      <c r="K50" s="91">
        <f>ÚVT!F51/1000</f>
        <v>26640</v>
      </c>
      <c r="L50" s="91">
        <f>VMU!F51/1000</f>
        <v>0</v>
      </c>
      <c r="M50" s="91">
        <f>CJV!F51/1000</f>
        <v>0</v>
      </c>
      <c r="N50" s="91">
        <f>CZS!F51/1000</f>
        <v>0</v>
      </c>
      <c r="O50" s="91">
        <f>RMU!F51/1000</f>
        <v>91090</v>
      </c>
      <c r="P50" s="234">
        <f t="shared" si="6"/>
        <v>117730</v>
      </c>
    </row>
    <row r="51" spans="1:16" s="89" customFormat="1" ht="11.25">
      <c r="A51" s="90" t="s">
        <v>171</v>
      </c>
      <c r="B51" s="90"/>
      <c r="C51" s="90"/>
      <c r="D51" s="90"/>
      <c r="F51" s="91">
        <f>SKM!F52/1000</f>
        <v>0</v>
      </c>
      <c r="G51" s="91">
        <f>SUKB!F52/1000</f>
        <v>0</v>
      </c>
      <c r="H51" s="91">
        <f>UCT!F52/1000</f>
        <v>395</v>
      </c>
      <c r="I51" s="91">
        <f>SPSSN!F52/1000</f>
        <v>30</v>
      </c>
      <c r="J51" s="91"/>
      <c r="K51" s="91">
        <f>ÚVT!F52/1000</f>
        <v>20182</v>
      </c>
      <c r="L51" s="91">
        <f>VMU!F52/1000</f>
        <v>0</v>
      </c>
      <c r="M51" s="91">
        <f>CJV!F52/1000</f>
        <v>42</v>
      </c>
      <c r="N51" s="91">
        <f>CZS!F52/1000</f>
        <v>64</v>
      </c>
      <c r="O51" s="91">
        <f>RMU!F52/1000</f>
        <v>1807</v>
      </c>
      <c r="P51" s="234">
        <f t="shared" si="6"/>
        <v>22520</v>
      </c>
    </row>
    <row r="52" spans="1:16" s="89" customFormat="1" ht="11.25">
      <c r="A52" s="90" t="s">
        <v>169</v>
      </c>
      <c r="B52" s="90"/>
      <c r="C52" s="90"/>
      <c r="D52" s="90"/>
      <c r="F52" s="91">
        <f>SKM!F53/1000</f>
        <v>0</v>
      </c>
      <c r="G52" s="91">
        <f>SUKB!F53/1000</f>
        <v>0</v>
      </c>
      <c r="H52" s="91">
        <f>UCT!F53/1000</f>
        <v>3895</v>
      </c>
      <c r="I52" s="91">
        <f>SPSSN!F53/1000</f>
        <v>1740</v>
      </c>
      <c r="J52" s="91"/>
      <c r="K52" s="91">
        <f>ÚVT!F53/1000</f>
        <v>135191</v>
      </c>
      <c r="L52" s="91">
        <f>VMU!F53/1000</f>
        <v>0</v>
      </c>
      <c r="M52" s="91">
        <f>CJV!F53/1000</f>
        <v>22003</v>
      </c>
      <c r="N52" s="91">
        <f>CZS!F53/1000</f>
        <v>7444</v>
      </c>
      <c r="O52" s="91">
        <f>RMU!F53/1000</f>
        <v>167025</v>
      </c>
      <c r="P52" s="234">
        <f t="shared" si="6"/>
        <v>337298</v>
      </c>
    </row>
    <row r="53" spans="1:16" s="89" customFormat="1" ht="11.25">
      <c r="A53" s="90"/>
      <c r="B53" s="90"/>
      <c r="C53" s="90"/>
      <c r="D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234">
        <f t="shared" si="6"/>
        <v>0</v>
      </c>
    </row>
  </sheetData>
  <mergeCells count="1">
    <mergeCell ref="A1:D1"/>
  </mergeCells>
  <printOptions/>
  <pageMargins left="0.5" right="0.16" top="0.39" bottom="0.46" header="0.2" footer="0.2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2">
    <tabColor indexed="43"/>
  </sheetPr>
  <dimension ref="A1:K53"/>
  <sheetViews>
    <sheetView workbookViewId="0" topLeftCell="A1">
      <selection activeCell="F5" sqref="F5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30.00390625" style="5" customWidth="1"/>
    <col min="5" max="5" width="3.75390625" style="5" customWidth="1"/>
    <col min="6" max="7" width="11.875" style="5" customWidth="1"/>
    <col min="8" max="8" width="11.875" style="305" customWidth="1"/>
    <col min="9" max="9" width="4.00390625" style="5" customWidth="1"/>
    <col min="10" max="10" width="11.125" style="5" customWidth="1"/>
    <col min="11" max="16384" width="9.125" style="5" customWidth="1"/>
  </cols>
  <sheetData>
    <row r="1" spans="1:8" ht="12.75">
      <c r="A1" s="610" t="s">
        <v>139</v>
      </c>
      <c r="B1" s="611"/>
      <c r="C1" s="611"/>
      <c r="D1" s="612"/>
      <c r="E1" s="242"/>
      <c r="F1" s="260" t="s">
        <v>72</v>
      </c>
      <c r="G1" s="263" t="s">
        <v>9</v>
      </c>
      <c r="H1" s="287" t="s">
        <v>87</v>
      </c>
    </row>
    <row r="2" spans="1:8" ht="12.75">
      <c r="A2" s="240" t="s">
        <v>39</v>
      </c>
      <c r="B2" s="256"/>
      <c r="C2" s="256"/>
      <c r="D2" s="257" t="s">
        <v>116</v>
      </c>
      <c r="E2" s="244" t="s">
        <v>21</v>
      </c>
      <c r="F2" s="261">
        <v>2005</v>
      </c>
      <c r="G2" s="264">
        <v>2005</v>
      </c>
      <c r="H2" s="288">
        <v>2005</v>
      </c>
    </row>
    <row r="3" spans="1:8" ht="12.75">
      <c r="A3" s="239" t="s">
        <v>157</v>
      </c>
      <c r="B3" s="171"/>
      <c r="C3" s="171"/>
      <c r="D3" s="171"/>
      <c r="E3" s="245">
        <v>1</v>
      </c>
      <c r="F3" s="262">
        <f>SUM(F5:F25)</f>
        <v>2150450.325</v>
      </c>
      <c r="G3" s="265">
        <f>SUM(G5:G25)</f>
        <v>14926114.13</v>
      </c>
      <c r="H3" s="255">
        <f>SUM(H5:H25)</f>
        <v>17076564.455000002</v>
      </c>
    </row>
    <row r="4" spans="1:8" ht="12">
      <c r="A4" s="240" t="s">
        <v>10</v>
      </c>
      <c r="B4" s="3" t="s">
        <v>91</v>
      </c>
      <c r="C4" s="3"/>
      <c r="D4" s="3"/>
      <c r="E4" s="246">
        <v>2</v>
      </c>
      <c r="F4" s="37">
        <f>SUM(F5:F15)</f>
        <v>1465217.325</v>
      </c>
      <c r="G4" s="266">
        <f>SUM(G5:G15)</f>
        <v>14776672.465000002</v>
      </c>
      <c r="H4" s="289">
        <f>SUM(F4:G4)</f>
        <v>16241889.790000001</v>
      </c>
    </row>
    <row r="5" spans="1:9" s="29" customFormat="1" ht="12">
      <c r="A5" s="241"/>
      <c r="B5" s="27"/>
      <c r="C5" s="27" t="s">
        <v>13</v>
      </c>
      <c r="D5" s="28" t="s">
        <v>17</v>
      </c>
      <c r="E5" s="258">
        <v>3</v>
      </c>
      <c r="F5" s="38">
        <f>'plán fak.'!O5</f>
        <v>711901.987</v>
      </c>
      <c r="G5" s="267">
        <f>'plán ost. '!O5</f>
        <v>142898.229</v>
      </c>
      <c r="H5" s="222">
        <f aca="true" t="shared" si="0" ref="H5:H43">F5+G5</f>
        <v>854800.216</v>
      </c>
      <c r="I5" s="36"/>
    </row>
    <row r="6" spans="1:8" s="29" customFormat="1" ht="12">
      <c r="A6" s="241"/>
      <c r="B6" s="27"/>
      <c r="C6" s="27"/>
      <c r="D6" s="28" t="s">
        <v>18</v>
      </c>
      <c r="E6" s="258">
        <v>4</v>
      </c>
      <c r="F6" s="38">
        <f>'plán fak.'!O6</f>
        <v>27121.197</v>
      </c>
      <c r="G6" s="267">
        <f>'plán ost. '!O6</f>
        <v>5112.567</v>
      </c>
      <c r="H6" s="222">
        <f t="shared" si="0"/>
        <v>32233.764</v>
      </c>
    </row>
    <row r="7" spans="1:8" s="29" customFormat="1" ht="12">
      <c r="A7" s="241"/>
      <c r="B7" s="27"/>
      <c r="C7" s="27"/>
      <c r="D7" s="28" t="s">
        <v>19</v>
      </c>
      <c r="E7" s="258">
        <v>5</v>
      </c>
      <c r="F7" s="38">
        <f>'plán fak.'!O7</f>
        <v>253016.95400000003</v>
      </c>
      <c r="G7" s="267">
        <f>'plán ost. '!O7</f>
        <v>52491.843</v>
      </c>
      <c r="H7" s="222">
        <f t="shared" si="0"/>
        <v>305508.797</v>
      </c>
    </row>
    <row r="8" spans="1:8" s="29" customFormat="1" ht="12">
      <c r="A8" s="241"/>
      <c r="B8" s="27"/>
      <c r="C8" s="27"/>
      <c r="D8" s="28" t="s">
        <v>0</v>
      </c>
      <c r="E8" s="258">
        <v>6</v>
      </c>
      <c r="F8" s="38">
        <f>'plán fak.'!O8</f>
        <v>46485.3</v>
      </c>
      <c r="G8" s="267">
        <f>'plán ost. '!O8</f>
        <v>36756.061</v>
      </c>
      <c r="H8" s="222">
        <f t="shared" si="0"/>
        <v>83241.361</v>
      </c>
    </row>
    <row r="9" spans="1:8" s="29" customFormat="1" ht="12">
      <c r="A9" s="241"/>
      <c r="B9" s="27"/>
      <c r="C9" s="27"/>
      <c r="D9" s="28" t="s">
        <v>1</v>
      </c>
      <c r="E9" s="258">
        <v>7</v>
      </c>
      <c r="F9" s="38">
        <f>'plán fak.'!O9</f>
        <v>15540</v>
      </c>
      <c r="G9" s="267">
        <f>'plán ost. '!O9</f>
        <v>41101.1</v>
      </c>
      <c r="H9" s="222">
        <f t="shared" si="0"/>
        <v>56641.1</v>
      </c>
    </row>
    <row r="10" spans="1:8" s="29" customFormat="1" ht="12">
      <c r="A10" s="241"/>
      <c r="B10" s="27"/>
      <c r="C10" s="27"/>
      <c r="D10" s="28" t="s">
        <v>2</v>
      </c>
      <c r="E10" s="258">
        <v>8</v>
      </c>
      <c r="F10" s="38">
        <f>'plán fak.'!O10</f>
        <v>100345.326</v>
      </c>
      <c r="G10" s="267">
        <f>'plán ost. '!O10</f>
        <v>56694.093</v>
      </c>
      <c r="H10" s="222">
        <f t="shared" si="0"/>
        <v>157039.419</v>
      </c>
    </row>
    <row r="11" spans="1:8" s="29" customFormat="1" ht="12">
      <c r="A11" s="241"/>
      <c r="B11" s="27"/>
      <c r="C11" s="27"/>
      <c r="D11" s="28" t="s">
        <v>3</v>
      </c>
      <c r="E11" s="258">
        <v>9</v>
      </c>
      <c r="F11" s="38">
        <f>'plán fak.'!O11</f>
        <v>84914.7</v>
      </c>
      <c r="G11" s="267">
        <f>'plán ost. '!O11</f>
        <v>80679.714</v>
      </c>
      <c r="H11" s="222">
        <f t="shared" si="0"/>
        <v>165594.414</v>
      </c>
    </row>
    <row r="12" spans="1:8" s="29" customFormat="1" ht="12">
      <c r="A12" s="241"/>
      <c r="B12" s="27"/>
      <c r="C12" s="27"/>
      <c r="D12" s="28" t="s">
        <v>4</v>
      </c>
      <c r="E12" s="258">
        <v>10</v>
      </c>
      <c r="F12" s="38">
        <f>'plán fak.'!O12</f>
        <v>11994</v>
      </c>
      <c r="G12" s="267">
        <f>'plán ost. '!O12</f>
        <v>5482.103</v>
      </c>
      <c r="H12" s="222">
        <f t="shared" si="0"/>
        <v>17476.103</v>
      </c>
    </row>
    <row r="13" spans="1:8" s="29" customFormat="1" ht="13.5">
      <c r="A13" s="241"/>
      <c r="B13" s="27"/>
      <c r="C13" s="27"/>
      <c r="D13" s="28" t="s">
        <v>178</v>
      </c>
      <c r="E13" s="258">
        <v>11</v>
      </c>
      <c r="F13" s="38">
        <f>'plán fak.'!O13</f>
        <v>125565</v>
      </c>
      <c r="G13" s="267">
        <f>'plán ost. '!O13</f>
        <v>14231650</v>
      </c>
      <c r="H13" s="222">
        <f t="shared" si="0"/>
        <v>14357215</v>
      </c>
    </row>
    <row r="14" spans="1:8" s="29" customFormat="1" ht="12">
      <c r="A14" s="241"/>
      <c r="B14" s="27"/>
      <c r="C14" s="27"/>
      <c r="D14" s="28" t="s">
        <v>6</v>
      </c>
      <c r="E14" s="258">
        <v>12</v>
      </c>
      <c r="F14" s="38">
        <f>'plán fak.'!O14</f>
        <v>20976</v>
      </c>
      <c r="G14" s="267">
        <f>'plán ost. '!O14</f>
        <v>92228.8</v>
      </c>
      <c r="H14" s="222">
        <f t="shared" si="0"/>
        <v>113204.8</v>
      </c>
    </row>
    <row r="15" spans="1:8" s="29" customFormat="1" ht="12">
      <c r="A15" s="241"/>
      <c r="B15" s="28"/>
      <c r="C15" s="28"/>
      <c r="D15" s="28" t="s">
        <v>9</v>
      </c>
      <c r="E15" s="258">
        <v>13</v>
      </c>
      <c r="F15" s="38">
        <f>'plán fak.'!O15</f>
        <v>67356.861</v>
      </c>
      <c r="G15" s="267">
        <f>'plán ost. '!O15</f>
        <v>31577.955</v>
      </c>
      <c r="H15" s="222">
        <f t="shared" si="0"/>
        <v>98934.816</v>
      </c>
    </row>
    <row r="16" spans="1:8" ht="12">
      <c r="A16" s="240"/>
      <c r="B16" s="4" t="s">
        <v>14</v>
      </c>
      <c r="C16" s="3"/>
      <c r="D16" s="3"/>
      <c r="E16" s="246">
        <v>14</v>
      </c>
      <c r="F16" s="38">
        <f>'plán fak.'!O16</f>
        <v>97140</v>
      </c>
      <c r="G16" s="267">
        <f>'plán ost. '!O16</f>
        <v>0</v>
      </c>
      <c r="H16" s="290">
        <f t="shared" si="0"/>
        <v>97140</v>
      </c>
    </row>
    <row r="17" spans="1:8" ht="12">
      <c r="A17" s="240"/>
      <c r="B17" s="4" t="s">
        <v>15</v>
      </c>
      <c r="C17" s="3"/>
      <c r="D17" s="3"/>
      <c r="E17" s="246">
        <v>15</v>
      </c>
      <c r="F17" s="38">
        <f>'plán fak.'!O17</f>
        <v>5397</v>
      </c>
      <c r="G17" s="267">
        <f>'plán ost. '!O17</f>
        <v>25000</v>
      </c>
      <c r="H17" s="290">
        <f t="shared" si="0"/>
        <v>30397</v>
      </c>
    </row>
    <row r="18" spans="1:8" ht="12">
      <c r="A18" s="240"/>
      <c r="B18" s="4" t="s">
        <v>20</v>
      </c>
      <c r="C18" s="3"/>
      <c r="D18" s="3"/>
      <c r="E18" s="246">
        <v>16</v>
      </c>
      <c r="F18" s="38">
        <f>'plán fak.'!O18</f>
        <v>43110</v>
      </c>
      <c r="G18" s="267">
        <f>'plán ost. '!O18</f>
        <v>52708</v>
      </c>
      <c r="H18" s="290">
        <f t="shared" si="0"/>
        <v>95818</v>
      </c>
    </row>
    <row r="19" spans="1:8" ht="12">
      <c r="A19" s="240"/>
      <c r="B19" s="4" t="s">
        <v>16</v>
      </c>
      <c r="C19" s="3"/>
      <c r="D19" s="3"/>
      <c r="E19" s="246">
        <v>17</v>
      </c>
      <c r="F19" s="38">
        <f>'plán fak.'!O19</f>
        <v>8828</v>
      </c>
      <c r="G19" s="267">
        <f>'plán ost. '!O19</f>
        <v>0</v>
      </c>
      <c r="H19" s="290">
        <f t="shared" si="0"/>
        <v>8828</v>
      </c>
    </row>
    <row r="20" spans="1:8" ht="12">
      <c r="A20" s="240"/>
      <c r="B20" s="4" t="s">
        <v>24</v>
      </c>
      <c r="C20" s="4"/>
      <c r="D20" s="4"/>
      <c r="E20" s="246">
        <v>18</v>
      </c>
      <c r="F20" s="38">
        <f>'plán fak.'!O20</f>
        <v>500</v>
      </c>
      <c r="G20" s="267">
        <f>'plán ost. '!O20</f>
        <v>3988.75</v>
      </c>
      <c r="H20" s="290">
        <f t="shared" si="0"/>
        <v>4488.75</v>
      </c>
    </row>
    <row r="21" spans="1:8" ht="12">
      <c r="A21" s="240"/>
      <c r="B21" s="4" t="s">
        <v>31</v>
      </c>
      <c r="C21" s="4"/>
      <c r="D21" s="4"/>
      <c r="E21" s="246">
        <v>19</v>
      </c>
      <c r="F21" s="38">
        <f>'plán fak.'!O21</f>
        <v>15120</v>
      </c>
      <c r="G21" s="267">
        <f>'plán ost. '!O21</f>
        <v>16246.715</v>
      </c>
      <c r="H21" s="290">
        <f t="shared" si="0"/>
        <v>31366.715</v>
      </c>
    </row>
    <row r="22" spans="1:8" ht="12">
      <c r="A22" s="240"/>
      <c r="B22" s="4" t="s">
        <v>25</v>
      </c>
      <c r="C22" s="4"/>
      <c r="D22" s="4"/>
      <c r="E22" s="246">
        <v>20</v>
      </c>
      <c r="F22" s="38">
        <f>'plán fak.'!O22</f>
        <v>256531</v>
      </c>
      <c r="G22" s="267">
        <f>'plán ost. '!O22</f>
        <v>0</v>
      </c>
      <c r="H22" s="290">
        <f t="shared" si="0"/>
        <v>256531</v>
      </c>
    </row>
    <row r="23" spans="1:8" ht="12">
      <c r="A23" s="240"/>
      <c r="B23" s="4" t="s">
        <v>26</v>
      </c>
      <c r="C23" s="4"/>
      <c r="D23" s="4"/>
      <c r="E23" s="246">
        <v>21</v>
      </c>
      <c r="F23" s="38">
        <f>'plán fak.'!O23</f>
        <v>179065</v>
      </c>
      <c r="G23" s="267">
        <f>'plán ost. '!O23</f>
        <v>12400</v>
      </c>
      <c r="H23" s="290">
        <f t="shared" si="0"/>
        <v>191465</v>
      </c>
    </row>
    <row r="24" spans="1:8" ht="12">
      <c r="A24" s="240"/>
      <c r="B24" s="4" t="s">
        <v>27</v>
      </c>
      <c r="C24" s="4"/>
      <c r="D24" s="4"/>
      <c r="E24" s="246">
        <v>22</v>
      </c>
      <c r="F24" s="38">
        <f>'plán fak.'!O24</f>
        <v>52892</v>
      </c>
      <c r="G24" s="267">
        <f>'plán ost. '!O24</f>
        <v>4160</v>
      </c>
      <c r="H24" s="290">
        <f t="shared" si="0"/>
        <v>57052</v>
      </c>
    </row>
    <row r="25" spans="1:8" ht="12">
      <c r="A25" s="240"/>
      <c r="B25" s="95" t="s">
        <v>30</v>
      </c>
      <c r="C25" s="95"/>
      <c r="D25" s="95"/>
      <c r="E25" s="247">
        <v>23</v>
      </c>
      <c r="F25" s="181">
        <f>'plán fak.'!O25</f>
        <v>26650</v>
      </c>
      <c r="G25" s="268">
        <f>'plán ost. '!O25</f>
        <v>34938.2</v>
      </c>
      <c r="H25" s="300">
        <f t="shared" si="0"/>
        <v>61588.2</v>
      </c>
    </row>
    <row r="26" spans="1:8" ht="12.75">
      <c r="A26" s="239" t="s">
        <v>158</v>
      </c>
      <c r="B26" s="171"/>
      <c r="C26" s="171"/>
      <c r="D26" s="171"/>
      <c r="E26" s="245">
        <v>24</v>
      </c>
      <c r="F26" s="262">
        <f>SUM(F27:F41)</f>
        <v>2158576</v>
      </c>
      <c r="G26" s="265">
        <f>SUM(G27:G41)</f>
        <v>14940741.866</v>
      </c>
      <c r="H26" s="255">
        <f>SUM(H27:H41)</f>
        <v>17099317.866</v>
      </c>
    </row>
    <row r="27" spans="1:8" ht="13.5">
      <c r="A27" s="240" t="s">
        <v>10</v>
      </c>
      <c r="B27" s="3" t="s">
        <v>179</v>
      </c>
      <c r="C27" s="3"/>
      <c r="D27" s="3"/>
      <c r="E27" s="246">
        <v>25</v>
      </c>
      <c r="F27" s="37">
        <f>'plán fak.'!O27</f>
        <v>1134395</v>
      </c>
      <c r="G27" s="266">
        <f>'plán ost. '!O27</f>
        <v>337298</v>
      </c>
      <c r="H27" s="289">
        <f t="shared" si="0"/>
        <v>1471693</v>
      </c>
    </row>
    <row r="28" spans="1:8" ht="12">
      <c r="A28" s="240"/>
      <c r="B28" s="4" t="s">
        <v>14</v>
      </c>
      <c r="C28" s="4"/>
      <c r="D28" s="4"/>
      <c r="E28" s="246">
        <v>26</v>
      </c>
      <c r="F28" s="37">
        <f>'plán fak.'!O28</f>
        <v>97140</v>
      </c>
      <c r="G28" s="266">
        <f>'plán ost. '!O28</f>
        <v>0</v>
      </c>
      <c r="H28" s="289">
        <f t="shared" si="0"/>
        <v>97140</v>
      </c>
    </row>
    <row r="29" spans="1:8" ht="12">
      <c r="A29" s="240"/>
      <c r="B29" s="4" t="s">
        <v>15</v>
      </c>
      <c r="C29" s="4"/>
      <c r="D29" s="4"/>
      <c r="E29" s="246">
        <v>27</v>
      </c>
      <c r="F29" s="37">
        <f>'plán fak.'!O29</f>
        <v>5397</v>
      </c>
      <c r="G29" s="266">
        <f>'plán ost. '!O29</f>
        <v>25000</v>
      </c>
      <c r="H29" s="289">
        <f t="shared" si="0"/>
        <v>30397</v>
      </c>
    </row>
    <row r="30" spans="1:8" ht="12">
      <c r="A30" s="240"/>
      <c r="B30" s="4" t="s">
        <v>20</v>
      </c>
      <c r="C30" s="3"/>
      <c r="D30" s="3"/>
      <c r="E30" s="246">
        <v>28</v>
      </c>
      <c r="F30" s="37">
        <f>'plán fak.'!O30</f>
        <v>43110</v>
      </c>
      <c r="G30" s="266">
        <f>'plán ost. '!O30</f>
        <v>52708</v>
      </c>
      <c r="H30" s="289">
        <f t="shared" si="0"/>
        <v>95818</v>
      </c>
    </row>
    <row r="31" spans="1:8" ht="12">
      <c r="A31" s="240"/>
      <c r="B31" s="4" t="s">
        <v>16</v>
      </c>
      <c r="C31" s="4"/>
      <c r="D31" s="4"/>
      <c r="E31" s="246">
        <v>29</v>
      </c>
      <c r="F31" s="37">
        <f>'plán fak.'!O31</f>
        <v>8828</v>
      </c>
      <c r="G31" s="266">
        <f>'plán ost. '!O31</f>
        <v>0</v>
      </c>
      <c r="H31" s="289">
        <f t="shared" si="0"/>
        <v>8828</v>
      </c>
    </row>
    <row r="32" spans="1:8" ht="12">
      <c r="A32" s="240"/>
      <c r="B32" s="4" t="s">
        <v>173</v>
      </c>
      <c r="C32" s="4"/>
      <c r="D32" s="4"/>
      <c r="E32" s="246">
        <v>30</v>
      </c>
      <c r="F32" s="37">
        <f>'plán fak.'!O32</f>
        <v>0</v>
      </c>
      <c r="G32" s="266">
        <f>'plán ost. '!O32</f>
        <v>106526</v>
      </c>
      <c r="H32" s="289">
        <f t="shared" si="0"/>
        <v>106526</v>
      </c>
    </row>
    <row r="33" spans="1:8" ht="12">
      <c r="A33" s="240"/>
      <c r="B33" s="4" t="s">
        <v>24</v>
      </c>
      <c r="C33" s="4"/>
      <c r="D33" s="4"/>
      <c r="E33" s="246">
        <v>31</v>
      </c>
      <c r="F33" s="37">
        <f>'plán fak.'!O33</f>
        <v>881</v>
      </c>
      <c r="G33" s="266">
        <f>'plán ost. '!O33</f>
        <v>3988.75</v>
      </c>
      <c r="H33" s="289">
        <f t="shared" si="0"/>
        <v>4869.75</v>
      </c>
    </row>
    <row r="34" spans="1:8" ht="12">
      <c r="A34" s="240"/>
      <c r="B34" s="4" t="s">
        <v>31</v>
      </c>
      <c r="C34" s="4"/>
      <c r="D34" s="4"/>
      <c r="E34" s="246">
        <v>32</v>
      </c>
      <c r="F34" s="37">
        <f>'plán fak.'!O34</f>
        <v>14905</v>
      </c>
      <c r="G34" s="266">
        <f>'plán ost. '!O34</f>
        <v>16246.715</v>
      </c>
      <c r="H34" s="289">
        <f t="shared" si="0"/>
        <v>31151.715</v>
      </c>
    </row>
    <row r="35" spans="1:8" ht="12">
      <c r="A35" s="240"/>
      <c r="B35" s="4" t="s">
        <v>85</v>
      </c>
      <c r="C35" s="4"/>
      <c r="D35" s="4"/>
      <c r="E35" s="246">
        <v>33</v>
      </c>
      <c r="F35" s="37">
        <f>'plán fak.'!O35</f>
        <v>112915</v>
      </c>
      <c r="G35" s="266">
        <f>'plán ost. '!O35</f>
        <v>0</v>
      </c>
      <c r="H35" s="289">
        <f t="shared" si="0"/>
        <v>112915</v>
      </c>
    </row>
    <row r="36" spans="1:11" ht="12">
      <c r="A36" s="240"/>
      <c r="B36" s="4" t="s">
        <v>25</v>
      </c>
      <c r="C36" s="4"/>
      <c r="D36" s="4"/>
      <c r="E36" s="246">
        <v>34</v>
      </c>
      <c r="F36" s="37">
        <f>'plán fak.'!O36</f>
        <v>256531</v>
      </c>
      <c r="G36" s="266">
        <f>'plán ost. '!O36</f>
        <v>0</v>
      </c>
      <c r="H36" s="289">
        <f t="shared" si="0"/>
        <v>256531</v>
      </c>
      <c r="K36" s="10"/>
    </row>
    <row r="37" spans="1:8" ht="12">
      <c r="A37" s="240"/>
      <c r="B37" s="4" t="s">
        <v>26</v>
      </c>
      <c r="C37" s="4"/>
      <c r="D37" s="4"/>
      <c r="E37" s="246">
        <v>35</v>
      </c>
      <c r="F37" s="37">
        <f>'plán fak.'!O37</f>
        <v>178777</v>
      </c>
      <c r="G37" s="266">
        <f>'plán ost. '!O37</f>
        <v>12400</v>
      </c>
      <c r="H37" s="289">
        <f t="shared" si="0"/>
        <v>191177</v>
      </c>
    </row>
    <row r="38" spans="1:8" ht="12">
      <c r="A38" s="240"/>
      <c r="B38" s="4" t="s">
        <v>27</v>
      </c>
      <c r="C38" s="4"/>
      <c r="D38" s="4"/>
      <c r="E38" s="246">
        <v>36</v>
      </c>
      <c r="F38" s="37">
        <f>'plán fak.'!O38</f>
        <v>52893</v>
      </c>
      <c r="G38" s="266">
        <f>'plán ost. '!O38</f>
        <v>4160</v>
      </c>
      <c r="H38" s="289">
        <f t="shared" si="0"/>
        <v>57053</v>
      </c>
    </row>
    <row r="39" spans="1:8" ht="13.5">
      <c r="A39" s="240"/>
      <c r="B39" s="4" t="s">
        <v>180</v>
      </c>
      <c r="C39" s="4"/>
      <c r="D39" s="4"/>
      <c r="E39" s="246">
        <v>37</v>
      </c>
      <c r="F39" s="37">
        <f>'plán fak.'!O39</f>
        <v>202567</v>
      </c>
      <c r="G39" s="266">
        <f>'plán ost. '!O39</f>
        <v>14337926.201000001</v>
      </c>
      <c r="H39" s="289">
        <f t="shared" si="0"/>
        <v>14540493.201000001</v>
      </c>
    </row>
    <row r="40" spans="1:8" ht="12">
      <c r="A40" s="240"/>
      <c r="B40" s="4" t="s">
        <v>29</v>
      </c>
      <c r="C40" s="4"/>
      <c r="D40" s="4"/>
      <c r="E40" s="246">
        <v>38</v>
      </c>
      <c r="F40" s="37">
        <f>'plán fak.'!O40</f>
        <v>18963</v>
      </c>
      <c r="G40" s="266">
        <f>'plán ost. '!O40</f>
        <v>0</v>
      </c>
      <c r="H40" s="289">
        <f t="shared" si="0"/>
        <v>18963</v>
      </c>
    </row>
    <row r="41" spans="1:8" ht="12">
      <c r="A41" s="240"/>
      <c r="B41" s="4" t="s">
        <v>30</v>
      </c>
      <c r="C41" s="4"/>
      <c r="D41" s="4"/>
      <c r="E41" s="246">
        <v>39</v>
      </c>
      <c r="F41" s="37">
        <f>'plán fak.'!O41</f>
        <v>31274</v>
      </c>
      <c r="G41" s="266">
        <f>'plán ost. '!O41</f>
        <v>44488.2</v>
      </c>
      <c r="H41" s="289">
        <f t="shared" si="0"/>
        <v>75762.2</v>
      </c>
    </row>
    <row r="42" spans="1:8" s="29" customFormat="1" ht="12.75" hidden="1" thickBot="1">
      <c r="A42" s="241" t="s">
        <v>32</v>
      </c>
      <c r="B42" s="27"/>
      <c r="C42" s="27"/>
      <c r="D42" s="27"/>
      <c r="E42" s="259">
        <v>42</v>
      </c>
      <c r="F42" s="181">
        <f>'plán fak.'!O42</f>
        <v>8246.675000000047</v>
      </c>
      <c r="G42" s="268">
        <f>'plán ost. '!O42</f>
        <v>14627.735999998826</v>
      </c>
      <c r="H42" s="300">
        <f t="shared" si="0"/>
        <v>22874.410999998872</v>
      </c>
    </row>
    <row r="43" spans="1:8" ht="12.75">
      <c r="A43" s="239" t="s">
        <v>165</v>
      </c>
      <c r="B43" s="171"/>
      <c r="C43" s="171"/>
      <c r="D43" s="171"/>
      <c r="E43" s="245">
        <v>40</v>
      </c>
      <c r="F43" s="262">
        <f>F26-F3</f>
        <v>8125.674999999814</v>
      </c>
      <c r="G43" s="265">
        <f>G26-G3</f>
        <v>14627.735999999568</v>
      </c>
      <c r="H43" s="255">
        <f t="shared" si="0"/>
        <v>22753.41099999938</v>
      </c>
    </row>
    <row r="44" spans="1:8" s="89" customFormat="1" ht="11.25">
      <c r="A44" s="210"/>
      <c r="B44" s="90"/>
      <c r="C44" s="90"/>
      <c r="D44" s="90"/>
      <c r="E44" s="90"/>
      <c r="F44" s="91"/>
      <c r="G44" s="91"/>
      <c r="H44" s="304"/>
    </row>
    <row r="45" spans="1:8" s="89" customFormat="1" ht="11.25">
      <c r="A45" s="210" t="s">
        <v>141</v>
      </c>
      <c r="B45" s="90"/>
      <c r="C45" s="90"/>
      <c r="D45" s="90"/>
      <c r="E45" s="90"/>
      <c r="F45" s="91">
        <f>'plán fak.'!O45</f>
        <v>127851</v>
      </c>
      <c r="G45" s="91">
        <f>'plán ost. '!O45</f>
        <v>56299</v>
      </c>
      <c r="H45" s="211">
        <f aca="true" t="shared" si="1" ref="H45:H52">SUM(F45:G45)</f>
        <v>184150</v>
      </c>
    </row>
    <row r="46" spans="1:8" s="89" customFormat="1" ht="11.25">
      <c r="A46" s="142" t="s">
        <v>142</v>
      </c>
      <c r="B46" s="90"/>
      <c r="C46" s="90"/>
      <c r="D46" s="90"/>
      <c r="E46" s="90"/>
      <c r="F46" s="91">
        <f>'plán fak.'!O46</f>
        <v>38176</v>
      </c>
      <c r="G46" s="91">
        <f>'plán ost. '!O46</f>
        <v>26726</v>
      </c>
      <c r="H46" s="91">
        <f t="shared" si="1"/>
        <v>64902</v>
      </c>
    </row>
    <row r="47" spans="1:8" s="89" customFormat="1" ht="11.25">
      <c r="A47" s="142" t="s">
        <v>143</v>
      </c>
      <c r="B47" s="90"/>
      <c r="C47" s="90"/>
      <c r="D47" s="90"/>
      <c r="E47" s="90"/>
      <c r="F47" s="91">
        <f>'plán fak.'!O47</f>
        <v>89675</v>
      </c>
      <c r="G47" s="91">
        <f>'plán ost. '!O47</f>
        <v>29573</v>
      </c>
      <c r="H47" s="91">
        <f t="shared" si="1"/>
        <v>119248</v>
      </c>
    </row>
    <row r="48" spans="1:8" s="89" customFormat="1" ht="11.25">
      <c r="A48" s="142" t="s">
        <v>145</v>
      </c>
      <c r="B48" s="90"/>
      <c r="C48" s="90"/>
      <c r="D48" s="90"/>
      <c r="E48" s="90"/>
      <c r="F48" s="91">
        <f>'plán fak.'!O48</f>
        <v>0</v>
      </c>
      <c r="G48" s="91">
        <f>'plán ost. '!O48</f>
        <v>0</v>
      </c>
      <c r="H48" s="91">
        <f t="shared" si="1"/>
        <v>0</v>
      </c>
    </row>
    <row r="49" spans="1:8" s="89" customFormat="1" ht="11.25">
      <c r="A49" s="90" t="s">
        <v>170</v>
      </c>
      <c r="B49" s="90"/>
      <c r="C49" s="90"/>
      <c r="D49" s="90"/>
      <c r="E49" s="90"/>
      <c r="F49" s="91">
        <f>'plán fak.'!O49</f>
        <v>1072899</v>
      </c>
      <c r="G49" s="91">
        <f>'plán ost. '!O49</f>
        <v>197048</v>
      </c>
      <c r="H49" s="91">
        <f t="shared" si="1"/>
        <v>1269947</v>
      </c>
    </row>
    <row r="50" spans="1:8" s="89" customFormat="1" ht="11.25">
      <c r="A50" s="90" t="s">
        <v>146</v>
      </c>
      <c r="B50" s="90"/>
      <c r="C50" s="90"/>
      <c r="D50" s="90"/>
      <c r="F50" s="91">
        <f>'plán fak.'!O50</f>
        <v>23320</v>
      </c>
      <c r="G50" s="91">
        <f>'plán ost. '!O50</f>
        <v>117730</v>
      </c>
      <c r="H50" s="91">
        <f t="shared" si="1"/>
        <v>141050</v>
      </c>
    </row>
    <row r="51" spans="1:8" s="89" customFormat="1" ht="11.25">
      <c r="A51" s="90" t="s">
        <v>171</v>
      </c>
      <c r="B51" s="90"/>
      <c r="C51" s="90"/>
      <c r="D51" s="90"/>
      <c r="F51" s="91">
        <f>'plán fak.'!O51</f>
        <v>38176</v>
      </c>
      <c r="G51" s="91">
        <f>'plán ost. '!O51</f>
        <v>22520</v>
      </c>
      <c r="H51" s="91">
        <f t="shared" si="1"/>
        <v>60696</v>
      </c>
    </row>
    <row r="52" spans="1:8" s="89" customFormat="1" ht="11.25">
      <c r="A52" s="312" t="s">
        <v>183</v>
      </c>
      <c r="B52" s="90"/>
      <c r="C52" s="90"/>
      <c r="D52" s="90"/>
      <c r="F52" s="91">
        <f>'plán fak.'!O52</f>
        <v>1134395</v>
      </c>
      <c r="G52" s="91">
        <f>'plán ost. '!O52</f>
        <v>337298</v>
      </c>
      <c r="H52" s="206">
        <f t="shared" si="1"/>
        <v>1471693</v>
      </c>
    </row>
    <row r="53" spans="1:8" s="89" customFormat="1" ht="11.25">
      <c r="A53" s="90"/>
      <c r="B53" s="90"/>
      <c r="C53" s="90"/>
      <c r="D53" s="90"/>
      <c r="F53" s="91"/>
      <c r="G53" s="91"/>
      <c r="H53" s="91">
        <f>99000+H52</f>
        <v>1570693</v>
      </c>
    </row>
  </sheetData>
  <mergeCells count="1">
    <mergeCell ref="A1:D1"/>
  </mergeCells>
  <printOptions/>
  <pageMargins left="0.6692913385826772" right="0.15748031496062992" top="0.31" bottom="0.37" header="0.22" footer="0.2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>
    <tabColor indexed="43"/>
  </sheetPr>
  <dimension ref="A1:P53"/>
  <sheetViews>
    <sheetView workbookViewId="0" topLeftCell="A1">
      <selection activeCell="A6" sqref="A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375" style="0" customWidth="1"/>
    <col min="5" max="5" width="3.75390625" style="0" customWidth="1"/>
    <col min="6" max="7" width="8.375" style="0" customWidth="1"/>
    <col min="8" max="8" width="7.375" style="0" customWidth="1"/>
    <col min="9" max="10" width="8.375" style="0" customWidth="1"/>
    <col min="11" max="11" width="8.00390625" style="0" customWidth="1"/>
    <col min="12" max="14" width="8.375" style="0" customWidth="1"/>
    <col min="15" max="15" width="9.125" style="310" customWidth="1"/>
    <col min="16" max="16" width="9.875" style="0" customWidth="1"/>
  </cols>
  <sheetData>
    <row r="1" spans="1:16" ht="12.75">
      <c r="A1" s="610" t="s">
        <v>139</v>
      </c>
      <c r="B1" s="611"/>
      <c r="C1" s="611"/>
      <c r="D1" s="612"/>
      <c r="E1" s="236"/>
      <c r="F1" s="269" t="s">
        <v>59</v>
      </c>
      <c r="G1" s="269" t="s">
        <v>60</v>
      </c>
      <c r="H1" s="269" t="s">
        <v>62</v>
      </c>
      <c r="I1" s="269" t="s">
        <v>61</v>
      </c>
      <c r="J1" s="269" t="s">
        <v>63</v>
      </c>
      <c r="K1" s="269" t="s">
        <v>64</v>
      </c>
      <c r="L1" s="269" t="s">
        <v>65</v>
      </c>
      <c r="M1" s="269" t="s">
        <v>66</v>
      </c>
      <c r="N1" s="270" t="s">
        <v>67</v>
      </c>
      <c r="O1" s="306" t="s">
        <v>72</v>
      </c>
      <c r="P1" s="199"/>
    </row>
    <row r="2" spans="1:15" s="7" customFormat="1" ht="12.75">
      <c r="A2" s="271" t="s">
        <v>38</v>
      </c>
      <c r="B2" s="137"/>
      <c r="C2" s="137"/>
      <c r="D2" s="138" t="s">
        <v>43</v>
      </c>
      <c r="E2" s="139" t="s">
        <v>21</v>
      </c>
      <c r="F2" s="272">
        <v>11</v>
      </c>
      <c r="G2" s="272">
        <v>21</v>
      </c>
      <c r="H2" s="272">
        <v>22</v>
      </c>
      <c r="I2" s="272">
        <v>23</v>
      </c>
      <c r="J2" s="272">
        <v>31</v>
      </c>
      <c r="K2" s="272">
        <v>33</v>
      </c>
      <c r="L2" s="272">
        <v>41</v>
      </c>
      <c r="M2" s="272">
        <v>51</v>
      </c>
      <c r="N2" s="273">
        <v>56</v>
      </c>
      <c r="O2" s="307" t="s">
        <v>68</v>
      </c>
    </row>
    <row r="3" spans="1:15" ht="12.75">
      <c r="A3" s="239" t="s">
        <v>157</v>
      </c>
      <c r="B3" s="171"/>
      <c r="C3" s="171"/>
      <c r="D3" s="171"/>
      <c r="E3" s="172">
        <v>1</v>
      </c>
      <c r="F3" s="179">
        <f aca="true" t="shared" si="0" ref="F3:O3">SUM(F5:F25)</f>
        <v>414793</v>
      </c>
      <c r="G3" s="179">
        <f t="shared" si="0"/>
        <v>303266</v>
      </c>
      <c r="H3" s="179">
        <f t="shared" si="0"/>
        <v>124663</v>
      </c>
      <c r="I3" s="179">
        <f t="shared" si="0"/>
        <v>156323.325</v>
      </c>
      <c r="J3" s="179">
        <f t="shared" si="0"/>
        <v>577583</v>
      </c>
      <c r="K3" s="179">
        <f t="shared" si="0"/>
        <v>154173</v>
      </c>
      <c r="L3" s="179">
        <f t="shared" si="0"/>
        <v>198625</v>
      </c>
      <c r="M3" s="179">
        <f t="shared" si="0"/>
        <v>75041.00000000001</v>
      </c>
      <c r="N3" s="180">
        <f t="shared" si="0"/>
        <v>145983</v>
      </c>
      <c r="O3" s="308">
        <f t="shared" si="0"/>
        <v>2150450.325</v>
      </c>
    </row>
    <row r="4" spans="1:15" s="5" customFormat="1" ht="12">
      <c r="A4" s="240" t="s">
        <v>10</v>
      </c>
      <c r="B4" s="3" t="s">
        <v>91</v>
      </c>
      <c r="C4" s="3"/>
      <c r="D4" s="3"/>
      <c r="E4" s="8">
        <v>2</v>
      </c>
      <c r="F4" s="37">
        <f>SUM(F5:F15)</f>
        <v>298819</v>
      </c>
      <c r="G4" s="37">
        <f aca="true" t="shared" si="1" ref="G4:M4">SUM(G5:G15)</f>
        <v>229476</v>
      </c>
      <c r="H4" s="37">
        <f t="shared" si="1"/>
        <v>114095</v>
      </c>
      <c r="I4" s="37">
        <f t="shared" si="1"/>
        <v>94736.325</v>
      </c>
      <c r="J4" s="37">
        <f t="shared" si="1"/>
        <v>268734</v>
      </c>
      <c r="K4" s="37">
        <f t="shared" si="1"/>
        <v>107837</v>
      </c>
      <c r="L4" s="37">
        <f t="shared" si="1"/>
        <v>173201</v>
      </c>
      <c r="M4" s="37">
        <f t="shared" si="1"/>
        <v>68105.00000000001</v>
      </c>
      <c r="N4" s="135">
        <f>SUM(N5:N15)</f>
        <v>110214</v>
      </c>
      <c r="O4" s="289">
        <f>SUM(O5:O15)</f>
        <v>1465217.325</v>
      </c>
    </row>
    <row r="5" spans="1:16" s="29" customFormat="1" ht="12">
      <c r="A5" s="241"/>
      <c r="B5" s="27"/>
      <c r="C5" s="27" t="s">
        <v>13</v>
      </c>
      <c r="D5" s="28" t="s">
        <v>17</v>
      </c>
      <c r="E5" s="8">
        <v>3</v>
      </c>
      <c r="F5" s="38">
        <f>LF!F6/1000</f>
        <v>152000</v>
      </c>
      <c r="G5" s="38">
        <f>'FF'!F6/1000</f>
        <v>128435</v>
      </c>
      <c r="H5" s="38">
        <f>PrF!F6/1000</f>
        <v>55780</v>
      </c>
      <c r="I5" s="38">
        <f>FSS!F6/1000</f>
        <v>42662.465</v>
      </c>
      <c r="J5" s="38">
        <f>PřF!F6/1000</f>
        <v>110000</v>
      </c>
      <c r="K5" s="38">
        <f>'FI'!F6/1000</f>
        <v>40617</v>
      </c>
      <c r="L5" s="38">
        <f>PdF!F6/1000</f>
        <v>96685</v>
      </c>
      <c r="M5" s="38">
        <f>FSpS!F6/1000</f>
        <v>30329.522</v>
      </c>
      <c r="N5" s="134">
        <f>ESF!F6/1000</f>
        <v>55393</v>
      </c>
      <c r="O5" s="222">
        <f>SUM(F5:N5)</f>
        <v>711901.987</v>
      </c>
      <c r="P5" s="36"/>
    </row>
    <row r="6" spans="1:15" s="29" customFormat="1" ht="12">
      <c r="A6" s="241"/>
      <c r="B6" s="27"/>
      <c r="C6" s="27"/>
      <c r="D6" s="28" t="s">
        <v>18</v>
      </c>
      <c r="E6" s="8">
        <v>4</v>
      </c>
      <c r="F6" s="38">
        <f>LF!F7/1000</f>
        <v>5000</v>
      </c>
      <c r="G6" s="38">
        <f>'FF'!F7/1000</f>
        <v>3500</v>
      </c>
      <c r="H6" s="38">
        <f>PrF!F7/1000</f>
        <v>1350</v>
      </c>
      <c r="I6" s="38">
        <f>FSS!F7/1000</f>
        <v>1852.297</v>
      </c>
      <c r="J6" s="38">
        <f>PřF!F7/1000</f>
        <v>2370</v>
      </c>
      <c r="K6" s="38">
        <f>'FI'!F7/1000</f>
        <v>1500</v>
      </c>
      <c r="L6" s="38">
        <f>PdF!F7/1000</f>
        <v>7719</v>
      </c>
      <c r="M6" s="38">
        <f>FSpS!F7/1000</f>
        <v>1333.9</v>
      </c>
      <c r="N6" s="134">
        <f>ESF!F7/1000</f>
        <v>2496</v>
      </c>
      <c r="O6" s="222">
        <f aca="true" t="shared" si="2" ref="O6:O41">SUM(F6:N6)</f>
        <v>27121.197</v>
      </c>
    </row>
    <row r="7" spans="1:15" s="29" customFormat="1" ht="12">
      <c r="A7" s="241"/>
      <c r="B7" s="27"/>
      <c r="C7" s="27"/>
      <c r="D7" s="28" t="s">
        <v>19</v>
      </c>
      <c r="E7" s="8">
        <v>5</v>
      </c>
      <c r="F7" s="38">
        <f>LF!F8/1000</f>
        <v>53200</v>
      </c>
      <c r="G7" s="38">
        <f>'FF'!F8/1000</f>
        <v>45337</v>
      </c>
      <c r="H7" s="38">
        <f>PrF!F8/1000</f>
        <v>20000</v>
      </c>
      <c r="I7" s="38">
        <f>FSS!F8/1000</f>
        <v>14931.863</v>
      </c>
      <c r="J7" s="38">
        <f>PřF!F8/1000</f>
        <v>40700</v>
      </c>
      <c r="K7" s="38">
        <f>'FI'!F8/1000</f>
        <v>14742</v>
      </c>
      <c r="L7" s="38">
        <f>PdF!F8/1000</f>
        <v>33490</v>
      </c>
      <c r="M7" s="38">
        <f>FSpS!F8/1000</f>
        <v>11228.091</v>
      </c>
      <c r="N7" s="134">
        <f>ESF!F8/1000</f>
        <v>19388</v>
      </c>
      <c r="O7" s="222">
        <f t="shared" si="2"/>
        <v>253016.95400000003</v>
      </c>
    </row>
    <row r="8" spans="1:15" s="29" customFormat="1" ht="12">
      <c r="A8" s="241"/>
      <c r="B8" s="27"/>
      <c r="C8" s="27"/>
      <c r="D8" s="28" t="s">
        <v>0</v>
      </c>
      <c r="E8" s="8">
        <v>6</v>
      </c>
      <c r="F8" s="38">
        <f>LF!F9/1000</f>
        <v>8500</v>
      </c>
      <c r="G8" s="38">
        <f>'FF'!F9/1000</f>
        <v>6000</v>
      </c>
      <c r="H8" s="38">
        <f>PrF!F9/1000</f>
        <v>4500</v>
      </c>
      <c r="I8" s="38">
        <f>FSS!F9/1000</f>
        <v>2650</v>
      </c>
      <c r="J8" s="38">
        <f>PřF!F9/1000</f>
        <v>12000</v>
      </c>
      <c r="K8" s="38">
        <f>'FI'!F9/1000</f>
        <v>3800</v>
      </c>
      <c r="L8" s="38">
        <f>PdF!F9/1000</f>
        <v>4050</v>
      </c>
      <c r="M8" s="38">
        <f>FSpS!F9/1000</f>
        <v>3485.3</v>
      </c>
      <c r="N8" s="134">
        <f>ESF!F9/1000</f>
        <v>1500</v>
      </c>
      <c r="O8" s="222">
        <f t="shared" si="2"/>
        <v>46485.3</v>
      </c>
    </row>
    <row r="9" spans="1:15" s="29" customFormat="1" ht="12">
      <c r="A9" s="241"/>
      <c r="B9" s="27"/>
      <c r="C9" s="27"/>
      <c r="D9" s="28" t="s">
        <v>1</v>
      </c>
      <c r="E9" s="8">
        <v>7</v>
      </c>
      <c r="F9" s="38">
        <f>LF!F10/1000</f>
        <v>4000</v>
      </c>
      <c r="G9" s="38">
        <f>'FF'!F10/1000</f>
        <v>2000</v>
      </c>
      <c r="H9" s="38">
        <f>PrF!F10/1000</f>
        <v>2500</v>
      </c>
      <c r="I9" s="38">
        <f>FSS!F10/1000</f>
        <v>690</v>
      </c>
      <c r="J9" s="38">
        <f>PřF!F10/1000</f>
        <v>700</v>
      </c>
      <c r="K9" s="38">
        <f>'FI'!F10/1000</f>
        <v>1200</v>
      </c>
      <c r="L9" s="38">
        <f>PdF!F10/1000</f>
        <v>3200</v>
      </c>
      <c r="M9" s="38">
        <f>FSpS!F10/1000</f>
        <v>400</v>
      </c>
      <c r="N9" s="134">
        <f>ESF!F10/1000</f>
        <v>850</v>
      </c>
      <c r="O9" s="222">
        <f t="shared" si="2"/>
        <v>15540</v>
      </c>
    </row>
    <row r="10" spans="1:15" s="29" customFormat="1" ht="12">
      <c r="A10" s="241"/>
      <c r="B10" s="27"/>
      <c r="C10" s="27"/>
      <c r="D10" s="28" t="s">
        <v>2</v>
      </c>
      <c r="E10" s="8">
        <v>8</v>
      </c>
      <c r="F10" s="38">
        <f>LF!F11/1000</f>
        <v>15000</v>
      </c>
      <c r="G10" s="38">
        <f>'FF'!F11/1000</f>
        <v>12000</v>
      </c>
      <c r="H10" s="38">
        <f>PrF!F11/1000</f>
        <v>14000</v>
      </c>
      <c r="I10" s="38">
        <f>FSS!F11/1000</f>
        <v>12650</v>
      </c>
      <c r="J10" s="38">
        <f>PřF!F11/1000</f>
        <v>13000</v>
      </c>
      <c r="K10" s="38">
        <f>'FI'!F11/1000</f>
        <v>10562</v>
      </c>
      <c r="L10" s="38">
        <f>PdF!F11/1000</f>
        <v>10500</v>
      </c>
      <c r="M10" s="38">
        <f>FSpS!F11/1000</f>
        <v>5013.326</v>
      </c>
      <c r="N10" s="134">
        <f>ESF!F11/1000</f>
        <v>7620</v>
      </c>
      <c r="O10" s="222">
        <f t="shared" si="2"/>
        <v>100345.326</v>
      </c>
    </row>
    <row r="11" spans="1:15" s="29" customFormat="1" ht="12">
      <c r="A11" s="241"/>
      <c r="B11" s="27"/>
      <c r="C11" s="27"/>
      <c r="D11" s="28" t="s">
        <v>3</v>
      </c>
      <c r="E11" s="8">
        <v>9</v>
      </c>
      <c r="F11" s="38">
        <f>LF!F12/1000</f>
        <v>13300</v>
      </c>
      <c r="G11" s="38">
        <f>'FF'!F12/1000</f>
        <v>9000</v>
      </c>
      <c r="H11" s="38">
        <f>PrF!F12/1000</f>
        <v>8500</v>
      </c>
      <c r="I11" s="38">
        <f>FSS!F12/1000</f>
        <v>7231.7</v>
      </c>
      <c r="J11" s="38">
        <f>PřF!F12/1000</f>
        <v>12500</v>
      </c>
      <c r="K11" s="38">
        <f>'FI'!F12/1000</f>
        <v>7900</v>
      </c>
      <c r="L11" s="38">
        <f>PdF!F12/1000</f>
        <v>9000</v>
      </c>
      <c r="M11" s="38">
        <f>FSpS!F12/1000</f>
        <v>8283</v>
      </c>
      <c r="N11" s="134">
        <f>ESF!F12/1000</f>
        <v>9200</v>
      </c>
      <c r="O11" s="222">
        <f t="shared" si="2"/>
        <v>84914.7</v>
      </c>
    </row>
    <row r="12" spans="1:15" s="29" customFormat="1" ht="12">
      <c r="A12" s="241"/>
      <c r="B12" s="27"/>
      <c r="C12" s="27"/>
      <c r="D12" s="28" t="s">
        <v>4</v>
      </c>
      <c r="E12" s="8">
        <v>10</v>
      </c>
      <c r="F12" s="38">
        <f>LF!F13/1000</f>
        <v>1000</v>
      </c>
      <c r="G12" s="38">
        <f>'FF'!F13/1000</f>
        <v>1400</v>
      </c>
      <c r="H12" s="38">
        <f>PrF!F13/1000</f>
        <v>400</v>
      </c>
      <c r="I12" s="38">
        <f>FSS!F13/1000</f>
        <v>600</v>
      </c>
      <c r="J12" s="38">
        <f>PřF!F13/1000</f>
        <v>1800</v>
      </c>
      <c r="K12" s="38">
        <f>'FI'!F13/1000</f>
        <v>2500</v>
      </c>
      <c r="L12" s="38">
        <f>PdF!F13/1000</f>
        <v>1000</v>
      </c>
      <c r="M12" s="38">
        <f>FSpS!F13/1000</f>
        <v>1874</v>
      </c>
      <c r="N12" s="134">
        <f>ESF!F13/1000</f>
        <v>1420</v>
      </c>
      <c r="O12" s="222">
        <f t="shared" si="2"/>
        <v>11994</v>
      </c>
    </row>
    <row r="13" spans="1:15" s="29" customFormat="1" ht="13.5">
      <c r="A13" s="241"/>
      <c r="B13" s="27"/>
      <c r="C13" s="27"/>
      <c r="D13" s="28" t="s">
        <v>178</v>
      </c>
      <c r="E13" s="8">
        <v>11</v>
      </c>
      <c r="F13" s="38">
        <f>LF!F14/1000</f>
        <v>29113</v>
      </c>
      <c r="G13" s="38">
        <f>'FF'!F14/1000</f>
        <v>7179</v>
      </c>
      <c r="H13" s="38">
        <f>PrF!F14/1000</f>
        <v>2165</v>
      </c>
      <c r="I13" s="38">
        <f>FSS!F14/1000</f>
        <v>4677</v>
      </c>
      <c r="J13" s="38">
        <f>PřF!F14/1000</f>
        <v>57203</v>
      </c>
      <c r="K13" s="38">
        <f>'FI'!F14/1000</f>
        <v>11960</v>
      </c>
      <c r="L13" s="38">
        <f>PdF!F14/1000</f>
        <v>5477</v>
      </c>
      <c r="M13" s="38">
        <f>FSpS!F14/1000</f>
        <v>2093</v>
      </c>
      <c r="N13" s="134">
        <f>ESF!F14/1000</f>
        <v>5698</v>
      </c>
      <c r="O13" s="222">
        <f t="shared" si="2"/>
        <v>125565</v>
      </c>
    </row>
    <row r="14" spans="1:15" s="29" customFormat="1" ht="12">
      <c r="A14" s="241"/>
      <c r="B14" s="27"/>
      <c r="C14" s="27"/>
      <c r="D14" s="28" t="s">
        <v>6</v>
      </c>
      <c r="E14" s="8">
        <v>12</v>
      </c>
      <c r="F14" s="38">
        <f>LF!F15/1000</f>
        <v>1000</v>
      </c>
      <c r="G14" s="38">
        <f>'FF'!F15/1000</f>
        <v>6800</v>
      </c>
      <c r="H14" s="38">
        <f>PrF!F15/1000</f>
        <v>500</v>
      </c>
      <c r="I14" s="38">
        <f>FSS!F15/1000</f>
        <v>2554</v>
      </c>
      <c r="J14" s="38">
        <f>PřF!F15/1000</f>
        <v>3500</v>
      </c>
      <c r="K14" s="38">
        <f>'FI'!F15/1000</f>
        <v>3288</v>
      </c>
      <c r="L14" s="38">
        <f>PdF!F15/1000</f>
        <v>534</v>
      </c>
      <c r="M14" s="38">
        <f>FSpS!F15/1000</f>
        <v>700</v>
      </c>
      <c r="N14" s="134">
        <f>ESF!F15/1000</f>
        <v>2100</v>
      </c>
      <c r="O14" s="222">
        <f t="shared" si="2"/>
        <v>20976</v>
      </c>
    </row>
    <row r="15" spans="1:15" s="29" customFormat="1" ht="12">
      <c r="A15" s="241"/>
      <c r="B15" s="28"/>
      <c r="C15" s="28"/>
      <c r="D15" s="28" t="s">
        <v>9</v>
      </c>
      <c r="E15" s="8">
        <v>13</v>
      </c>
      <c r="F15" s="38">
        <f>LF!F16/1000</f>
        <v>16706</v>
      </c>
      <c r="G15" s="38">
        <f>'FF'!F16/1000</f>
        <v>7825</v>
      </c>
      <c r="H15" s="38">
        <f>PrF!F16/1000</f>
        <v>4400</v>
      </c>
      <c r="I15" s="38">
        <f>FSS!F16/1000</f>
        <v>4237</v>
      </c>
      <c r="J15" s="38">
        <f>PřF!F16/1000</f>
        <v>14961</v>
      </c>
      <c r="K15" s="38">
        <f>'FI'!F16/1000</f>
        <v>9768</v>
      </c>
      <c r="L15" s="38">
        <f>PdF!F16/1000</f>
        <v>1546</v>
      </c>
      <c r="M15" s="38">
        <f>FSpS!F16/1000</f>
        <v>3364.861</v>
      </c>
      <c r="N15" s="134">
        <f>ESF!F16/1000</f>
        <v>4549</v>
      </c>
      <c r="O15" s="222">
        <f t="shared" si="2"/>
        <v>67356.861</v>
      </c>
    </row>
    <row r="16" spans="1:15" s="5" customFormat="1" ht="12">
      <c r="A16" s="240"/>
      <c r="B16" s="4" t="s">
        <v>14</v>
      </c>
      <c r="C16" s="3"/>
      <c r="D16" s="3"/>
      <c r="E16" s="8">
        <v>14</v>
      </c>
      <c r="F16" s="37">
        <f>LF!F17/1000</f>
        <v>16900</v>
      </c>
      <c r="G16" s="37">
        <f>'FF'!F17/1000</f>
        <v>17000</v>
      </c>
      <c r="H16" s="37">
        <f>PrF!F17/1000</f>
        <v>2535</v>
      </c>
      <c r="I16" s="37">
        <f>FSS!F17/1000</f>
        <v>12337</v>
      </c>
      <c r="J16" s="37">
        <f>PřF!F17/1000</f>
        <v>31000</v>
      </c>
      <c r="K16" s="37">
        <f>'FI'!F17/1000</f>
        <v>4056</v>
      </c>
      <c r="L16" s="37">
        <f>PdF!F17/1000</f>
        <v>5965</v>
      </c>
      <c r="M16" s="37">
        <f>FSpS!F17/1000</f>
        <v>1300</v>
      </c>
      <c r="N16" s="135">
        <f>ESF!F17/1000</f>
        <v>6047</v>
      </c>
      <c r="O16" s="289">
        <f t="shared" si="2"/>
        <v>97140</v>
      </c>
    </row>
    <row r="17" spans="1:15" s="5" customFormat="1" ht="12">
      <c r="A17" s="240"/>
      <c r="B17" s="4" t="s">
        <v>15</v>
      </c>
      <c r="C17" s="3"/>
      <c r="D17" s="3"/>
      <c r="E17" s="8">
        <v>15</v>
      </c>
      <c r="F17" s="37">
        <f>LF!F18/1000</f>
        <v>0</v>
      </c>
      <c r="G17" s="37">
        <f>'FF'!F18/1000</f>
        <v>3000</v>
      </c>
      <c r="H17" s="37">
        <f>PrF!F18/1000</f>
        <v>160</v>
      </c>
      <c r="I17" s="37">
        <f>FSS!F18/1000</f>
        <v>1000</v>
      </c>
      <c r="J17" s="37">
        <f>PřF!F18/1000</f>
        <v>750</v>
      </c>
      <c r="K17" s="37">
        <f>'FI'!F18/1000</f>
        <v>0</v>
      </c>
      <c r="L17" s="37">
        <f>PdF!F18/1000</f>
        <v>44</v>
      </c>
      <c r="M17" s="37">
        <f>FSpS!F18/1000</f>
        <v>120</v>
      </c>
      <c r="N17" s="135">
        <f>ESF!F18/1000</f>
        <v>323</v>
      </c>
      <c r="O17" s="289">
        <f t="shared" si="2"/>
        <v>5397</v>
      </c>
    </row>
    <row r="18" spans="1:15" s="5" customFormat="1" ht="12">
      <c r="A18" s="240"/>
      <c r="B18" s="4" t="s">
        <v>20</v>
      </c>
      <c r="C18" s="3"/>
      <c r="D18" s="3"/>
      <c r="E18" s="8">
        <v>16</v>
      </c>
      <c r="F18" s="37">
        <f>LF!F19/1000</f>
        <v>11132</v>
      </c>
      <c r="G18" s="37">
        <f>'FF'!F19/1000</f>
        <v>3858</v>
      </c>
      <c r="H18" s="37">
        <f>PrF!F19/1000</f>
        <v>300</v>
      </c>
      <c r="I18" s="37">
        <f>FSS!F19/1000</f>
        <v>10503</v>
      </c>
      <c r="J18" s="37">
        <f>PřF!F19/1000</f>
        <v>6000</v>
      </c>
      <c r="K18" s="37">
        <f>'FI'!F19/1000</f>
        <v>2673</v>
      </c>
      <c r="L18" s="37">
        <f>PdF!F19/1000</f>
        <v>6168</v>
      </c>
      <c r="M18" s="37">
        <f>FSpS!F19/1000</f>
        <v>1496</v>
      </c>
      <c r="N18" s="135">
        <f>ESF!F19/1000</f>
        <v>980</v>
      </c>
      <c r="O18" s="289">
        <f t="shared" si="2"/>
        <v>43110</v>
      </c>
    </row>
    <row r="19" spans="1:15" s="5" customFormat="1" ht="12">
      <c r="A19" s="240"/>
      <c r="B19" s="4" t="s">
        <v>16</v>
      </c>
      <c r="C19" s="3"/>
      <c r="D19" s="3"/>
      <c r="E19" s="8">
        <v>17</v>
      </c>
      <c r="F19" s="37">
        <f>LF!F20/1000</f>
        <v>461</v>
      </c>
      <c r="G19" s="37">
        <f>'FF'!F20/1000</f>
        <v>2340</v>
      </c>
      <c r="H19" s="37">
        <f>PrF!F20/1000</f>
        <v>0</v>
      </c>
      <c r="I19" s="37">
        <f>FSS!F20/1000</f>
        <v>419</v>
      </c>
      <c r="J19" s="37">
        <f>PřF!F20/1000</f>
        <v>3622</v>
      </c>
      <c r="K19" s="37">
        <f>'FI'!F20/1000</f>
        <v>95</v>
      </c>
      <c r="L19" s="37">
        <f>PdF!F20/1000</f>
        <v>821</v>
      </c>
      <c r="M19" s="37">
        <f>FSpS!F20/1000</f>
        <v>1070</v>
      </c>
      <c r="N19" s="135">
        <f>ESF!F20/1000</f>
        <v>0</v>
      </c>
      <c r="O19" s="289">
        <f t="shared" si="2"/>
        <v>8828</v>
      </c>
    </row>
    <row r="20" spans="1:15" s="5" customFormat="1" ht="12">
      <c r="A20" s="240"/>
      <c r="B20" s="4" t="s">
        <v>24</v>
      </c>
      <c r="C20" s="4"/>
      <c r="D20" s="4"/>
      <c r="E20" s="8">
        <v>18</v>
      </c>
      <c r="F20" s="37">
        <f>LF!F21/1000</f>
        <v>0</v>
      </c>
      <c r="G20" s="37">
        <f>'FF'!F21/1000</f>
        <v>500</v>
      </c>
      <c r="H20" s="37">
        <f>PrF!F21/1000</f>
        <v>0</v>
      </c>
      <c r="I20" s="37">
        <f>FSS!F21/1000</f>
        <v>0</v>
      </c>
      <c r="J20" s="37">
        <f>PřF!F21/1000</f>
        <v>0</v>
      </c>
      <c r="K20" s="37">
        <f>'FI'!F21/1000</f>
        <v>0</v>
      </c>
      <c r="L20" s="37">
        <f>PdF!F21/1000</f>
        <v>0</v>
      </c>
      <c r="M20" s="37">
        <f>FSpS!F21/1000</f>
        <v>0</v>
      </c>
      <c r="N20" s="135">
        <f>ESF!F21/1000</f>
        <v>0</v>
      </c>
      <c r="O20" s="289">
        <f t="shared" si="2"/>
        <v>500</v>
      </c>
    </row>
    <row r="21" spans="1:15" s="5" customFormat="1" ht="12">
      <c r="A21" s="240"/>
      <c r="B21" s="4" t="s">
        <v>31</v>
      </c>
      <c r="C21" s="4"/>
      <c r="D21" s="4"/>
      <c r="E21" s="8">
        <v>19</v>
      </c>
      <c r="F21" s="37">
        <f>LF!F22/1000</f>
        <v>0</v>
      </c>
      <c r="G21" s="37">
        <f>'FF'!F22/1000</f>
        <v>3000</v>
      </c>
      <c r="H21" s="37">
        <f>PrF!F22/1000</f>
        <v>0</v>
      </c>
      <c r="I21" s="37">
        <f>FSS!F22/1000</f>
        <v>900</v>
      </c>
      <c r="J21" s="37">
        <f>PřF!F22/1000</f>
        <v>5000</v>
      </c>
      <c r="K21" s="37">
        <f>'FI'!F22/1000</f>
        <v>1400</v>
      </c>
      <c r="L21" s="37">
        <f>PdF!F22/1000</f>
        <v>630</v>
      </c>
      <c r="M21" s="37">
        <f>FSpS!F22/1000</f>
        <v>2690</v>
      </c>
      <c r="N21" s="135">
        <f>ESF!F22/1000</f>
        <v>1500</v>
      </c>
      <c r="O21" s="289">
        <f t="shared" si="2"/>
        <v>15120</v>
      </c>
    </row>
    <row r="22" spans="1:15" s="5" customFormat="1" ht="12">
      <c r="A22" s="240"/>
      <c r="B22" s="4" t="s">
        <v>25</v>
      </c>
      <c r="C22" s="4"/>
      <c r="D22" s="4"/>
      <c r="E22" s="8">
        <v>20</v>
      </c>
      <c r="F22" s="37">
        <f>LF!F23/1000</f>
        <v>28885</v>
      </c>
      <c r="G22" s="37">
        <f>'FF'!F23/1000</f>
        <v>22550</v>
      </c>
      <c r="H22" s="37">
        <f>PrF!F23/1000</f>
        <v>6117</v>
      </c>
      <c r="I22" s="37">
        <f>FSS!F23/1000</f>
        <v>26613</v>
      </c>
      <c r="J22" s="37">
        <f>PřF!F23/1000</f>
        <v>152477</v>
      </c>
      <c r="K22" s="37">
        <f>'FI'!F23/1000</f>
        <v>11598</v>
      </c>
      <c r="L22" s="37">
        <f>PdF!F23/1000</f>
        <v>8291</v>
      </c>
      <c r="M22" s="37">
        <f>FSpS!F23/1000</f>
        <v>0</v>
      </c>
      <c r="N22" s="135">
        <f>ESF!F23/1000</f>
        <v>0</v>
      </c>
      <c r="O22" s="289">
        <f t="shared" si="2"/>
        <v>256531</v>
      </c>
    </row>
    <row r="23" spans="1:15" s="5" customFormat="1" ht="12">
      <c r="A23" s="240"/>
      <c r="B23" s="4" t="s">
        <v>26</v>
      </c>
      <c r="C23" s="4"/>
      <c r="D23" s="4"/>
      <c r="E23" s="8">
        <v>21</v>
      </c>
      <c r="F23" s="37">
        <f>LF!F24/1000</f>
        <v>52297</v>
      </c>
      <c r="G23" s="37">
        <f>'FF'!F24/1000</f>
        <v>20542</v>
      </c>
      <c r="H23" s="37">
        <f>PrF!F24/1000</f>
        <v>1111</v>
      </c>
      <c r="I23" s="37">
        <f>FSS!F24/1000</f>
        <v>7000</v>
      </c>
      <c r="J23" s="37">
        <f>PřF!F24/1000</f>
        <v>52000</v>
      </c>
      <c r="K23" s="37">
        <f>'FI'!F24/1000</f>
        <v>20853</v>
      </c>
      <c r="L23" s="37">
        <f>PdF!F24/1000</f>
        <v>3116</v>
      </c>
      <c r="M23" s="37">
        <f>FSpS!F24/1000</f>
        <v>0</v>
      </c>
      <c r="N23" s="135">
        <f>ESF!F24/1000</f>
        <v>22146</v>
      </c>
      <c r="O23" s="289">
        <f t="shared" si="2"/>
        <v>179065</v>
      </c>
    </row>
    <row r="24" spans="1:15" s="5" customFormat="1" ht="12">
      <c r="A24" s="240"/>
      <c r="B24" s="4" t="s">
        <v>27</v>
      </c>
      <c r="C24" s="4"/>
      <c r="D24" s="4"/>
      <c r="E24" s="8">
        <v>22</v>
      </c>
      <c r="F24" s="37">
        <f>LF!F25/1000</f>
        <v>2899</v>
      </c>
      <c r="G24" s="37">
        <f>'FF'!F25/1000</f>
        <v>1000</v>
      </c>
      <c r="H24" s="37">
        <f>PrF!F25/1000</f>
        <v>15</v>
      </c>
      <c r="I24" s="37">
        <f>FSS!F25/1000</f>
        <v>2500</v>
      </c>
      <c r="J24" s="37">
        <f>PřF!F25/1000</f>
        <v>40000</v>
      </c>
      <c r="K24" s="37">
        <f>'FI'!F25/1000</f>
        <v>5661</v>
      </c>
      <c r="L24" s="37">
        <f>PdF!F25/1000</f>
        <v>359</v>
      </c>
      <c r="M24" s="37">
        <f>FSpS!F25/1000</f>
        <v>0</v>
      </c>
      <c r="N24" s="135">
        <f>ESF!F25/1000</f>
        <v>458</v>
      </c>
      <c r="O24" s="289">
        <f t="shared" si="2"/>
        <v>52892</v>
      </c>
    </row>
    <row r="25" spans="1:15" s="5" customFormat="1" ht="12">
      <c r="A25" s="240"/>
      <c r="B25" s="95" t="s">
        <v>30</v>
      </c>
      <c r="C25" s="95"/>
      <c r="D25" s="95"/>
      <c r="E25" s="9">
        <v>23</v>
      </c>
      <c r="F25" s="96">
        <f>LF!F26/1000</f>
        <v>3400</v>
      </c>
      <c r="G25" s="96">
        <f>'FF'!F26/1000</f>
        <v>0</v>
      </c>
      <c r="H25" s="96">
        <f>PrF!F26/1000</f>
        <v>330</v>
      </c>
      <c r="I25" s="96">
        <f>FSS!F26/1000</f>
        <v>315</v>
      </c>
      <c r="J25" s="96">
        <f>PřF!F26/1000</f>
        <v>18000</v>
      </c>
      <c r="K25" s="96">
        <f>'FI'!F26/1000</f>
        <v>0</v>
      </c>
      <c r="L25" s="96">
        <f>PdF!F26/1000</f>
        <v>30</v>
      </c>
      <c r="M25" s="96">
        <f>FSpS!F26/1000</f>
        <v>260</v>
      </c>
      <c r="N25" s="136">
        <f>ESF!F26/1000</f>
        <v>4315</v>
      </c>
      <c r="O25" s="291">
        <f t="shared" si="2"/>
        <v>26650</v>
      </c>
    </row>
    <row r="26" spans="1:15" ht="12.75">
      <c r="A26" s="239" t="s">
        <v>158</v>
      </c>
      <c r="B26" s="171"/>
      <c r="C26" s="171"/>
      <c r="D26" s="171"/>
      <c r="E26" s="172">
        <v>24</v>
      </c>
      <c r="F26" s="179">
        <f aca="true" t="shared" si="3" ref="F26:O26">SUM(F27:F41)</f>
        <v>414793</v>
      </c>
      <c r="G26" s="179">
        <f t="shared" si="3"/>
        <v>303266</v>
      </c>
      <c r="H26" s="179">
        <f t="shared" si="3"/>
        <v>125737</v>
      </c>
      <c r="I26" s="179">
        <f t="shared" si="3"/>
        <v>156742</v>
      </c>
      <c r="J26" s="179">
        <f t="shared" si="3"/>
        <v>577583</v>
      </c>
      <c r="K26" s="179">
        <f t="shared" si="3"/>
        <v>154293</v>
      </c>
      <c r="L26" s="179">
        <f t="shared" si="3"/>
        <v>201825</v>
      </c>
      <c r="M26" s="179">
        <f t="shared" si="3"/>
        <v>76236</v>
      </c>
      <c r="N26" s="180">
        <f t="shared" si="3"/>
        <v>148101</v>
      </c>
      <c r="O26" s="308">
        <f t="shared" si="3"/>
        <v>2158576</v>
      </c>
    </row>
    <row r="27" spans="1:16" s="5" customFormat="1" ht="13.5">
      <c r="A27" s="240" t="s">
        <v>10</v>
      </c>
      <c r="B27" s="3" t="s">
        <v>179</v>
      </c>
      <c r="C27" s="3"/>
      <c r="D27" s="3"/>
      <c r="E27" s="8">
        <v>25</v>
      </c>
      <c r="F27" s="37">
        <f>LF!F28/1000</f>
        <v>226088</v>
      </c>
      <c r="G27" s="37">
        <f>'FF'!F28/1000</f>
        <v>192644</v>
      </c>
      <c r="H27" s="37">
        <f>PrF!F28/1000</f>
        <v>83263</v>
      </c>
      <c r="I27" s="37">
        <f>FSS!F28/1000</f>
        <v>74928</v>
      </c>
      <c r="J27" s="37">
        <f>PřF!F28/1000</f>
        <v>165042</v>
      </c>
      <c r="K27" s="37">
        <f>'FI'!F28/1000</f>
        <v>85010</v>
      </c>
      <c r="L27" s="37">
        <f>PdF!F28/1000</f>
        <v>160601</v>
      </c>
      <c r="M27" s="37">
        <f>FSpS!F28/1000</f>
        <v>61658</v>
      </c>
      <c r="N27" s="135">
        <f>ESF!F28/1000</f>
        <v>85161</v>
      </c>
      <c r="O27" s="289">
        <f t="shared" si="2"/>
        <v>1134395</v>
      </c>
      <c r="P27" s="10"/>
    </row>
    <row r="28" spans="1:16" s="5" customFormat="1" ht="12">
      <c r="A28" s="240"/>
      <c r="B28" s="4" t="s">
        <v>14</v>
      </c>
      <c r="C28" s="4"/>
      <c r="D28" s="4"/>
      <c r="E28" s="8">
        <v>26</v>
      </c>
      <c r="F28" s="200">
        <f>LF!F29/1000</f>
        <v>16900</v>
      </c>
      <c r="G28" s="201">
        <f>'FF'!F29/1000</f>
        <v>17000</v>
      </c>
      <c r="H28" s="200">
        <f>PrF!F29/1000</f>
        <v>2535</v>
      </c>
      <c r="I28" s="201">
        <f>FSS!F29/1000</f>
        <v>12337</v>
      </c>
      <c r="J28" s="200">
        <f>PřF!F29/1000</f>
        <v>31000</v>
      </c>
      <c r="K28" s="201">
        <f>'FI'!F29/1000</f>
        <v>4056</v>
      </c>
      <c r="L28" s="200">
        <f>PdF!F29/1000</f>
        <v>5965</v>
      </c>
      <c r="M28" s="201">
        <f>FSpS!F29/1000</f>
        <v>1300</v>
      </c>
      <c r="N28" s="202">
        <f>ESF!F29/1000</f>
        <v>6047</v>
      </c>
      <c r="O28" s="289">
        <f t="shared" si="2"/>
        <v>97140</v>
      </c>
      <c r="P28" s="10"/>
    </row>
    <row r="29" spans="1:16" s="5" customFormat="1" ht="12">
      <c r="A29" s="240"/>
      <c r="B29" s="4" t="s">
        <v>15</v>
      </c>
      <c r="C29" s="4"/>
      <c r="D29" s="4"/>
      <c r="E29" s="8">
        <v>27</v>
      </c>
      <c r="F29" s="37">
        <f>LF!F30/1000</f>
        <v>0</v>
      </c>
      <c r="G29" s="37">
        <f>'FF'!F30/1000</f>
        <v>3000</v>
      </c>
      <c r="H29" s="37">
        <f>PrF!F30/1000</f>
        <v>160</v>
      </c>
      <c r="I29" s="37">
        <f>FSS!F30/1000</f>
        <v>1000</v>
      </c>
      <c r="J29" s="37">
        <f>PřF!F30/1000</f>
        <v>750</v>
      </c>
      <c r="K29" s="37">
        <f>'FI'!F30/1000</f>
        <v>0</v>
      </c>
      <c r="L29" s="37">
        <f>PdF!F30/1000</f>
        <v>44</v>
      </c>
      <c r="M29" s="37">
        <f>FSpS!F30/1000</f>
        <v>120</v>
      </c>
      <c r="N29" s="135">
        <f>ESF!F30/1000</f>
        <v>323</v>
      </c>
      <c r="O29" s="289">
        <f t="shared" si="2"/>
        <v>5397</v>
      </c>
      <c r="P29" s="10"/>
    </row>
    <row r="30" spans="1:16" s="5" customFormat="1" ht="12">
      <c r="A30" s="240"/>
      <c r="B30" s="4" t="s">
        <v>20</v>
      </c>
      <c r="C30" s="3"/>
      <c r="D30" s="3"/>
      <c r="E30" s="8">
        <v>28</v>
      </c>
      <c r="F30" s="37">
        <f>LF!F31/1000</f>
        <v>11132</v>
      </c>
      <c r="G30" s="200">
        <f>'FF'!F31/1000</f>
        <v>3858</v>
      </c>
      <c r="H30" s="37">
        <f>PrF!F31/1000</f>
        <v>300</v>
      </c>
      <c r="I30" s="200">
        <f>FSS!F31/1000</f>
        <v>10503</v>
      </c>
      <c r="J30" s="37">
        <f>PřF!F31/1000</f>
        <v>6000</v>
      </c>
      <c r="K30" s="200">
        <f>'FI'!F31/1000</f>
        <v>2673</v>
      </c>
      <c r="L30" s="37">
        <f>PdF!F31/1000</f>
        <v>6168</v>
      </c>
      <c r="M30" s="200">
        <f>FSpS!F31/1000</f>
        <v>1496</v>
      </c>
      <c r="N30" s="203">
        <f>ESF!F31/1000</f>
        <v>980</v>
      </c>
      <c r="O30" s="289">
        <f t="shared" si="2"/>
        <v>43110</v>
      </c>
      <c r="P30" s="10"/>
    </row>
    <row r="31" spans="1:16" s="5" customFormat="1" ht="12">
      <c r="A31" s="240"/>
      <c r="B31" s="4" t="s">
        <v>16</v>
      </c>
      <c r="C31" s="4"/>
      <c r="D31" s="4"/>
      <c r="E31" s="8">
        <v>29</v>
      </c>
      <c r="F31" s="37">
        <f>LF!F32/1000</f>
        <v>461</v>
      </c>
      <c r="G31" s="37">
        <f>'FF'!F32/1000</f>
        <v>2340</v>
      </c>
      <c r="H31" s="37">
        <f>PrF!F32/1000</f>
        <v>0</v>
      </c>
      <c r="I31" s="37">
        <f>FSS!F32/1000</f>
        <v>419</v>
      </c>
      <c r="J31" s="37">
        <f>PřF!F32/1000</f>
        <v>3622</v>
      </c>
      <c r="K31" s="37">
        <f>'FI'!F32/1000</f>
        <v>95</v>
      </c>
      <c r="L31" s="37">
        <f>PdF!F32/1000</f>
        <v>821</v>
      </c>
      <c r="M31" s="37">
        <f>FSpS!F32/1000</f>
        <v>1070</v>
      </c>
      <c r="N31" s="135">
        <f>ESF!F32/1000</f>
        <v>0</v>
      </c>
      <c r="O31" s="289">
        <f t="shared" si="2"/>
        <v>8828</v>
      </c>
      <c r="P31" s="10"/>
    </row>
    <row r="32" spans="1:16" s="5" customFormat="1" ht="12">
      <c r="A32" s="240"/>
      <c r="B32" s="4" t="s">
        <v>173</v>
      </c>
      <c r="C32" s="4"/>
      <c r="D32" s="4"/>
      <c r="E32" s="8">
        <v>30</v>
      </c>
      <c r="F32" s="37">
        <f>LF!F33/1000</f>
        <v>0</v>
      </c>
      <c r="G32" s="37">
        <f>'FF'!F33/1000</f>
        <v>0</v>
      </c>
      <c r="H32" s="37">
        <f>PrF!F33/1000</f>
        <v>0</v>
      </c>
      <c r="I32" s="37">
        <f>FSS!F33/1000</f>
        <v>0</v>
      </c>
      <c r="J32" s="37">
        <f>PřF!F33/1000</f>
        <v>0</v>
      </c>
      <c r="K32" s="37">
        <f>'FI'!F33/1000</f>
        <v>0</v>
      </c>
      <c r="L32" s="37">
        <f>PdF!F33/1000</f>
        <v>0</v>
      </c>
      <c r="M32" s="37">
        <f>FSpS!F33/1000</f>
        <v>0</v>
      </c>
      <c r="N32" s="135">
        <f>ESF!F33/1000</f>
        <v>0</v>
      </c>
      <c r="O32" s="289">
        <f t="shared" si="2"/>
        <v>0</v>
      </c>
      <c r="P32" s="10"/>
    </row>
    <row r="33" spans="1:16" s="5" customFormat="1" ht="12">
      <c r="A33" s="240"/>
      <c r="B33" s="4" t="s">
        <v>24</v>
      </c>
      <c r="C33" s="4"/>
      <c r="D33" s="4"/>
      <c r="E33" s="8">
        <v>31</v>
      </c>
      <c r="F33" s="37">
        <f>LF!F34/1000</f>
        <v>0</v>
      </c>
      <c r="G33" s="37">
        <f>'FF'!F34/1000</f>
        <v>500</v>
      </c>
      <c r="H33" s="37">
        <f>PrF!F34/1000</f>
        <v>0</v>
      </c>
      <c r="I33" s="37">
        <f>FSS!F34/1000</f>
        <v>0</v>
      </c>
      <c r="J33" s="37">
        <f>PřF!F34/1000</f>
        <v>0</v>
      </c>
      <c r="K33" s="37">
        <f>'FI'!F34/1000</f>
        <v>0</v>
      </c>
      <c r="L33" s="37">
        <f>PdF!F34/1000</f>
        <v>381</v>
      </c>
      <c r="M33" s="37">
        <f>FSpS!F34/1000</f>
        <v>0</v>
      </c>
      <c r="N33" s="135">
        <f>ESF!F34/1000</f>
        <v>0</v>
      </c>
      <c r="O33" s="289">
        <f t="shared" si="2"/>
        <v>881</v>
      </c>
      <c r="P33" s="10"/>
    </row>
    <row r="34" spans="1:16" s="5" customFormat="1" ht="12">
      <c r="A34" s="240"/>
      <c r="B34" s="4" t="s">
        <v>31</v>
      </c>
      <c r="C34" s="4"/>
      <c r="D34" s="4"/>
      <c r="E34" s="8">
        <v>32</v>
      </c>
      <c r="F34" s="37">
        <f>LF!F35/1000</f>
        <v>0</v>
      </c>
      <c r="G34" s="37">
        <f>'FF'!F35/1000</f>
        <v>3000</v>
      </c>
      <c r="H34" s="37">
        <f>PrF!F35/1000</f>
        <v>0</v>
      </c>
      <c r="I34" s="37">
        <f>FSS!F35/1000</f>
        <v>900</v>
      </c>
      <c r="J34" s="37">
        <f>PřF!F35/1000</f>
        <v>5000</v>
      </c>
      <c r="K34" s="37">
        <f>'FI'!F35/1000</f>
        <v>1500</v>
      </c>
      <c r="L34" s="37">
        <f>PdF!F35/1000</f>
        <v>315</v>
      </c>
      <c r="M34" s="37">
        <f>FSpS!F35/1000</f>
        <v>2690</v>
      </c>
      <c r="N34" s="135">
        <f>ESF!F35/1000</f>
        <v>1500</v>
      </c>
      <c r="O34" s="289">
        <f t="shared" si="2"/>
        <v>14905</v>
      </c>
      <c r="P34" s="10"/>
    </row>
    <row r="35" spans="1:16" s="5" customFormat="1" ht="12">
      <c r="A35" s="240"/>
      <c r="B35" s="4" t="s">
        <v>85</v>
      </c>
      <c r="C35" s="4"/>
      <c r="D35" s="4"/>
      <c r="E35" s="8">
        <v>33</v>
      </c>
      <c r="F35" s="37">
        <f>LF!F36/1000</f>
        <v>24126</v>
      </c>
      <c r="G35" s="37">
        <f>'FF'!F36/1000</f>
        <v>13132</v>
      </c>
      <c r="H35" s="37">
        <f>PrF!F36/1000</f>
        <v>1619</v>
      </c>
      <c r="I35" s="37">
        <f>FSS!F36/1000</f>
        <v>9892</v>
      </c>
      <c r="J35" s="37">
        <f>PřF!F36/1000</f>
        <v>49027</v>
      </c>
      <c r="K35" s="37">
        <f>'FI'!F36/1000</f>
        <v>6980</v>
      </c>
      <c r="L35" s="37">
        <f>PdF!F36/1000</f>
        <v>3134</v>
      </c>
      <c r="M35" s="37">
        <f>FSpS!F36/1000</f>
        <v>297</v>
      </c>
      <c r="N35" s="135">
        <f>ESF!F36/1000</f>
        <v>4708</v>
      </c>
      <c r="O35" s="289">
        <f t="shared" si="2"/>
        <v>112915</v>
      </c>
      <c r="P35" s="10"/>
    </row>
    <row r="36" spans="1:16" s="5" customFormat="1" ht="12">
      <c r="A36" s="240"/>
      <c r="B36" s="4" t="s">
        <v>25</v>
      </c>
      <c r="C36" s="4"/>
      <c r="D36" s="4"/>
      <c r="E36" s="8">
        <v>34</v>
      </c>
      <c r="F36" s="201">
        <f>LF!F37/1000</f>
        <v>28885</v>
      </c>
      <c r="G36" s="37">
        <f>'FF'!F37/1000</f>
        <v>22550</v>
      </c>
      <c r="H36" s="37">
        <f>PrF!F37/1000</f>
        <v>6117</v>
      </c>
      <c r="I36" s="37">
        <f>FSS!F37/1000</f>
        <v>26613</v>
      </c>
      <c r="J36" s="37">
        <f>PřF!F37/1000</f>
        <v>152477</v>
      </c>
      <c r="K36" s="37">
        <f>'FI'!F37/1000</f>
        <v>11598</v>
      </c>
      <c r="L36" s="37">
        <f>PdF!F37/1000</f>
        <v>8291</v>
      </c>
      <c r="M36" s="37">
        <f>FSpS!F37/1000</f>
        <v>0</v>
      </c>
      <c r="N36" s="135">
        <f>ESF!F37/1000</f>
        <v>0</v>
      </c>
      <c r="O36" s="289">
        <f t="shared" si="2"/>
        <v>256531</v>
      </c>
      <c r="P36" s="10"/>
    </row>
    <row r="37" spans="1:16" s="5" customFormat="1" ht="12">
      <c r="A37" s="240"/>
      <c r="B37" s="4" t="s">
        <v>26</v>
      </c>
      <c r="C37" s="4"/>
      <c r="D37" s="4"/>
      <c r="E37" s="8">
        <v>35</v>
      </c>
      <c r="F37" s="37">
        <f>LF!F38/1000</f>
        <v>52297</v>
      </c>
      <c r="G37" s="37">
        <f>'FF'!F38/1000</f>
        <v>20542</v>
      </c>
      <c r="H37" s="37">
        <f>PrF!F38/1000</f>
        <v>823</v>
      </c>
      <c r="I37" s="37">
        <f>FSS!F38/1000</f>
        <v>7000</v>
      </c>
      <c r="J37" s="37">
        <f>PřF!F38/1000</f>
        <v>52000</v>
      </c>
      <c r="K37" s="37">
        <f>'FI'!F38/1000</f>
        <v>20853</v>
      </c>
      <c r="L37" s="37">
        <f>PdF!F38/1000</f>
        <v>3116</v>
      </c>
      <c r="M37" s="37">
        <f>FSpS!F38/1000</f>
        <v>0</v>
      </c>
      <c r="N37" s="135">
        <f>ESF!F38/1000</f>
        <v>22146</v>
      </c>
      <c r="O37" s="289">
        <f t="shared" si="2"/>
        <v>178777</v>
      </c>
      <c r="P37" s="10"/>
    </row>
    <row r="38" spans="1:16" s="5" customFormat="1" ht="12">
      <c r="A38" s="240"/>
      <c r="B38" s="4" t="s">
        <v>27</v>
      </c>
      <c r="C38" s="4"/>
      <c r="D38" s="4"/>
      <c r="E38" s="8">
        <v>36</v>
      </c>
      <c r="F38" s="37">
        <f>LF!F39/1000</f>
        <v>2899</v>
      </c>
      <c r="G38" s="37">
        <f>'FF'!F39/1000</f>
        <v>1000</v>
      </c>
      <c r="H38" s="37">
        <f>PrF!F39/1000</f>
        <v>15</v>
      </c>
      <c r="I38" s="37">
        <f>FSS!F39/1000</f>
        <v>2500</v>
      </c>
      <c r="J38" s="37">
        <f>PřF!F39/1000</f>
        <v>40000</v>
      </c>
      <c r="K38" s="37">
        <f>'FI'!F39/1000</f>
        <v>5661</v>
      </c>
      <c r="L38" s="37">
        <f>PdF!F39/1000</f>
        <v>359</v>
      </c>
      <c r="M38" s="37">
        <f>FSpS!F39/1000</f>
        <v>0</v>
      </c>
      <c r="N38" s="135">
        <f>ESF!F39/1000</f>
        <v>459</v>
      </c>
      <c r="O38" s="289">
        <f t="shared" si="2"/>
        <v>52893</v>
      </c>
      <c r="P38" s="10"/>
    </row>
    <row r="39" spans="1:16" s="5" customFormat="1" ht="13.5">
      <c r="A39" s="240"/>
      <c r="B39" s="4" t="s">
        <v>180</v>
      </c>
      <c r="C39" s="4"/>
      <c r="D39" s="4"/>
      <c r="E39" s="8">
        <v>37</v>
      </c>
      <c r="F39" s="37">
        <f>LF!F40/1000</f>
        <v>44005</v>
      </c>
      <c r="G39" s="37">
        <f>'FF'!F40/1000</f>
        <v>20000</v>
      </c>
      <c r="H39" s="37">
        <f>PrF!F40/1000</f>
        <v>29780</v>
      </c>
      <c r="I39" s="37">
        <f>FSS!F40/1000</f>
        <v>7000</v>
      </c>
      <c r="J39" s="37">
        <f>PřF!F40/1000</f>
        <v>49336</v>
      </c>
      <c r="K39" s="37">
        <f>'FI'!F40/1000</f>
        <v>12721</v>
      </c>
      <c r="L39" s="37">
        <f>PdF!F40/1000</f>
        <v>12600</v>
      </c>
      <c r="M39" s="37">
        <f>FSpS!F40/1000</f>
        <v>6425</v>
      </c>
      <c r="N39" s="135">
        <f>ESF!F40/1000</f>
        <v>20700</v>
      </c>
      <c r="O39" s="289">
        <f t="shared" si="2"/>
        <v>202567</v>
      </c>
      <c r="P39" s="10"/>
    </row>
    <row r="40" spans="1:16" s="5" customFormat="1" ht="12">
      <c r="A40" s="240"/>
      <c r="B40" s="4" t="s">
        <v>29</v>
      </c>
      <c r="C40" s="4"/>
      <c r="D40" s="4"/>
      <c r="E40" s="8">
        <v>38</v>
      </c>
      <c r="F40" s="37">
        <f>LF!F41/1000</f>
        <v>4000</v>
      </c>
      <c r="G40" s="37">
        <f>'FF'!F41/1000</f>
        <v>3700</v>
      </c>
      <c r="H40" s="37">
        <f>PrF!F41/1000</f>
        <v>788</v>
      </c>
      <c r="I40" s="37">
        <f>FSS!F41/1000</f>
        <v>3300</v>
      </c>
      <c r="J40" s="37">
        <f>PřF!F41/1000</f>
        <v>2329</v>
      </c>
      <c r="K40" s="37">
        <f>'FI'!F41/1000</f>
        <v>3146</v>
      </c>
      <c r="L40" s="37">
        <f>PdF!F41/1000</f>
        <v>0</v>
      </c>
      <c r="M40" s="37">
        <f>FSpS!F41/1000</f>
        <v>700</v>
      </c>
      <c r="N40" s="135">
        <f>ESF!F41/1000</f>
        <v>1000</v>
      </c>
      <c r="O40" s="289">
        <f t="shared" si="2"/>
        <v>18963</v>
      </c>
      <c r="P40" s="10"/>
    </row>
    <row r="41" spans="1:16" s="5" customFormat="1" ht="12">
      <c r="A41" s="240"/>
      <c r="B41" s="4" t="s">
        <v>30</v>
      </c>
      <c r="C41" s="4"/>
      <c r="D41" s="4"/>
      <c r="E41" s="8">
        <v>39</v>
      </c>
      <c r="F41" s="37">
        <f>LF!F42/1000</f>
        <v>4000</v>
      </c>
      <c r="G41" s="37">
        <f>'FF'!F42/1000</f>
        <v>0</v>
      </c>
      <c r="H41" s="37">
        <f>PrF!F42/1000</f>
        <v>337</v>
      </c>
      <c r="I41" s="37">
        <f>FSS!F42/1000</f>
        <v>350</v>
      </c>
      <c r="J41" s="37">
        <f>PřF!F42/1000</f>
        <v>21000</v>
      </c>
      <c r="K41" s="37">
        <f>'FI'!F42/1000</f>
        <v>0</v>
      </c>
      <c r="L41" s="37">
        <f>PdF!F42/1000</f>
        <v>30</v>
      </c>
      <c r="M41" s="37">
        <f>FSpS!F42/1000</f>
        <v>480</v>
      </c>
      <c r="N41" s="135">
        <f>ESF!F42/1000</f>
        <v>5077</v>
      </c>
      <c r="O41" s="289">
        <f t="shared" si="2"/>
        <v>31274</v>
      </c>
      <c r="P41" s="10"/>
    </row>
    <row r="42" spans="1:15" s="29" customFormat="1" ht="12" hidden="1">
      <c r="A42" s="241" t="s">
        <v>32</v>
      </c>
      <c r="B42" s="27"/>
      <c r="C42" s="27"/>
      <c r="D42" s="27"/>
      <c r="E42" s="9">
        <v>42</v>
      </c>
      <c r="F42" s="181">
        <f>LF!F43/1000</f>
        <v>0</v>
      </c>
      <c r="G42" s="181">
        <f>'FF'!F43/1000</f>
        <v>0</v>
      </c>
      <c r="H42" s="181">
        <f>PrF!F43/1000</f>
        <v>1362</v>
      </c>
      <c r="I42" s="181">
        <f>FSS!F43/1000</f>
        <v>418.675</v>
      </c>
      <c r="J42" s="181">
        <f>PřF!F43/1000</f>
        <v>0</v>
      </c>
      <c r="K42" s="181">
        <f>'FI'!F43/1000</f>
        <v>20</v>
      </c>
      <c r="L42" s="181">
        <f>PdF!F43/1000</f>
        <v>3134</v>
      </c>
      <c r="M42" s="181">
        <f>FSpS!F43/1000</f>
        <v>1195</v>
      </c>
      <c r="N42" s="182">
        <f>ESF!F43/1000</f>
        <v>2117</v>
      </c>
      <c r="O42" s="300">
        <f>O27+O32+O35+O39+O40+O41-O4-O25</f>
        <v>8246.675000000047</v>
      </c>
    </row>
    <row r="43" spans="1:15" ht="12.75">
      <c r="A43" s="239" t="s">
        <v>165</v>
      </c>
      <c r="B43" s="171"/>
      <c r="C43" s="171"/>
      <c r="D43" s="171"/>
      <c r="E43" s="172">
        <v>40</v>
      </c>
      <c r="F43" s="179">
        <f aca="true" t="shared" si="4" ref="F43:O43">F26-F3</f>
        <v>0</v>
      </c>
      <c r="G43" s="179">
        <f t="shared" si="4"/>
        <v>0</v>
      </c>
      <c r="H43" s="179">
        <f t="shared" si="4"/>
        <v>1074</v>
      </c>
      <c r="I43" s="179">
        <f t="shared" si="4"/>
        <v>418.67499999998836</v>
      </c>
      <c r="J43" s="179">
        <f t="shared" si="4"/>
        <v>0</v>
      </c>
      <c r="K43" s="179">
        <f t="shared" si="4"/>
        <v>120</v>
      </c>
      <c r="L43" s="179">
        <f t="shared" si="4"/>
        <v>3200</v>
      </c>
      <c r="M43" s="179">
        <f t="shared" si="4"/>
        <v>1194.9999999999854</v>
      </c>
      <c r="N43" s="180">
        <f t="shared" si="4"/>
        <v>2118</v>
      </c>
      <c r="O43" s="308">
        <f t="shared" si="4"/>
        <v>8125.674999999814</v>
      </c>
    </row>
    <row r="44" spans="1:15" s="89" customFormat="1" ht="11.25">
      <c r="A44" s="210"/>
      <c r="B44" s="90"/>
      <c r="C44" s="90"/>
      <c r="D44" s="90"/>
      <c r="E44" s="90"/>
      <c r="F44" s="91"/>
      <c r="G44" s="217"/>
      <c r="H44" s="217"/>
      <c r="I44" s="217"/>
      <c r="J44" s="217"/>
      <c r="K44" s="217"/>
      <c r="L44" s="217"/>
      <c r="M44" s="217"/>
      <c r="N44" s="217"/>
      <c r="O44" s="309"/>
    </row>
    <row r="45" spans="1:15" s="89" customFormat="1" ht="11.25">
      <c r="A45" s="210" t="s">
        <v>141</v>
      </c>
      <c r="B45" s="90"/>
      <c r="C45" s="90"/>
      <c r="D45" s="90"/>
      <c r="E45" s="90"/>
      <c r="F45" s="91">
        <f>LF!F46/1000</f>
        <v>29113</v>
      </c>
      <c r="G45" s="91">
        <f>'FF'!F46/1000</f>
        <v>7179</v>
      </c>
      <c r="H45" s="91">
        <f>PrF!F46/1000</f>
        <v>2165</v>
      </c>
      <c r="I45" s="91">
        <f>FSS!F46/1000</f>
        <v>6963</v>
      </c>
      <c r="J45" s="91">
        <f>PřF!F46/1000</f>
        <v>57203</v>
      </c>
      <c r="K45" s="91">
        <f>'FI'!F46/1000</f>
        <v>11960</v>
      </c>
      <c r="L45" s="91">
        <f>PdF!F46/1000</f>
        <v>5477</v>
      </c>
      <c r="M45" s="91">
        <f>FSpS!F46/1000</f>
        <v>2093</v>
      </c>
      <c r="N45" s="91">
        <f>ESF!F46/1000</f>
        <v>5698</v>
      </c>
      <c r="O45" s="234">
        <f>SUM(F45:N45)</f>
        <v>127851</v>
      </c>
    </row>
    <row r="46" spans="1:16" s="89" customFormat="1" ht="11.25">
      <c r="A46" s="142" t="s">
        <v>142</v>
      </c>
      <c r="B46" s="90"/>
      <c r="C46" s="90"/>
      <c r="D46" s="90"/>
      <c r="E46" s="90"/>
      <c r="F46" s="91">
        <f>LF!F47/1000</f>
        <v>10108</v>
      </c>
      <c r="G46" s="91">
        <f>'FF'!F47/1000</f>
        <v>1956</v>
      </c>
      <c r="H46" s="91">
        <f>PrF!F47/1000</f>
        <v>1085</v>
      </c>
      <c r="I46" s="91">
        <f>FSS!F47/1000</f>
        <v>1527</v>
      </c>
      <c r="J46" s="91">
        <f>PřF!F47/1000</f>
        <v>16985</v>
      </c>
      <c r="K46" s="91">
        <f>'FI'!F47/1000</f>
        <v>2039</v>
      </c>
      <c r="L46" s="91">
        <f>PdF!F47/1000</f>
        <v>1414</v>
      </c>
      <c r="M46" s="91">
        <f>FSpS!F47/1000</f>
        <v>1833</v>
      </c>
      <c r="N46" s="91">
        <f>ESF!F47/1000</f>
        <v>1229</v>
      </c>
      <c r="O46" s="235">
        <f aca="true" t="shared" si="5" ref="O46:O52">SUM(F46:N46)</f>
        <v>38176</v>
      </c>
      <c r="P46" s="217"/>
    </row>
    <row r="47" spans="1:15" s="89" customFormat="1" ht="11.25">
      <c r="A47" s="142" t="s">
        <v>143</v>
      </c>
      <c r="B47" s="90"/>
      <c r="C47" s="90"/>
      <c r="D47" s="90"/>
      <c r="E47" s="90"/>
      <c r="F47" s="91">
        <f>LF!F48/1000</f>
        <v>19005</v>
      </c>
      <c r="G47" s="91">
        <f>'FF'!F48/1000</f>
        <v>5223</v>
      </c>
      <c r="H47" s="91">
        <f>PrF!F48/1000</f>
        <v>1080</v>
      </c>
      <c r="I47" s="91">
        <f>FSS!F48/1000</f>
        <v>5436</v>
      </c>
      <c r="J47" s="91">
        <f>PřF!F48/1000</f>
        <v>40218</v>
      </c>
      <c r="K47" s="91">
        <f>'FI'!F48/1000</f>
        <v>9921</v>
      </c>
      <c r="L47" s="91">
        <f>PdF!F48/1000</f>
        <v>4063</v>
      </c>
      <c r="M47" s="91">
        <f>FSpS!F48/1000</f>
        <v>260</v>
      </c>
      <c r="N47" s="91">
        <f>ESF!F48/1000</f>
        <v>4469</v>
      </c>
      <c r="O47" s="234">
        <f t="shared" si="5"/>
        <v>89675</v>
      </c>
    </row>
    <row r="48" spans="1:15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234">
        <f t="shared" si="5"/>
        <v>0</v>
      </c>
    </row>
    <row r="49" spans="1:15" s="89" customFormat="1" ht="11.25">
      <c r="A49" s="90" t="s">
        <v>170</v>
      </c>
      <c r="B49" s="90"/>
      <c r="C49" s="90"/>
      <c r="D49" s="90"/>
      <c r="E49" s="90"/>
      <c r="F49" s="91">
        <v>215980</v>
      </c>
      <c r="G49" s="91">
        <v>190688</v>
      </c>
      <c r="H49" s="91">
        <v>82178</v>
      </c>
      <c r="I49" s="91">
        <v>73401</v>
      </c>
      <c r="J49" s="91">
        <v>148057</v>
      </c>
      <c r="K49" s="91">
        <v>78471</v>
      </c>
      <c r="L49" s="91">
        <v>159187</v>
      </c>
      <c r="M49" s="91">
        <v>41005</v>
      </c>
      <c r="N49" s="91">
        <v>83932</v>
      </c>
      <c r="O49" s="234">
        <f t="shared" si="5"/>
        <v>1072899</v>
      </c>
    </row>
    <row r="50" spans="1:15" s="89" customFormat="1" ht="11.25">
      <c r="A50" s="90" t="s">
        <v>146</v>
      </c>
      <c r="B50" s="90"/>
      <c r="C50" s="90"/>
      <c r="D50" s="90"/>
      <c r="F50" s="91"/>
      <c r="G50" s="91"/>
      <c r="H50" s="91"/>
      <c r="I50" s="91"/>
      <c r="J50" s="91"/>
      <c r="K50" s="91">
        <v>4500</v>
      </c>
      <c r="L50" s="91"/>
      <c r="M50" s="91">
        <v>18820</v>
      </c>
      <c r="N50" s="91"/>
      <c r="O50" s="234">
        <f t="shared" si="5"/>
        <v>23320</v>
      </c>
    </row>
    <row r="51" spans="1:15" s="89" customFormat="1" ht="11.25">
      <c r="A51" s="90" t="s">
        <v>171</v>
      </c>
      <c r="B51" s="90"/>
      <c r="C51" s="90"/>
      <c r="D51" s="90"/>
      <c r="F51" s="91">
        <f>F46</f>
        <v>10108</v>
      </c>
      <c r="G51" s="91">
        <f aca="true" t="shared" si="6" ref="G51:N51">G46</f>
        <v>1956</v>
      </c>
      <c r="H51" s="91">
        <f t="shared" si="6"/>
        <v>1085</v>
      </c>
      <c r="I51" s="91">
        <f t="shared" si="6"/>
        <v>1527</v>
      </c>
      <c r="J51" s="91">
        <f t="shared" si="6"/>
        <v>16985</v>
      </c>
      <c r="K51" s="91">
        <f t="shared" si="6"/>
        <v>2039</v>
      </c>
      <c r="L51" s="91">
        <f t="shared" si="6"/>
        <v>1414</v>
      </c>
      <c r="M51" s="91">
        <f t="shared" si="6"/>
        <v>1833</v>
      </c>
      <c r="N51" s="91">
        <f t="shared" si="6"/>
        <v>1229</v>
      </c>
      <c r="O51" s="234">
        <f t="shared" si="5"/>
        <v>38176</v>
      </c>
    </row>
    <row r="52" spans="1:15" s="89" customFormat="1" ht="11.25">
      <c r="A52" s="90" t="s">
        <v>169</v>
      </c>
      <c r="B52" s="90"/>
      <c r="C52" s="90"/>
      <c r="D52" s="90"/>
      <c r="F52" s="91">
        <f>SUM(F49:F51)</f>
        <v>226088</v>
      </c>
      <c r="G52" s="91">
        <f aca="true" t="shared" si="7" ref="G52:N52">SUM(G49:G51)</f>
        <v>192644</v>
      </c>
      <c r="H52" s="91">
        <f t="shared" si="7"/>
        <v>83263</v>
      </c>
      <c r="I52" s="91">
        <f t="shared" si="7"/>
        <v>74928</v>
      </c>
      <c r="J52" s="91">
        <f t="shared" si="7"/>
        <v>165042</v>
      </c>
      <c r="K52" s="91">
        <f t="shared" si="7"/>
        <v>85010</v>
      </c>
      <c r="L52" s="91">
        <f t="shared" si="7"/>
        <v>160601</v>
      </c>
      <c r="M52" s="91">
        <f t="shared" si="7"/>
        <v>61658</v>
      </c>
      <c r="N52" s="91">
        <f t="shared" si="7"/>
        <v>85161</v>
      </c>
      <c r="O52" s="234">
        <f t="shared" si="5"/>
        <v>1134395</v>
      </c>
    </row>
    <row r="53" spans="1:15" s="313" customFormat="1" ht="11.25">
      <c r="A53" s="312"/>
      <c r="B53" s="312"/>
      <c r="C53" s="312"/>
      <c r="D53" s="312"/>
      <c r="F53" s="206">
        <f>F27-F52</f>
        <v>0</v>
      </c>
      <c r="G53" s="206">
        <f aca="true" t="shared" si="8" ref="G53:O53">G27-G52</f>
        <v>0</v>
      </c>
      <c r="H53" s="206">
        <f t="shared" si="8"/>
        <v>0</v>
      </c>
      <c r="I53" s="206">
        <f t="shared" si="8"/>
        <v>0</v>
      </c>
      <c r="J53" s="206">
        <f t="shared" si="8"/>
        <v>0</v>
      </c>
      <c r="K53" s="206">
        <f t="shared" si="8"/>
        <v>0</v>
      </c>
      <c r="L53" s="206">
        <f t="shared" si="8"/>
        <v>0</v>
      </c>
      <c r="M53" s="206">
        <f t="shared" si="8"/>
        <v>0</v>
      </c>
      <c r="N53" s="206">
        <f t="shared" si="8"/>
        <v>0</v>
      </c>
      <c r="O53" s="314">
        <f t="shared" si="8"/>
        <v>0</v>
      </c>
    </row>
  </sheetData>
  <mergeCells count="1">
    <mergeCell ref="A1:D1"/>
  </mergeCells>
  <printOptions/>
  <pageMargins left="0.42" right="0.31" top="0.35" bottom="0.32" header="0.2" footer="0.19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tabColor indexed="43"/>
  </sheetPr>
  <dimension ref="A1:Q53"/>
  <sheetViews>
    <sheetView workbookViewId="0" topLeftCell="A1">
      <selection activeCell="D9" sqref="D9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9.75390625" style="5" customWidth="1"/>
    <col min="5" max="5" width="3.75390625" style="5" customWidth="1"/>
    <col min="6" max="6" width="9.25390625" style="5" customWidth="1"/>
    <col min="7" max="7" width="10.75390625" style="5" customWidth="1"/>
    <col min="8" max="14" width="9.25390625" style="5" customWidth="1"/>
    <col min="15" max="15" width="10.25390625" style="5" customWidth="1"/>
    <col min="16" max="16" width="9.625" style="5" hidden="1" customWidth="1"/>
    <col min="17" max="16384" width="9.125" style="5" customWidth="1"/>
  </cols>
  <sheetData>
    <row r="1" spans="1:17" ht="12.75">
      <c r="A1" s="610" t="s">
        <v>139</v>
      </c>
      <c r="B1" s="611"/>
      <c r="C1" s="611"/>
      <c r="D1" s="612"/>
      <c r="E1" s="242"/>
      <c r="F1" s="260" t="s">
        <v>69</v>
      </c>
      <c r="G1" s="263" t="s">
        <v>148</v>
      </c>
      <c r="H1" s="260" t="s">
        <v>134</v>
      </c>
      <c r="I1" s="260" t="s">
        <v>135</v>
      </c>
      <c r="J1" s="260" t="s">
        <v>70</v>
      </c>
      <c r="K1" s="260" t="s">
        <v>55</v>
      </c>
      <c r="L1" s="260" t="s">
        <v>71</v>
      </c>
      <c r="M1" s="260" t="s">
        <v>56</v>
      </c>
      <c r="N1" s="281" t="s">
        <v>57</v>
      </c>
      <c r="O1" s="287" t="s">
        <v>9</v>
      </c>
      <c r="P1" s="31" t="s">
        <v>11</v>
      </c>
      <c r="Q1" s="204"/>
    </row>
    <row r="2" spans="1:17" ht="13.5" thickBot="1">
      <c r="A2" s="240" t="s">
        <v>39</v>
      </c>
      <c r="B2" s="256"/>
      <c r="C2" s="256"/>
      <c r="D2" s="257" t="s">
        <v>44</v>
      </c>
      <c r="E2" s="244" t="s">
        <v>21</v>
      </c>
      <c r="F2" s="276">
        <v>81</v>
      </c>
      <c r="G2" s="257">
        <v>82</v>
      </c>
      <c r="H2" s="276">
        <v>83</v>
      </c>
      <c r="I2" s="276">
        <v>84</v>
      </c>
      <c r="J2" s="276">
        <v>92</v>
      </c>
      <c r="K2" s="276">
        <v>94</v>
      </c>
      <c r="L2" s="276">
        <v>96</v>
      </c>
      <c r="M2" s="276">
        <v>97</v>
      </c>
      <c r="N2" s="282">
        <v>99</v>
      </c>
      <c r="O2" s="288" t="s">
        <v>129</v>
      </c>
      <c r="P2" s="34" t="s">
        <v>12</v>
      </c>
      <c r="Q2" s="204"/>
    </row>
    <row r="3" spans="1:16" ht="13.5" thickBot="1">
      <c r="A3" s="239" t="s">
        <v>157</v>
      </c>
      <c r="B3" s="171"/>
      <c r="C3" s="171"/>
      <c r="D3" s="171"/>
      <c r="E3" s="245">
        <v>1</v>
      </c>
      <c r="F3" s="262">
        <f aca="true" t="shared" si="0" ref="F3:P3">SUM(F5:F25)</f>
        <v>153277</v>
      </c>
      <c r="G3" s="265">
        <f>SUM(G5:G25)</f>
        <v>14174000</v>
      </c>
      <c r="H3" s="262">
        <f t="shared" si="0"/>
        <v>4757</v>
      </c>
      <c r="I3" s="262">
        <f t="shared" si="0"/>
        <v>15380</v>
      </c>
      <c r="J3" s="262">
        <f t="shared" si="0"/>
        <v>204583</v>
      </c>
      <c r="K3" s="262">
        <f t="shared" si="0"/>
        <v>8064</v>
      </c>
      <c r="L3" s="262">
        <f t="shared" si="0"/>
        <v>24230.715</v>
      </c>
      <c r="M3" s="262">
        <f t="shared" si="0"/>
        <v>55489.2</v>
      </c>
      <c r="N3" s="283">
        <f t="shared" si="0"/>
        <v>286333.215</v>
      </c>
      <c r="O3" s="255">
        <f t="shared" si="0"/>
        <v>14926114.13</v>
      </c>
      <c r="P3" s="46" t="e">
        <f t="shared" si="0"/>
        <v>#REF!</v>
      </c>
    </row>
    <row r="4" spans="1:16" ht="12">
      <c r="A4" s="240" t="s">
        <v>10</v>
      </c>
      <c r="B4" s="3" t="s">
        <v>91</v>
      </c>
      <c r="C4" s="3"/>
      <c r="D4" s="3"/>
      <c r="E4" s="246">
        <v>2</v>
      </c>
      <c r="F4" s="37">
        <f aca="true" t="shared" si="1" ref="F4:P4">SUM(F5:F15)</f>
        <v>128277</v>
      </c>
      <c r="G4" s="266">
        <f>SUM(G5:G15)</f>
        <v>14174000</v>
      </c>
      <c r="H4" s="37">
        <f t="shared" si="1"/>
        <v>4757</v>
      </c>
      <c r="I4" s="37">
        <f t="shared" si="1"/>
        <v>1860</v>
      </c>
      <c r="J4" s="37">
        <f t="shared" si="1"/>
        <v>151292</v>
      </c>
      <c r="K4" s="37">
        <f t="shared" si="1"/>
        <v>8064</v>
      </c>
      <c r="L4" s="37">
        <f t="shared" si="1"/>
        <v>22318</v>
      </c>
      <c r="M4" s="37">
        <f t="shared" si="1"/>
        <v>10459.199999999999</v>
      </c>
      <c r="N4" s="135">
        <f t="shared" si="1"/>
        <v>275645.265</v>
      </c>
      <c r="O4" s="289">
        <f t="shared" si="1"/>
        <v>14776672.465000002</v>
      </c>
      <c r="P4" s="47" t="e">
        <f t="shared" si="1"/>
        <v>#REF!</v>
      </c>
    </row>
    <row r="5" spans="1:16" s="29" customFormat="1" ht="12">
      <c r="A5" s="241"/>
      <c r="B5" s="27"/>
      <c r="C5" s="27" t="s">
        <v>13</v>
      </c>
      <c r="D5" s="28" t="s">
        <v>17</v>
      </c>
      <c r="E5" s="246">
        <v>3</v>
      </c>
      <c r="F5" s="38">
        <f>SKM!F6/1000</f>
        <v>29933</v>
      </c>
      <c r="G5" s="267">
        <f>SUKB!F6</f>
        <v>0</v>
      </c>
      <c r="H5" s="38">
        <f>UCT!F6/1000</f>
        <v>1065</v>
      </c>
      <c r="I5" s="38">
        <f>SPSSN!F6/1000</f>
        <v>320</v>
      </c>
      <c r="J5" s="38">
        <f>ÚVT!F6/1000</f>
        <v>43000</v>
      </c>
      <c r="K5" s="38">
        <f>VMU!F6/1000</f>
        <v>2340</v>
      </c>
      <c r="L5" s="38">
        <f>CJV!F6/1000</f>
        <v>14471</v>
      </c>
      <c r="M5" s="38">
        <f>CZS!F6/1000</f>
        <v>3120</v>
      </c>
      <c r="N5" s="134">
        <f>RMU!F6/1000</f>
        <v>48649.229</v>
      </c>
      <c r="O5" s="222">
        <f>SUM(F5:N5)</f>
        <v>142898.229</v>
      </c>
      <c r="P5" s="48" t="e">
        <f>#REF!+#REF!+#REF!+#REF!+#REF!+#REF!+#REF!</f>
        <v>#REF!</v>
      </c>
    </row>
    <row r="6" spans="1:16" s="29" customFormat="1" ht="12">
      <c r="A6" s="241"/>
      <c r="B6" s="27"/>
      <c r="C6" s="27"/>
      <c r="D6" s="28" t="s">
        <v>18</v>
      </c>
      <c r="E6" s="246">
        <v>4</v>
      </c>
      <c r="F6" s="38">
        <f>SKM!F7/1000</f>
        <v>0</v>
      </c>
      <c r="G6" s="267">
        <f>SUKB!F7</f>
        <v>0</v>
      </c>
      <c r="H6" s="38">
        <f>UCT!F7/1000</f>
        <v>140</v>
      </c>
      <c r="I6" s="38">
        <f>SPSSN!F7/1000</f>
        <v>100</v>
      </c>
      <c r="J6" s="38">
        <f>ÚVT!F7/1000</f>
        <v>1450</v>
      </c>
      <c r="K6" s="38">
        <f>VMU!F7/1000</f>
        <v>125</v>
      </c>
      <c r="L6" s="38">
        <f>CJV!F7/1000</f>
        <v>836</v>
      </c>
      <c r="M6" s="38">
        <f>CZS!F7/1000</f>
        <v>390</v>
      </c>
      <c r="N6" s="134">
        <f>RMU!F7/1000</f>
        <v>2071.567</v>
      </c>
      <c r="O6" s="222">
        <f aca="true" t="shared" si="2" ref="O6:O41">SUM(F6:N6)</f>
        <v>5112.567</v>
      </c>
      <c r="P6" s="48" t="e">
        <f>SKM!#REF!</f>
        <v>#REF!</v>
      </c>
    </row>
    <row r="7" spans="1:16" s="29" customFormat="1" ht="12">
      <c r="A7" s="241"/>
      <c r="B7" s="27"/>
      <c r="C7" s="27"/>
      <c r="D7" s="28" t="s">
        <v>19</v>
      </c>
      <c r="E7" s="246">
        <v>5</v>
      </c>
      <c r="F7" s="38">
        <f>SKM!F8/1000</f>
        <v>10566</v>
      </c>
      <c r="G7" s="267">
        <f>SUKB!F8</f>
        <v>0</v>
      </c>
      <c r="H7" s="38">
        <f>UCT!F8/1000</f>
        <v>422</v>
      </c>
      <c r="I7" s="38">
        <f>SPSSN!F8/1000</f>
        <v>140</v>
      </c>
      <c r="J7" s="38">
        <f>ÚVT!F8/1000</f>
        <v>15500</v>
      </c>
      <c r="K7" s="38">
        <f>VMU!F8/1000</f>
        <v>933</v>
      </c>
      <c r="L7" s="38">
        <f>CJV!F8/1000</f>
        <v>5571</v>
      </c>
      <c r="M7" s="38">
        <f>CZS!F8/1000</f>
        <v>1154.4</v>
      </c>
      <c r="N7" s="134">
        <f>RMU!F8/1000</f>
        <v>18205.443</v>
      </c>
      <c r="O7" s="222">
        <f t="shared" si="2"/>
        <v>52491.843</v>
      </c>
      <c r="P7" s="48" t="e">
        <f>SKM!#REF!</f>
        <v>#REF!</v>
      </c>
    </row>
    <row r="8" spans="1:16" s="29" customFormat="1" ht="12">
      <c r="A8" s="241"/>
      <c r="B8" s="27"/>
      <c r="C8" s="27"/>
      <c r="D8" s="28" t="s">
        <v>0</v>
      </c>
      <c r="E8" s="246">
        <v>6</v>
      </c>
      <c r="F8" s="38">
        <f>SKM!F9/1000</f>
        <v>28000</v>
      </c>
      <c r="G8" s="267">
        <f>SUKB!F9</f>
        <v>0</v>
      </c>
      <c r="H8" s="38">
        <f>UCT!F9/1000</f>
        <v>900</v>
      </c>
      <c r="I8" s="38">
        <f>SPSSN!F9/1000</f>
        <v>90</v>
      </c>
      <c r="J8" s="38">
        <f>ÚVT!F9/1000</f>
        <v>4700</v>
      </c>
      <c r="K8" s="38">
        <f>VMU!F9/1000</f>
        <v>171</v>
      </c>
      <c r="L8" s="38">
        <f>CJV!F9/1000</f>
        <v>45</v>
      </c>
      <c r="M8" s="38">
        <f>CZS!F9/1000</f>
        <v>90</v>
      </c>
      <c r="N8" s="134">
        <f>RMU!F9/1000</f>
        <v>2760.061</v>
      </c>
      <c r="O8" s="222">
        <f t="shared" si="2"/>
        <v>36756.061</v>
      </c>
      <c r="P8" s="48" t="e">
        <f>SKM!#REF!</f>
        <v>#REF!</v>
      </c>
    </row>
    <row r="9" spans="1:16" s="29" customFormat="1" ht="12">
      <c r="A9" s="241"/>
      <c r="B9" s="27"/>
      <c r="C9" s="27"/>
      <c r="D9" s="28" t="s">
        <v>1</v>
      </c>
      <c r="E9" s="246">
        <v>7</v>
      </c>
      <c r="F9" s="38">
        <f>SKM!F10/1000</f>
        <v>12000</v>
      </c>
      <c r="G9" s="267">
        <f>SUKB!F10</f>
        <v>0</v>
      </c>
      <c r="H9" s="38">
        <f>UCT!F10/1000</f>
        <v>300</v>
      </c>
      <c r="I9" s="38">
        <f>SPSSN!F10/1000</f>
        <v>50</v>
      </c>
      <c r="J9" s="38">
        <f>ÚVT!F10/1000</f>
        <v>3200</v>
      </c>
      <c r="K9" s="38">
        <f>VMU!F10/1000</f>
        <v>250</v>
      </c>
      <c r="L9" s="38">
        <f>CJV!F10/1000</f>
        <v>55</v>
      </c>
      <c r="M9" s="38">
        <f>CZS!F10/1000</f>
        <v>50</v>
      </c>
      <c r="N9" s="134">
        <f>RMU!F10/1000</f>
        <v>25196.1</v>
      </c>
      <c r="O9" s="222">
        <f t="shared" si="2"/>
        <v>41101.1</v>
      </c>
      <c r="P9" s="48" t="e">
        <f>SKM!#REF!</f>
        <v>#REF!</v>
      </c>
    </row>
    <row r="10" spans="1:16" s="29" customFormat="1" ht="12">
      <c r="A10" s="241"/>
      <c r="B10" s="27"/>
      <c r="C10" s="27"/>
      <c r="D10" s="28" t="s">
        <v>2</v>
      </c>
      <c r="E10" s="246">
        <v>8</v>
      </c>
      <c r="F10" s="38">
        <f>SKM!F11/1000</f>
        <v>26000</v>
      </c>
      <c r="G10" s="267">
        <f>SUKB!F11</f>
        <v>0</v>
      </c>
      <c r="H10" s="38">
        <f>UCT!F11/1000</f>
        <v>1128</v>
      </c>
      <c r="I10" s="38">
        <f>SPSSN!F11/1000</f>
        <v>100</v>
      </c>
      <c r="J10" s="38">
        <f>ÚVT!F11/1000</f>
        <v>16500</v>
      </c>
      <c r="K10" s="38">
        <f>VMU!F11/1000</f>
        <v>2100</v>
      </c>
      <c r="L10" s="38">
        <f>CJV!F11/1000</f>
        <v>978</v>
      </c>
      <c r="M10" s="38">
        <f>CZS!F11/1000</f>
        <v>941</v>
      </c>
      <c r="N10" s="134">
        <f>RMU!F11/1000</f>
        <v>8947.093</v>
      </c>
      <c r="O10" s="222">
        <f t="shared" si="2"/>
        <v>56694.093</v>
      </c>
      <c r="P10" s="48" t="e">
        <f>SKM!#REF!</f>
        <v>#REF!</v>
      </c>
    </row>
    <row r="11" spans="1:16" s="29" customFormat="1" ht="12">
      <c r="A11" s="241"/>
      <c r="B11" s="27"/>
      <c r="C11" s="27"/>
      <c r="D11" s="28" t="s">
        <v>3</v>
      </c>
      <c r="E11" s="246">
        <v>9</v>
      </c>
      <c r="F11" s="38">
        <f>SKM!F12/1000</f>
        <v>17000</v>
      </c>
      <c r="G11" s="267">
        <f>SUKB!F12</f>
        <v>0</v>
      </c>
      <c r="H11" s="38">
        <f>UCT!F12/1000</f>
        <v>100</v>
      </c>
      <c r="I11" s="38">
        <f>SPSSN!F12/1000</f>
        <v>500</v>
      </c>
      <c r="J11" s="38">
        <f>ÚVT!F12/1000</f>
        <v>24700</v>
      </c>
      <c r="K11" s="38">
        <f>VMU!F12/1000</f>
        <v>1400</v>
      </c>
      <c r="L11" s="38">
        <f>CJV!F12/1000</f>
        <v>85</v>
      </c>
      <c r="M11" s="38">
        <f>CZS!F12/1000</f>
        <v>1265</v>
      </c>
      <c r="N11" s="134">
        <f>RMU!F12/1000</f>
        <v>35629.714</v>
      </c>
      <c r="O11" s="222">
        <f t="shared" si="2"/>
        <v>80679.714</v>
      </c>
      <c r="P11" s="48" t="e">
        <f>SKM!#REF!</f>
        <v>#REF!</v>
      </c>
    </row>
    <row r="12" spans="1:16" s="29" customFormat="1" ht="12">
      <c r="A12" s="241"/>
      <c r="B12" s="27"/>
      <c r="C12" s="27"/>
      <c r="D12" s="28" t="s">
        <v>4</v>
      </c>
      <c r="E12" s="246">
        <v>10</v>
      </c>
      <c r="F12" s="38">
        <f>SKM!F13/1000</f>
        <v>102</v>
      </c>
      <c r="G12" s="267">
        <f>SUKB!F13</f>
        <v>0</v>
      </c>
      <c r="H12" s="38">
        <f>UCT!F13/1000</f>
        <v>25</v>
      </c>
      <c r="I12" s="38">
        <f>SPSSN!F13/1000</f>
        <v>10</v>
      </c>
      <c r="J12" s="38">
        <f>ÚVT!F13/1000</f>
        <v>2500</v>
      </c>
      <c r="K12" s="38">
        <f>VMU!F13/1000</f>
        <v>0</v>
      </c>
      <c r="L12" s="38">
        <f>CJV!F13/1000</f>
        <v>90</v>
      </c>
      <c r="M12" s="38">
        <f>CZS!F13/1000</f>
        <v>950</v>
      </c>
      <c r="N12" s="134">
        <f>RMU!F13/1000</f>
        <v>1805.103</v>
      </c>
      <c r="O12" s="222">
        <f t="shared" si="2"/>
        <v>5482.103</v>
      </c>
      <c r="P12" s="48" t="e">
        <f>SKM!#REF!</f>
        <v>#REF!</v>
      </c>
    </row>
    <row r="13" spans="1:16" s="29" customFormat="1" ht="13.5">
      <c r="A13" s="241"/>
      <c r="B13" s="27"/>
      <c r="C13" s="27"/>
      <c r="D13" s="28" t="s">
        <v>178</v>
      </c>
      <c r="E13" s="246">
        <v>11</v>
      </c>
      <c r="F13" s="38">
        <f>SKM!F14/1000</f>
        <v>10397</v>
      </c>
      <c r="G13" s="267">
        <f>SUKB!F14</f>
        <v>14174000</v>
      </c>
      <c r="H13" s="38">
        <f>UCT!F14/1000</f>
        <v>627</v>
      </c>
      <c r="I13" s="38">
        <f>SPSSN!F14/1000</f>
        <v>30</v>
      </c>
      <c r="J13" s="38">
        <f>ÚVT!F14/1000</f>
        <v>35583</v>
      </c>
      <c r="K13" s="38">
        <f>VMU!F14/1000</f>
        <v>700</v>
      </c>
      <c r="L13" s="38">
        <f>CJV!F14/1000</f>
        <v>42</v>
      </c>
      <c r="M13" s="38">
        <f>CZS!F14/1000</f>
        <v>74</v>
      </c>
      <c r="N13" s="134">
        <f>RMU!F14/1000</f>
        <v>10197</v>
      </c>
      <c r="O13" s="222">
        <f t="shared" si="2"/>
        <v>14231650</v>
      </c>
      <c r="P13" s="48" t="e">
        <f>SKM!#REF!</f>
        <v>#REF!</v>
      </c>
    </row>
    <row r="14" spans="1:16" s="29" customFormat="1" ht="12">
      <c r="A14" s="241"/>
      <c r="B14" s="27"/>
      <c r="C14" s="27"/>
      <c r="D14" s="28" t="s">
        <v>6</v>
      </c>
      <c r="E14" s="246">
        <v>12</v>
      </c>
      <c r="F14" s="38">
        <f>SKM!F15/1000</f>
        <v>0</v>
      </c>
      <c r="G14" s="267">
        <f>SUKB!F15</f>
        <v>0</v>
      </c>
      <c r="H14" s="38">
        <f>UCT!F15/1000</f>
        <v>0</v>
      </c>
      <c r="I14" s="38">
        <f>SPSSN!F15/1000</f>
        <v>0</v>
      </c>
      <c r="J14" s="38">
        <f>ÚVT!F15/1000</f>
        <v>0</v>
      </c>
      <c r="K14" s="38">
        <f>VMU!F15/1000</f>
        <v>0</v>
      </c>
      <c r="L14" s="38">
        <f>CJV!F15/1000</f>
        <v>0</v>
      </c>
      <c r="M14" s="38">
        <f>CZS!F15/1000</f>
        <v>1024.8</v>
      </c>
      <c r="N14" s="134">
        <f>RMU!F15/1000</f>
        <v>91204</v>
      </c>
      <c r="O14" s="222">
        <f t="shared" si="2"/>
        <v>92228.8</v>
      </c>
      <c r="P14" s="48" t="e">
        <f>SKM!#REF!</f>
        <v>#REF!</v>
      </c>
    </row>
    <row r="15" spans="1:16" s="29" customFormat="1" ht="12">
      <c r="A15" s="241"/>
      <c r="B15" s="28"/>
      <c r="C15" s="28"/>
      <c r="D15" s="28" t="s">
        <v>9</v>
      </c>
      <c r="E15" s="246">
        <v>13</v>
      </c>
      <c r="F15" s="38">
        <f>SKM!F16/1000</f>
        <v>-5721</v>
      </c>
      <c r="G15" s="267">
        <f>SUKB!F16</f>
        <v>0</v>
      </c>
      <c r="H15" s="38">
        <f>UCT!F16/1000</f>
        <v>50</v>
      </c>
      <c r="I15" s="38">
        <f>SPSSN!F16/1000</f>
        <v>520</v>
      </c>
      <c r="J15" s="38">
        <f>ÚVT!F16/1000</f>
        <v>4159</v>
      </c>
      <c r="K15" s="38">
        <f>VMU!F16/1000</f>
        <v>45</v>
      </c>
      <c r="L15" s="38">
        <f>CJV!F16/1000</f>
        <v>145</v>
      </c>
      <c r="M15" s="38">
        <f>CZS!F16/1000</f>
        <v>1400</v>
      </c>
      <c r="N15" s="134">
        <f>RMU!F16/1000</f>
        <v>30979.955</v>
      </c>
      <c r="O15" s="222">
        <f t="shared" si="2"/>
        <v>31577.955</v>
      </c>
      <c r="P15" s="48" t="e">
        <f>SKM!#REF!</f>
        <v>#REF!</v>
      </c>
    </row>
    <row r="16" spans="1:16" ht="12">
      <c r="A16" s="240"/>
      <c r="B16" s="4" t="s">
        <v>14</v>
      </c>
      <c r="C16" s="3"/>
      <c r="D16" s="3"/>
      <c r="E16" s="246">
        <v>14</v>
      </c>
      <c r="F16" s="37">
        <f>SKM!F17/1000</f>
        <v>0</v>
      </c>
      <c r="G16" s="274">
        <f>SUKB!F17</f>
        <v>0</v>
      </c>
      <c r="H16" s="224">
        <f>UCT!F17/1000</f>
        <v>0</v>
      </c>
      <c r="I16" s="224">
        <f>SPSSN!F17/1000</f>
        <v>0</v>
      </c>
      <c r="J16" s="224">
        <f>ÚVT!F17/1000</f>
        <v>0</v>
      </c>
      <c r="K16" s="224">
        <f>VMU!F17/1000</f>
        <v>0</v>
      </c>
      <c r="L16" s="224">
        <f>CJV!F17/1000</f>
        <v>0</v>
      </c>
      <c r="M16" s="224">
        <f>CZS!F17/1000</f>
        <v>0</v>
      </c>
      <c r="N16" s="284">
        <f>RMU!F17/1000</f>
        <v>0</v>
      </c>
      <c r="O16" s="289">
        <f t="shared" si="2"/>
        <v>0</v>
      </c>
      <c r="P16" s="49" t="e">
        <f>SKM!#REF!</f>
        <v>#REF!</v>
      </c>
    </row>
    <row r="17" spans="1:16" ht="12">
      <c r="A17" s="240"/>
      <c r="B17" s="4" t="s">
        <v>15</v>
      </c>
      <c r="C17" s="3"/>
      <c r="D17" s="3"/>
      <c r="E17" s="246">
        <v>15</v>
      </c>
      <c r="F17" s="37">
        <f>SKM!F18/1000</f>
        <v>0</v>
      </c>
      <c r="G17" s="274">
        <f>SUKB!F18</f>
        <v>0</v>
      </c>
      <c r="H17" s="224">
        <f>UCT!F18/1000</f>
        <v>0</v>
      </c>
      <c r="I17" s="224">
        <f>SPSSN!F18/1000</f>
        <v>0</v>
      </c>
      <c r="J17" s="224">
        <f>ÚVT!F18/1000</f>
        <v>0</v>
      </c>
      <c r="K17" s="224">
        <f>VMU!F18/1000</f>
        <v>0</v>
      </c>
      <c r="L17" s="224">
        <f>CJV!F18/1000</f>
        <v>0</v>
      </c>
      <c r="M17" s="224">
        <f>CZS!F18/1000</f>
        <v>25000</v>
      </c>
      <c r="N17" s="284">
        <f>RMU!F18/1000</f>
        <v>0</v>
      </c>
      <c r="O17" s="289">
        <f t="shared" si="2"/>
        <v>25000</v>
      </c>
      <c r="P17" s="49" t="e">
        <f>SKM!#REF!</f>
        <v>#REF!</v>
      </c>
    </row>
    <row r="18" spans="1:16" ht="12">
      <c r="A18" s="240"/>
      <c r="B18" s="4" t="s">
        <v>20</v>
      </c>
      <c r="C18" s="3"/>
      <c r="D18" s="3"/>
      <c r="E18" s="246">
        <v>16</v>
      </c>
      <c r="F18" s="37">
        <f>SKM!F19/1000</f>
        <v>0</v>
      </c>
      <c r="G18" s="274">
        <f>SUKB!F19</f>
        <v>0</v>
      </c>
      <c r="H18" s="224">
        <f>UCT!F19/1000</f>
        <v>0</v>
      </c>
      <c r="I18" s="224">
        <f>SPSSN!F19/1000</f>
        <v>13520</v>
      </c>
      <c r="J18" s="224">
        <f>ÚVT!F19/1000</f>
        <v>27831</v>
      </c>
      <c r="K18" s="224">
        <f>VMU!F19/1000</f>
        <v>0</v>
      </c>
      <c r="L18" s="224">
        <f>CJV!F19/1000</f>
        <v>796</v>
      </c>
      <c r="M18" s="224">
        <f>CZS!F19/1000</f>
        <v>4800</v>
      </c>
      <c r="N18" s="284">
        <f>RMU!F19/1000</f>
        <v>5761</v>
      </c>
      <c r="O18" s="289">
        <f t="shared" si="2"/>
        <v>52708</v>
      </c>
      <c r="P18" s="49" t="e">
        <f>SKM!#REF!</f>
        <v>#REF!</v>
      </c>
    </row>
    <row r="19" spans="1:16" ht="12">
      <c r="A19" s="240"/>
      <c r="B19" s="4" t="s">
        <v>16</v>
      </c>
      <c r="C19" s="3"/>
      <c r="D19" s="3"/>
      <c r="E19" s="246">
        <v>17</v>
      </c>
      <c r="F19" s="37">
        <f>SKM!F20/1000</f>
        <v>0</v>
      </c>
      <c r="G19" s="274">
        <f>SUKB!F20</f>
        <v>0</v>
      </c>
      <c r="H19" s="224">
        <f>UCT!F20/1000</f>
        <v>0</v>
      </c>
      <c r="I19" s="224">
        <f>SPSSN!F20/1000</f>
        <v>0</v>
      </c>
      <c r="J19" s="224">
        <f>ÚVT!F20/1000</f>
        <v>0</v>
      </c>
      <c r="K19" s="224">
        <f>VMU!F20/1000</f>
        <v>0</v>
      </c>
      <c r="L19" s="224">
        <f>CJV!F20/1000</f>
        <v>0</v>
      </c>
      <c r="M19" s="224">
        <f>CZS!F20/1000</f>
        <v>0</v>
      </c>
      <c r="N19" s="284">
        <f>RMU!F20/1000</f>
        <v>0</v>
      </c>
      <c r="O19" s="289">
        <f t="shared" si="2"/>
        <v>0</v>
      </c>
      <c r="P19" s="49" t="e">
        <f>SKM!#REF!</f>
        <v>#REF!</v>
      </c>
    </row>
    <row r="20" spans="1:16" ht="12">
      <c r="A20" s="240"/>
      <c r="B20" s="4" t="s">
        <v>24</v>
      </c>
      <c r="C20" s="4"/>
      <c r="D20" s="4"/>
      <c r="E20" s="246">
        <v>18</v>
      </c>
      <c r="F20" s="37">
        <f>SKM!F21/1000</f>
        <v>0</v>
      </c>
      <c r="G20" s="274">
        <f>SUKB!F21</f>
        <v>0</v>
      </c>
      <c r="H20" s="224">
        <f>UCT!F21/1000</f>
        <v>0</v>
      </c>
      <c r="I20" s="224">
        <f>SPSSN!F21/1000</f>
        <v>0</v>
      </c>
      <c r="J20" s="224">
        <f>ÚVT!F21/1000</f>
        <v>0</v>
      </c>
      <c r="K20" s="224">
        <f>VMU!F21/1000</f>
        <v>0</v>
      </c>
      <c r="L20" s="224">
        <f>CJV!F21/1000</f>
        <v>0</v>
      </c>
      <c r="M20" s="224">
        <f>CZS!F21/1000</f>
        <v>100</v>
      </c>
      <c r="N20" s="284">
        <f>RMU!F21/1000</f>
        <v>3888.75</v>
      </c>
      <c r="O20" s="289">
        <f t="shared" si="2"/>
        <v>3988.75</v>
      </c>
      <c r="P20" s="49" t="e">
        <f>SKM!#REF!</f>
        <v>#REF!</v>
      </c>
    </row>
    <row r="21" spans="1:16" ht="12">
      <c r="A21" s="240"/>
      <c r="B21" s="4" t="s">
        <v>31</v>
      </c>
      <c r="C21" s="4"/>
      <c r="D21" s="4"/>
      <c r="E21" s="246">
        <v>19</v>
      </c>
      <c r="F21" s="37">
        <f>SKM!F22/1000</f>
        <v>0</v>
      </c>
      <c r="G21" s="274">
        <f>SUKB!F22</f>
        <v>0</v>
      </c>
      <c r="H21" s="224">
        <f>UCT!F22/1000</f>
        <v>0</v>
      </c>
      <c r="I21" s="224">
        <f>SPSSN!F22/1000</f>
        <v>0</v>
      </c>
      <c r="J21" s="224">
        <f>ÚVT!F22/1000</f>
        <v>0</v>
      </c>
      <c r="K21" s="224">
        <f>VMU!F22/1000</f>
        <v>0</v>
      </c>
      <c r="L21" s="224">
        <f>CJV!F22/1000</f>
        <v>1116.715</v>
      </c>
      <c r="M21" s="224">
        <f>CZS!F22/1000</f>
        <v>15130</v>
      </c>
      <c r="N21" s="284">
        <f>RMU!F22/1000</f>
        <v>0</v>
      </c>
      <c r="O21" s="289">
        <f t="shared" si="2"/>
        <v>16246.715</v>
      </c>
      <c r="P21" s="49" t="e">
        <f>SKM!#REF!</f>
        <v>#REF!</v>
      </c>
    </row>
    <row r="22" spans="1:16" ht="12">
      <c r="A22" s="240"/>
      <c r="B22" s="4" t="s">
        <v>25</v>
      </c>
      <c r="C22" s="4"/>
      <c r="D22" s="4"/>
      <c r="E22" s="246">
        <v>20</v>
      </c>
      <c r="F22" s="37">
        <f>SKM!F23/1000</f>
        <v>0</v>
      </c>
      <c r="G22" s="274">
        <f>SUKB!F23</f>
        <v>0</v>
      </c>
      <c r="H22" s="224">
        <f>UCT!F23/1000</f>
        <v>0</v>
      </c>
      <c r="I22" s="224">
        <f>SPSSN!F23/1000</f>
        <v>0</v>
      </c>
      <c r="J22" s="224">
        <f>ÚVT!F23/1000</f>
        <v>0</v>
      </c>
      <c r="K22" s="224">
        <f>VMU!F23/1000</f>
        <v>0</v>
      </c>
      <c r="L22" s="224">
        <f>CJV!F23/1000</f>
        <v>0</v>
      </c>
      <c r="M22" s="224">
        <f>CZS!F23/1000</f>
        <v>0</v>
      </c>
      <c r="N22" s="284">
        <f>RMU!F23/1000</f>
        <v>0</v>
      </c>
      <c r="O22" s="289">
        <f t="shared" si="2"/>
        <v>0</v>
      </c>
      <c r="P22" s="49" t="e">
        <f>SKM!#REF!</f>
        <v>#REF!</v>
      </c>
    </row>
    <row r="23" spans="1:16" ht="12">
      <c r="A23" s="240"/>
      <c r="B23" s="4" t="s">
        <v>26</v>
      </c>
      <c r="C23" s="4"/>
      <c r="D23" s="4"/>
      <c r="E23" s="246">
        <v>21</v>
      </c>
      <c r="F23" s="37">
        <f>SKM!F24/1000</f>
        <v>0</v>
      </c>
      <c r="G23" s="274">
        <f>SUKB!F24</f>
        <v>0</v>
      </c>
      <c r="H23" s="224">
        <f>UCT!F24/1000</f>
        <v>0</v>
      </c>
      <c r="I23" s="224">
        <f>SPSSN!F24/1000</f>
        <v>0</v>
      </c>
      <c r="J23" s="224">
        <f>ÚVT!F24/1000</f>
        <v>12300</v>
      </c>
      <c r="K23" s="224">
        <f>VMU!F24/1000</f>
        <v>0</v>
      </c>
      <c r="L23" s="224">
        <f>CJV!F24/1000</f>
        <v>0</v>
      </c>
      <c r="M23" s="224">
        <f>CZS!F24/1000</f>
        <v>0</v>
      </c>
      <c r="N23" s="284">
        <f>RMU!F24/1000</f>
        <v>100</v>
      </c>
      <c r="O23" s="289">
        <f t="shared" si="2"/>
        <v>12400</v>
      </c>
      <c r="P23" s="49" t="e">
        <f>SKM!#REF!</f>
        <v>#REF!</v>
      </c>
    </row>
    <row r="24" spans="1:16" ht="12">
      <c r="A24" s="240"/>
      <c r="B24" s="4" t="s">
        <v>27</v>
      </c>
      <c r="C24" s="4"/>
      <c r="D24" s="4"/>
      <c r="E24" s="246">
        <v>22</v>
      </c>
      <c r="F24" s="37">
        <f>SKM!F25/1000</f>
        <v>0</v>
      </c>
      <c r="G24" s="274">
        <f>SUKB!F25</f>
        <v>0</v>
      </c>
      <c r="H24" s="224">
        <f>UCT!F25/1000</f>
        <v>0</v>
      </c>
      <c r="I24" s="224">
        <f>SPSSN!F25/1000</f>
        <v>0</v>
      </c>
      <c r="J24" s="224">
        <f>ÚVT!F25/1000</f>
        <v>4160</v>
      </c>
      <c r="K24" s="224">
        <f>VMU!F25/1000</f>
        <v>0</v>
      </c>
      <c r="L24" s="224">
        <f>CJV!F25/1000</f>
        <v>0</v>
      </c>
      <c r="M24" s="224">
        <f>CZS!F25/1000</f>
        <v>0</v>
      </c>
      <c r="N24" s="284">
        <f>RMU!F25/1000</f>
        <v>0</v>
      </c>
      <c r="O24" s="289">
        <f t="shared" si="2"/>
        <v>4160</v>
      </c>
      <c r="P24" s="49" t="e">
        <f>SKM!#REF!</f>
        <v>#REF!</v>
      </c>
    </row>
    <row r="25" spans="1:16" ht="12.75" thickBot="1">
      <c r="A25" s="240"/>
      <c r="B25" s="95" t="s">
        <v>30</v>
      </c>
      <c r="C25" s="95"/>
      <c r="D25" s="95"/>
      <c r="E25" s="247">
        <v>23</v>
      </c>
      <c r="F25" s="96">
        <f>SKM!F26/1000</f>
        <v>25000</v>
      </c>
      <c r="G25" s="275">
        <f>SUKB!F26</f>
        <v>0</v>
      </c>
      <c r="H25" s="280">
        <f>UCT!F26/1000</f>
        <v>0</v>
      </c>
      <c r="I25" s="280">
        <f>SPSSN!F26/1000</f>
        <v>0</v>
      </c>
      <c r="J25" s="280">
        <f>ÚVT!F26/1000</f>
        <v>9000</v>
      </c>
      <c r="K25" s="280">
        <f>VMU!F26/1000</f>
        <v>0</v>
      </c>
      <c r="L25" s="280">
        <f>CJV!F26/1000</f>
        <v>0</v>
      </c>
      <c r="M25" s="280">
        <f>CZS!F26/1000</f>
        <v>0</v>
      </c>
      <c r="N25" s="285">
        <f>RMU!F26/1000</f>
        <v>938.2</v>
      </c>
      <c r="O25" s="291">
        <f t="shared" si="2"/>
        <v>34938.2</v>
      </c>
      <c r="P25" s="49" t="e">
        <f>SKM!#REF!</f>
        <v>#REF!</v>
      </c>
    </row>
    <row r="26" spans="1:16" ht="13.5" thickBot="1">
      <c r="A26" s="239" t="s">
        <v>158</v>
      </c>
      <c r="B26" s="171"/>
      <c r="C26" s="171"/>
      <c r="D26" s="171"/>
      <c r="E26" s="245">
        <v>24</v>
      </c>
      <c r="F26" s="262">
        <f aca="true" t="shared" si="3" ref="F26:P26">SUM(F27:F41)</f>
        <v>156807</v>
      </c>
      <c r="G26" s="265">
        <f t="shared" si="3"/>
        <v>14174000</v>
      </c>
      <c r="H26" s="262">
        <f t="shared" si="3"/>
        <v>4907</v>
      </c>
      <c r="I26" s="262">
        <f t="shared" si="3"/>
        <v>15400</v>
      </c>
      <c r="J26" s="262">
        <f t="shared" si="3"/>
        <v>206683</v>
      </c>
      <c r="K26" s="262">
        <f t="shared" si="3"/>
        <v>8110</v>
      </c>
      <c r="L26" s="262">
        <f t="shared" si="3"/>
        <v>24265.715</v>
      </c>
      <c r="M26" s="262">
        <f t="shared" si="3"/>
        <v>56178.8</v>
      </c>
      <c r="N26" s="283">
        <f t="shared" si="3"/>
        <v>294390.351</v>
      </c>
      <c r="O26" s="255">
        <f t="shared" si="3"/>
        <v>14940741.866</v>
      </c>
      <c r="P26" s="50" t="e">
        <f t="shared" si="3"/>
        <v>#REF!</v>
      </c>
    </row>
    <row r="27" spans="1:17" ht="13.5">
      <c r="A27" s="240" t="s">
        <v>10</v>
      </c>
      <c r="B27" s="3" t="s">
        <v>179</v>
      </c>
      <c r="C27" s="3"/>
      <c r="D27" s="3"/>
      <c r="E27" s="246">
        <v>25</v>
      </c>
      <c r="F27" s="37">
        <f>SKM!F28/1000</f>
        <v>0</v>
      </c>
      <c r="G27" s="274">
        <f>SUKB!F28</f>
        <v>0</v>
      </c>
      <c r="H27" s="224">
        <f>UCT!F28/1000</f>
        <v>3895</v>
      </c>
      <c r="I27" s="224">
        <f>SPSSN!F28/1000</f>
        <v>1740</v>
      </c>
      <c r="J27" s="224">
        <f>ÚVT!F28/1000</f>
        <v>135191</v>
      </c>
      <c r="K27" s="224">
        <f>VMU!F28/1000</f>
        <v>0</v>
      </c>
      <c r="L27" s="224">
        <f>CJV!F28/1000</f>
        <v>22003</v>
      </c>
      <c r="M27" s="224">
        <f>CZS!F28/1000</f>
        <v>7444</v>
      </c>
      <c r="N27" s="284">
        <f>RMU!F28/1000</f>
        <v>167025</v>
      </c>
      <c r="O27" s="289">
        <f t="shared" si="2"/>
        <v>337298</v>
      </c>
      <c r="P27" s="49" t="e">
        <f>SKM!#REF!</f>
        <v>#REF!</v>
      </c>
      <c r="Q27" s="10"/>
    </row>
    <row r="28" spans="1:17" ht="12">
      <c r="A28" s="240"/>
      <c r="B28" s="4" t="s">
        <v>14</v>
      </c>
      <c r="C28" s="4"/>
      <c r="D28" s="4"/>
      <c r="E28" s="246">
        <v>26</v>
      </c>
      <c r="F28" s="37">
        <f>SKM!F29/1000</f>
        <v>0</v>
      </c>
      <c r="G28" s="274">
        <f>SUKB!F29</f>
        <v>0</v>
      </c>
      <c r="H28" s="224">
        <f>UCT!F29/1000</f>
        <v>0</v>
      </c>
      <c r="I28" s="224">
        <f>SPSSN!F29/1000</f>
        <v>0</v>
      </c>
      <c r="J28" s="224">
        <f>ÚVT!F29/1000</f>
        <v>0</v>
      </c>
      <c r="K28" s="224">
        <f>VMU!F29/1000</f>
        <v>0</v>
      </c>
      <c r="L28" s="224">
        <f>CJV!F29/1000</f>
        <v>0</v>
      </c>
      <c r="M28" s="224">
        <f>CZS!F29/1000</f>
        <v>0</v>
      </c>
      <c r="N28" s="284">
        <f>RMU!F29/1000</f>
        <v>0</v>
      </c>
      <c r="O28" s="289">
        <f t="shared" si="2"/>
        <v>0</v>
      </c>
      <c r="P28" s="49" t="e">
        <f>SKM!#REF!</f>
        <v>#REF!</v>
      </c>
      <c r="Q28" s="10"/>
    </row>
    <row r="29" spans="1:17" ht="12">
      <c r="A29" s="240"/>
      <c r="B29" s="4" t="s">
        <v>15</v>
      </c>
      <c r="C29" s="4"/>
      <c r="D29" s="4"/>
      <c r="E29" s="246">
        <v>27</v>
      </c>
      <c r="F29" s="37">
        <f>SKM!F30/1000</f>
        <v>0</v>
      </c>
      <c r="G29" s="274">
        <f>SUKB!F30</f>
        <v>0</v>
      </c>
      <c r="H29" s="224">
        <f>UCT!F30/1000</f>
        <v>0</v>
      </c>
      <c r="I29" s="224">
        <f>SPSSN!F30/1000</f>
        <v>0</v>
      </c>
      <c r="J29" s="224">
        <f>ÚVT!F30/1000</f>
        <v>0</v>
      </c>
      <c r="K29" s="224">
        <f>VMU!F30/1000</f>
        <v>0</v>
      </c>
      <c r="L29" s="224">
        <f>CJV!F30/1000</f>
        <v>0</v>
      </c>
      <c r="M29" s="224">
        <f>CZS!F30/1000</f>
        <v>25000</v>
      </c>
      <c r="N29" s="284">
        <f>RMU!F30/1000</f>
        <v>0</v>
      </c>
      <c r="O29" s="289">
        <f t="shared" si="2"/>
        <v>25000</v>
      </c>
      <c r="P29" s="49" t="e">
        <f>SKM!#REF!</f>
        <v>#REF!</v>
      </c>
      <c r="Q29" s="10"/>
    </row>
    <row r="30" spans="1:17" ht="12">
      <c r="A30" s="240"/>
      <c r="B30" s="4" t="s">
        <v>20</v>
      </c>
      <c r="C30" s="3"/>
      <c r="D30" s="3"/>
      <c r="E30" s="246">
        <v>28</v>
      </c>
      <c r="F30" s="37">
        <f>SKM!F31/1000</f>
        <v>0</v>
      </c>
      <c r="G30" s="274">
        <f>SUKB!F31</f>
        <v>0</v>
      </c>
      <c r="H30" s="224">
        <f>UCT!F31/1000</f>
        <v>0</v>
      </c>
      <c r="I30" s="224">
        <f>SPSSN!F31/1000</f>
        <v>13520</v>
      </c>
      <c r="J30" s="224">
        <f>ÚVT!F31/1000</f>
        <v>27831</v>
      </c>
      <c r="K30" s="224">
        <f>VMU!F31/1000</f>
        <v>0</v>
      </c>
      <c r="L30" s="224">
        <f>CJV!F31/1000</f>
        <v>796</v>
      </c>
      <c r="M30" s="224">
        <f>CZS!F31/1000</f>
        <v>4800</v>
      </c>
      <c r="N30" s="284">
        <f>RMU!F31/1000</f>
        <v>5761</v>
      </c>
      <c r="O30" s="289">
        <f t="shared" si="2"/>
        <v>52708</v>
      </c>
      <c r="P30" s="49" t="e">
        <f>SKM!#REF!</f>
        <v>#REF!</v>
      </c>
      <c r="Q30" s="10"/>
    </row>
    <row r="31" spans="1:17" ht="12">
      <c r="A31" s="240"/>
      <c r="B31" s="4" t="s">
        <v>16</v>
      </c>
      <c r="C31" s="4"/>
      <c r="D31" s="4"/>
      <c r="E31" s="246">
        <v>29</v>
      </c>
      <c r="F31" s="37">
        <f>SKM!F32/1000</f>
        <v>0</v>
      </c>
      <c r="G31" s="274">
        <f>SUKB!F32</f>
        <v>0</v>
      </c>
      <c r="H31" s="224">
        <f>UCT!F32/1000</f>
        <v>0</v>
      </c>
      <c r="I31" s="224">
        <f>SPSSN!F32/1000</f>
        <v>0</v>
      </c>
      <c r="J31" s="224">
        <f>ÚVT!F32/1000</f>
        <v>0</v>
      </c>
      <c r="K31" s="224">
        <f>VMU!F32/1000</f>
        <v>0</v>
      </c>
      <c r="L31" s="224">
        <f>CJV!F32/1000</f>
        <v>0</v>
      </c>
      <c r="M31" s="224">
        <f>CZS!F32/1000</f>
        <v>0</v>
      </c>
      <c r="N31" s="284">
        <f>RMU!F32/1000</f>
        <v>0</v>
      </c>
      <c r="O31" s="289">
        <f t="shared" si="2"/>
        <v>0</v>
      </c>
      <c r="P31" s="49" t="e">
        <f>SKM!#REF!</f>
        <v>#REF!</v>
      </c>
      <c r="Q31" s="10"/>
    </row>
    <row r="32" spans="1:17" ht="12">
      <c r="A32" s="240"/>
      <c r="B32" s="4" t="s">
        <v>173</v>
      </c>
      <c r="C32" s="4"/>
      <c r="D32" s="4"/>
      <c r="E32" s="246">
        <v>30</v>
      </c>
      <c r="F32" s="37">
        <f>SKM!F33/1000</f>
        <v>16526</v>
      </c>
      <c r="G32" s="274">
        <f>SUKB!F33</f>
        <v>0</v>
      </c>
      <c r="H32" s="224">
        <f>UCT!F33/1000</f>
        <v>0</v>
      </c>
      <c r="I32" s="224">
        <f>SPSSN!F33/1000</f>
        <v>0</v>
      </c>
      <c r="J32" s="224">
        <f>ÚVT!F33/1000</f>
        <v>0</v>
      </c>
      <c r="K32" s="224">
        <f>VMU!F33/1000</f>
        <v>0</v>
      </c>
      <c r="L32" s="224">
        <f>CJV!F33/1000</f>
        <v>0</v>
      </c>
      <c r="M32" s="224">
        <f>CZS!F33/1000</f>
        <v>0</v>
      </c>
      <c r="N32" s="284">
        <f>RMU!F33/1000</f>
        <v>90000</v>
      </c>
      <c r="O32" s="289">
        <f t="shared" si="2"/>
        <v>106526</v>
      </c>
      <c r="P32" s="49" t="e">
        <f>SKM!#REF!</f>
        <v>#REF!</v>
      </c>
      <c r="Q32" s="10"/>
    </row>
    <row r="33" spans="1:17" ht="12">
      <c r="A33" s="240"/>
      <c r="B33" s="4" t="s">
        <v>24</v>
      </c>
      <c r="C33" s="4"/>
      <c r="D33" s="4"/>
      <c r="E33" s="246">
        <v>31</v>
      </c>
      <c r="F33" s="37">
        <f>SKM!F34/1000</f>
        <v>0</v>
      </c>
      <c r="G33" s="274">
        <f>SUKB!F34</f>
        <v>0</v>
      </c>
      <c r="H33" s="224">
        <f>UCT!F34/1000</f>
        <v>0</v>
      </c>
      <c r="I33" s="224">
        <f>SPSSN!F34/1000</f>
        <v>0</v>
      </c>
      <c r="J33" s="224">
        <f>ÚVT!F34/1000</f>
        <v>0</v>
      </c>
      <c r="K33" s="224">
        <f>VMU!F34/1000</f>
        <v>0</v>
      </c>
      <c r="L33" s="224">
        <f>CJV!F34/1000</f>
        <v>0</v>
      </c>
      <c r="M33" s="224">
        <f>CZS!F34/1000</f>
        <v>100</v>
      </c>
      <c r="N33" s="284">
        <f>RMU!F34/1000</f>
        <v>3888.75</v>
      </c>
      <c r="O33" s="289">
        <f t="shared" si="2"/>
        <v>3988.75</v>
      </c>
      <c r="P33" s="49" t="e">
        <f>SKM!#REF!</f>
        <v>#REF!</v>
      </c>
      <c r="Q33" s="10"/>
    </row>
    <row r="34" spans="1:17" ht="12">
      <c r="A34" s="240"/>
      <c r="B34" s="4" t="s">
        <v>31</v>
      </c>
      <c r="C34" s="4"/>
      <c r="D34" s="4"/>
      <c r="E34" s="246">
        <v>32</v>
      </c>
      <c r="F34" s="37">
        <f>SKM!F35/1000</f>
        <v>0</v>
      </c>
      <c r="G34" s="274">
        <f>SUKB!F35</f>
        <v>0</v>
      </c>
      <c r="H34" s="224">
        <f>UCT!F35/1000</f>
        <v>0</v>
      </c>
      <c r="I34" s="224">
        <f>SPSSN!F35/1000</f>
        <v>0</v>
      </c>
      <c r="J34" s="224">
        <f>ÚVT!F35/1000</f>
        <v>0</v>
      </c>
      <c r="K34" s="224">
        <f>VMU!F35/1000</f>
        <v>0</v>
      </c>
      <c r="L34" s="224">
        <f>CJV!F35/1000</f>
        <v>1116.715</v>
      </c>
      <c r="M34" s="224">
        <f>CZS!F35/1000</f>
        <v>15130</v>
      </c>
      <c r="N34" s="284">
        <f>RMU!F35/1000</f>
        <v>0</v>
      </c>
      <c r="O34" s="289">
        <f t="shared" si="2"/>
        <v>16246.715</v>
      </c>
      <c r="P34" s="49" t="e">
        <f>SKM!#REF!</f>
        <v>#REF!</v>
      </c>
      <c r="Q34" s="10"/>
    </row>
    <row r="35" spans="1:17" ht="12">
      <c r="A35" s="240"/>
      <c r="B35" s="4" t="s">
        <v>85</v>
      </c>
      <c r="C35" s="4"/>
      <c r="D35" s="4"/>
      <c r="E35" s="246">
        <v>33</v>
      </c>
      <c r="F35" s="37">
        <f>SKM!F36/1000</f>
        <v>0</v>
      </c>
      <c r="G35" s="274">
        <f>SUKB!F36</f>
        <v>0</v>
      </c>
      <c r="H35" s="224">
        <f>UCT!F36/1000</f>
        <v>0</v>
      </c>
      <c r="I35" s="224">
        <f>SPSSN!F36/1000</f>
        <v>0</v>
      </c>
      <c r="J35" s="224">
        <f>ÚVT!F36/1000</f>
        <v>0</v>
      </c>
      <c r="K35" s="224">
        <f>VMU!F36/1000</f>
        <v>0</v>
      </c>
      <c r="L35" s="224">
        <f>CJV!F36/1000</f>
        <v>0</v>
      </c>
      <c r="M35" s="224">
        <f>CZS!F36/1000</f>
        <v>0</v>
      </c>
      <c r="N35" s="284">
        <f>RMU!F36/1000</f>
        <v>0</v>
      </c>
      <c r="O35" s="289">
        <f t="shared" si="2"/>
        <v>0</v>
      </c>
      <c r="P35" s="49" t="e">
        <f>SKM!#REF!</f>
        <v>#REF!</v>
      </c>
      <c r="Q35" s="10"/>
    </row>
    <row r="36" spans="1:17" ht="12">
      <c r="A36" s="240"/>
      <c r="B36" s="4" t="s">
        <v>25</v>
      </c>
      <c r="C36" s="4"/>
      <c r="D36" s="4"/>
      <c r="E36" s="246">
        <v>34</v>
      </c>
      <c r="F36" s="37">
        <f>SKM!F37/1000</f>
        <v>0</v>
      </c>
      <c r="G36" s="274">
        <f>SUKB!F37</f>
        <v>0</v>
      </c>
      <c r="H36" s="224">
        <f>UCT!F37/1000</f>
        <v>0</v>
      </c>
      <c r="I36" s="224">
        <f>SPSSN!F37/1000</f>
        <v>0</v>
      </c>
      <c r="J36" s="224">
        <f>ÚVT!F37/1000</f>
        <v>0</v>
      </c>
      <c r="K36" s="224">
        <f>VMU!F37/1000</f>
        <v>0</v>
      </c>
      <c r="L36" s="224">
        <f>CJV!F37/1000</f>
        <v>0</v>
      </c>
      <c r="M36" s="224">
        <f>CZS!F37/1000</f>
        <v>0</v>
      </c>
      <c r="N36" s="284">
        <f>RMU!F37/1000</f>
        <v>0</v>
      </c>
      <c r="O36" s="289">
        <f t="shared" si="2"/>
        <v>0</v>
      </c>
      <c r="P36" s="49" t="e">
        <f>SKM!#REF!</f>
        <v>#REF!</v>
      </c>
      <c r="Q36" s="10"/>
    </row>
    <row r="37" spans="1:17" ht="12">
      <c r="A37" s="240"/>
      <c r="B37" s="4" t="s">
        <v>26</v>
      </c>
      <c r="C37" s="4"/>
      <c r="D37" s="4"/>
      <c r="E37" s="246">
        <v>35</v>
      </c>
      <c r="F37" s="37">
        <f>SKM!F38/1000</f>
        <v>0</v>
      </c>
      <c r="G37" s="274">
        <f>SUKB!F38</f>
        <v>0</v>
      </c>
      <c r="H37" s="224">
        <f>UCT!F38/1000</f>
        <v>0</v>
      </c>
      <c r="I37" s="224">
        <f>SPSSN!F38/1000</f>
        <v>0</v>
      </c>
      <c r="J37" s="224">
        <f>ÚVT!F38/1000</f>
        <v>12300</v>
      </c>
      <c r="K37" s="224">
        <f>VMU!F38/1000</f>
        <v>0</v>
      </c>
      <c r="L37" s="224">
        <f>CJV!F38/1000</f>
        <v>0</v>
      </c>
      <c r="M37" s="224">
        <f>CZS!F38/1000</f>
        <v>0</v>
      </c>
      <c r="N37" s="284">
        <f>RMU!F38/1000</f>
        <v>100</v>
      </c>
      <c r="O37" s="289">
        <f t="shared" si="2"/>
        <v>12400</v>
      </c>
      <c r="P37" s="49" t="e">
        <f>SKM!#REF!</f>
        <v>#REF!</v>
      </c>
      <c r="Q37" s="10"/>
    </row>
    <row r="38" spans="1:17" ht="12">
      <c r="A38" s="240"/>
      <c r="B38" s="4" t="s">
        <v>27</v>
      </c>
      <c r="C38" s="4"/>
      <c r="D38" s="4"/>
      <c r="E38" s="246">
        <v>36</v>
      </c>
      <c r="F38" s="37">
        <f>SKM!F39/1000</f>
        <v>0</v>
      </c>
      <c r="G38" s="274">
        <f>SUKB!F39</f>
        <v>0</v>
      </c>
      <c r="H38" s="224">
        <f>UCT!F39/1000</f>
        <v>0</v>
      </c>
      <c r="I38" s="224">
        <f>SPSSN!F39/1000</f>
        <v>0</v>
      </c>
      <c r="J38" s="224">
        <f>ÚVT!F39/1000</f>
        <v>4160</v>
      </c>
      <c r="K38" s="224">
        <f>VMU!F39/1000</f>
        <v>0</v>
      </c>
      <c r="L38" s="224">
        <f>CJV!F39/1000</f>
        <v>0</v>
      </c>
      <c r="M38" s="224">
        <f>CZS!F39/1000</f>
        <v>0</v>
      </c>
      <c r="N38" s="284">
        <f>RMU!F39/1000</f>
        <v>0</v>
      </c>
      <c r="O38" s="289">
        <f t="shared" si="2"/>
        <v>4160</v>
      </c>
      <c r="P38" s="49" t="e">
        <f>SKM!#REF!</f>
        <v>#REF!</v>
      </c>
      <c r="Q38" s="10"/>
    </row>
    <row r="39" spans="1:17" ht="13.5">
      <c r="A39" s="240"/>
      <c r="B39" s="4" t="s">
        <v>180</v>
      </c>
      <c r="C39" s="4"/>
      <c r="D39" s="4"/>
      <c r="E39" s="246">
        <v>37</v>
      </c>
      <c r="F39" s="37">
        <f>SKM!F40/1000</f>
        <v>107731</v>
      </c>
      <c r="G39" s="274">
        <f>SUKB!F40</f>
        <v>14174000</v>
      </c>
      <c r="H39" s="224">
        <f>UCT!F40/1000</f>
        <v>1012</v>
      </c>
      <c r="I39" s="224">
        <f>SPSSN!F40/1000</f>
        <v>140</v>
      </c>
      <c r="J39" s="224">
        <f>ÚVT!F40/1000</f>
        <v>16201</v>
      </c>
      <c r="K39" s="224">
        <f>VMU!F40/1000</f>
        <v>8110</v>
      </c>
      <c r="L39" s="224">
        <f>CJV!F40/1000</f>
        <v>350</v>
      </c>
      <c r="M39" s="224">
        <f>CZS!F40/1000</f>
        <v>3704.8</v>
      </c>
      <c r="N39" s="284">
        <f>RMU!F40/1000</f>
        <v>26677.401</v>
      </c>
      <c r="O39" s="289">
        <f t="shared" si="2"/>
        <v>14337926.201000001</v>
      </c>
      <c r="P39" s="49" t="e">
        <f>SKM!#REF!</f>
        <v>#REF!</v>
      </c>
      <c r="Q39" s="10"/>
    </row>
    <row r="40" spans="1:17" ht="12">
      <c r="A40" s="240"/>
      <c r="B40" s="4" t="s">
        <v>29</v>
      </c>
      <c r="C40" s="4"/>
      <c r="D40" s="4"/>
      <c r="E40" s="246">
        <v>38</v>
      </c>
      <c r="F40" s="37">
        <f>SKM!F41/1000</f>
        <v>0</v>
      </c>
      <c r="G40" s="274">
        <f>SUKB!F41</f>
        <v>0</v>
      </c>
      <c r="H40" s="224">
        <f>UCT!F41/1000</f>
        <v>0</v>
      </c>
      <c r="I40" s="224">
        <f>SPSSN!F41/1000</f>
        <v>0</v>
      </c>
      <c r="J40" s="224">
        <f>ÚVT!F41/1000</f>
        <v>0</v>
      </c>
      <c r="K40" s="224">
        <f>VMU!F41/1000</f>
        <v>0</v>
      </c>
      <c r="L40" s="224">
        <f>CJV!F41/1000</f>
        <v>0</v>
      </c>
      <c r="M40" s="224">
        <f>CZS!F41/1000</f>
        <v>0</v>
      </c>
      <c r="N40" s="284">
        <f>RMU!F41/1000</f>
        <v>0</v>
      </c>
      <c r="O40" s="289">
        <f t="shared" si="2"/>
        <v>0</v>
      </c>
      <c r="P40" s="49" t="e">
        <f>SKM!#REF!</f>
        <v>#REF!</v>
      </c>
      <c r="Q40" s="10"/>
    </row>
    <row r="41" spans="1:17" ht="12.75" thickBot="1">
      <c r="A41" s="240"/>
      <c r="B41" s="4" t="s">
        <v>30</v>
      </c>
      <c r="C41" s="4"/>
      <c r="D41" s="4"/>
      <c r="E41" s="246">
        <v>39</v>
      </c>
      <c r="F41" s="277">
        <f>SKM!F42/1000</f>
        <v>32550</v>
      </c>
      <c r="G41" s="274">
        <f>SUKB!F42</f>
        <v>0</v>
      </c>
      <c r="H41" s="224">
        <f>UCT!F42/1000</f>
        <v>0</v>
      </c>
      <c r="I41" s="224">
        <f>SPSSN!F42/1000</f>
        <v>0</v>
      </c>
      <c r="J41" s="224">
        <f>ÚVT!F42/1000</f>
        <v>11000</v>
      </c>
      <c r="K41" s="224">
        <f>VMU!F42/1000</f>
        <v>0</v>
      </c>
      <c r="L41" s="224">
        <f>CJV!F42/1000</f>
        <v>0</v>
      </c>
      <c r="M41" s="224">
        <f>CZS!F42/1000</f>
        <v>0</v>
      </c>
      <c r="N41" s="284">
        <f>RMU!F42/1000</f>
        <v>938.2</v>
      </c>
      <c r="O41" s="292">
        <f t="shared" si="2"/>
        <v>44488.2</v>
      </c>
      <c r="P41" s="49" t="e">
        <f>SKM!#REF!</f>
        <v>#REF!</v>
      </c>
      <c r="Q41" s="10"/>
    </row>
    <row r="42" spans="1:16" s="29" customFormat="1" ht="12.75" hidden="1" thickBot="1">
      <c r="A42" s="241" t="s">
        <v>32</v>
      </c>
      <c r="B42" s="27"/>
      <c r="C42" s="27"/>
      <c r="D42" s="27"/>
      <c r="E42" s="247">
        <v>42</v>
      </c>
      <c r="F42" s="278">
        <f>SKM!F43/1000</f>
        <v>0</v>
      </c>
      <c r="G42" s="268">
        <f>SUKB!F43</f>
        <v>0</v>
      </c>
      <c r="H42" s="278"/>
      <c r="I42" s="278"/>
      <c r="J42" s="278">
        <f>ÚVT!F43/1000</f>
        <v>2100</v>
      </c>
      <c r="K42" s="278">
        <f>VMU!F43/1000</f>
        <v>46</v>
      </c>
      <c r="L42" s="278">
        <f>CJV!F43/1000</f>
        <v>35</v>
      </c>
      <c r="M42" s="278">
        <f>CZS!F43/1000</f>
        <v>689.6</v>
      </c>
      <c r="N42" s="286">
        <f>RMU!F43/1000</f>
        <v>8057.136</v>
      </c>
      <c r="O42" s="293">
        <f>O27+O32+O35+O39+O40+O41-O4-O25</f>
        <v>14627.735999998826</v>
      </c>
      <c r="P42" s="51" t="e">
        <f>P27+P32+P35+P39+P40+P41-P4-P25</f>
        <v>#REF!</v>
      </c>
    </row>
    <row r="43" spans="1:16" ht="13.5" thickBot="1">
      <c r="A43" s="239" t="s">
        <v>165</v>
      </c>
      <c r="B43" s="171"/>
      <c r="C43" s="171"/>
      <c r="D43" s="171"/>
      <c r="E43" s="279">
        <v>40</v>
      </c>
      <c r="F43" s="262">
        <f aca="true" t="shared" si="4" ref="F43:P43">F26-F3</f>
        <v>3530</v>
      </c>
      <c r="G43" s="265">
        <f t="shared" si="4"/>
        <v>0</v>
      </c>
      <c r="H43" s="262">
        <f t="shared" si="4"/>
        <v>150</v>
      </c>
      <c r="I43" s="262">
        <f t="shared" si="4"/>
        <v>20</v>
      </c>
      <c r="J43" s="262">
        <f t="shared" si="4"/>
        <v>2100</v>
      </c>
      <c r="K43" s="262">
        <f t="shared" si="4"/>
        <v>46</v>
      </c>
      <c r="L43" s="262">
        <f t="shared" si="4"/>
        <v>35</v>
      </c>
      <c r="M43" s="262">
        <f t="shared" si="4"/>
        <v>689.6000000000058</v>
      </c>
      <c r="N43" s="283">
        <f t="shared" si="4"/>
        <v>8057.135999999999</v>
      </c>
      <c r="O43" s="255">
        <f t="shared" si="4"/>
        <v>14627.735999999568</v>
      </c>
      <c r="P43" s="50" t="e">
        <f t="shared" si="4"/>
        <v>#REF!</v>
      </c>
    </row>
    <row r="44" spans="1:7" s="89" customFormat="1" ht="11.25">
      <c r="A44" s="90" t="s">
        <v>167</v>
      </c>
      <c r="F44" s="90"/>
      <c r="G44" s="90"/>
    </row>
    <row r="45" spans="1:15" s="89" customFormat="1" ht="11.25">
      <c r="A45" s="210" t="s">
        <v>141</v>
      </c>
      <c r="B45" s="90"/>
      <c r="C45" s="90"/>
      <c r="D45" s="90"/>
      <c r="E45" s="90"/>
      <c r="F45" s="91">
        <f>SKM!F46/1000</f>
        <v>9300</v>
      </c>
      <c r="G45" s="91">
        <f>SUKB!F46/1000</f>
        <v>0</v>
      </c>
      <c r="H45" s="91">
        <f>UCT!F46/1000</f>
        <v>627</v>
      </c>
      <c r="I45" s="91">
        <f>SPSSN!F46/1000</f>
        <v>30</v>
      </c>
      <c r="J45" s="91">
        <f>ÚVT!F46/1000</f>
        <v>35583</v>
      </c>
      <c r="K45" s="91">
        <f>VMU!F46/1000</f>
        <v>446</v>
      </c>
      <c r="L45" s="91">
        <f>CJV!F46/1000</f>
        <v>42</v>
      </c>
      <c r="M45" s="91">
        <f>CZS!F46/1000</f>
        <v>74</v>
      </c>
      <c r="N45" s="91">
        <f>RMU!F46/1000</f>
        <v>10197</v>
      </c>
      <c r="O45" s="234">
        <f aca="true" t="shared" si="5" ref="O45:O53">SUM(F45:N45)</f>
        <v>56299</v>
      </c>
    </row>
    <row r="46" spans="1:15" s="89" customFormat="1" ht="11.25">
      <c r="A46" s="142" t="s">
        <v>142</v>
      </c>
      <c r="B46" s="90"/>
      <c r="C46" s="90"/>
      <c r="D46" s="90"/>
      <c r="E46" s="90"/>
      <c r="F46" s="91">
        <f>SKM!F47/1000</f>
        <v>3843</v>
      </c>
      <c r="G46" s="91">
        <f>SUKB!F47/1000</f>
        <v>0</v>
      </c>
      <c r="H46" s="91">
        <f>UCT!F47/1000</f>
        <v>395</v>
      </c>
      <c r="I46" s="91">
        <f>SPSSN!F47/1000</f>
        <v>30</v>
      </c>
      <c r="J46" s="91">
        <f>ÚVT!F47/1000</f>
        <v>20182</v>
      </c>
      <c r="K46" s="91">
        <f>VMU!F47/1000</f>
        <v>363</v>
      </c>
      <c r="L46" s="91">
        <f>CJV!F47/1000</f>
        <v>42</v>
      </c>
      <c r="M46" s="91">
        <f>CZS!F47/1000</f>
        <v>64</v>
      </c>
      <c r="N46" s="91">
        <f>RMU!F47/1000</f>
        <v>1807</v>
      </c>
      <c r="O46" s="234">
        <f t="shared" si="5"/>
        <v>26726</v>
      </c>
    </row>
    <row r="47" spans="1:15" s="89" customFormat="1" ht="11.25">
      <c r="A47" s="142" t="s">
        <v>143</v>
      </c>
      <c r="B47" s="90"/>
      <c r="C47" s="90"/>
      <c r="D47" s="90"/>
      <c r="E47" s="90"/>
      <c r="F47" s="91">
        <f>SKM!F48/1000</f>
        <v>5457</v>
      </c>
      <c r="G47" s="91">
        <f>SUKB!F48/1000</f>
        <v>0</v>
      </c>
      <c r="H47" s="91">
        <f>UCT!F48/1000</f>
        <v>232</v>
      </c>
      <c r="I47" s="91">
        <f>SPSSN!F48/1000</f>
        <v>0</v>
      </c>
      <c r="J47" s="91">
        <f>ÚVT!F48/1000</f>
        <v>15401</v>
      </c>
      <c r="K47" s="91">
        <f>VMU!F48/1000</f>
        <v>83</v>
      </c>
      <c r="L47" s="91">
        <f>CJV!F48/1000</f>
        <v>0</v>
      </c>
      <c r="M47" s="91">
        <f>CZS!F48/1000</f>
        <v>10</v>
      </c>
      <c r="N47" s="91">
        <f>RMU!F48/1000</f>
        <v>8390</v>
      </c>
      <c r="O47" s="234">
        <f t="shared" si="5"/>
        <v>29573</v>
      </c>
    </row>
    <row r="48" spans="1:15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234">
        <f t="shared" si="5"/>
        <v>0</v>
      </c>
    </row>
    <row r="49" spans="1:15" s="89" customFormat="1" ht="11.25">
      <c r="A49" s="90" t="s">
        <v>170</v>
      </c>
      <c r="B49" s="90"/>
      <c r="C49" s="90"/>
      <c r="D49" s="90"/>
      <c r="E49" s="90"/>
      <c r="F49" s="91">
        <f>SKM!F50/1000</f>
        <v>0</v>
      </c>
      <c r="G49" s="91">
        <f>SUKB!F50/1000</f>
        <v>0</v>
      </c>
      <c r="H49" s="91">
        <f>UCT!F50/1000</f>
        <v>3500</v>
      </c>
      <c r="I49" s="91">
        <f>SPSSN!F50/1000</f>
        <v>1710</v>
      </c>
      <c r="J49" s="91">
        <f>ÚVT!F50/1000</f>
        <v>88369</v>
      </c>
      <c r="K49" s="91">
        <f>VMU!F50/1000</f>
        <v>0</v>
      </c>
      <c r="L49" s="91">
        <f>CJV!F50/1000</f>
        <v>21961</v>
      </c>
      <c r="M49" s="91">
        <f>CZS!F50/1000</f>
        <v>7380</v>
      </c>
      <c r="N49" s="91">
        <f>RMU!F50/1000</f>
        <v>74128</v>
      </c>
      <c r="O49" s="234">
        <f t="shared" si="5"/>
        <v>197048</v>
      </c>
    </row>
    <row r="50" spans="1:15" s="89" customFormat="1" ht="11.25">
      <c r="A50" s="90" t="s">
        <v>146</v>
      </c>
      <c r="B50" s="90"/>
      <c r="C50" s="90"/>
      <c r="D50" s="90"/>
      <c r="E50" s="90"/>
      <c r="F50" s="91">
        <f>SKM!F51/1000</f>
        <v>0</v>
      </c>
      <c r="G50" s="91">
        <f>SUKB!F51/1000</f>
        <v>0</v>
      </c>
      <c r="H50" s="91">
        <f>UCT!F51/1000</f>
        <v>0</v>
      </c>
      <c r="I50" s="91">
        <f>SPSSN!F51/1000</f>
        <v>0</v>
      </c>
      <c r="J50" s="91">
        <f>ÚVT!F51/1000</f>
        <v>26640</v>
      </c>
      <c r="K50" s="91">
        <f>VMU!F51/1000</f>
        <v>0</v>
      </c>
      <c r="L50" s="91">
        <f>CJV!F51/1000</f>
        <v>0</v>
      </c>
      <c r="M50" s="91">
        <f>CZS!F51/1000</f>
        <v>0</v>
      </c>
      <c r="N50" s="91">
        <f>RMU!F51/1000</f>
        <v>91090</v>
      </c>
      <c r="O50" s="234">
        <f t="shared" si="5"/>
        <v>117730</v>
      </c>
    </row>
    <row r="51" spans="1:15" s="89" customFormat="1" ht="11.25">
      <c r="A51" s="90" t="s">
        <v>171</v>
      </c>
      <c r="B51" s="90"/>
      <c r="C51" s="90"/>
      <c r="D51" s="90"/>
      <c r="F51" s="91">
        <f>SKM!F52/1000</f>
        <v>0</v>
      </c>
      <c r="G51" s="91">
        <f>SUKB!F52/1000</f>
        <v>0</v>
      </c>
      <c r="H51" s="91">
        <f>UCT!F52/1000</f>
        <v>395</v>
      </c>
      <c r="I51" s="91">
        <f>SPSSN!F52/1000</f>
        <v>30</v>
      </c>
      <c r="J51" s="91">
        <f>ÚVT!F52/1000</f>
        <v>20182</v>
      </c>
      <c r="K51" s="91">
        <f>VMU!F52/1000</f>
        <v>0</v>
      </c>
      <c r="L51" s="91">
        <f>CJV!F52/1000</f>
        <v>42</v>
      </c>
      <c r="M51" s="91">
        <f>CZS!F52/1000</f>
        <v>64</v>
      </c>
      <c r="N51" s="91">
        <f>RMU!F52/1000</f>
        <v>1807</v>
      </c>
      <c r="O51" s="234">
        <f t="shared" si="5"/>
        <v>22520</v>
      </c>
    </row>
    <row r="52" spans="1:15" s="89" customFormat="1" ht="11.25">
      <c r="A52" s="90" t="s">
        <v>169</v>
      </c>
      <c r="B52" s="90"/>
      <c r="C52" s="90"/>
      <c r="D52" s="90"/>
      <c r="F52" s="91">
        <f>SKM!F53/1000</f>
        <v>0</v>
      </c>
      <c r="G52" s="91">
        <f>SUKB!F53/1000</f>
        <v>0</v>
      </c>
      <c r="H52" s="91">
        <f>UCT!F53/1000</f>
        <v>3895</v>
      </c>
      <c r="I52" s="91">
        <f>SPSSN!F53/1000</f>
        <v>1740</v>
      </c>
      <c r="J52" s="91">
        <f>ÚVT!F53/1000</f>
        <v>135191</v>
      </c>
      <c r="K52" s="91">
        <f>VMU!F53/1000</f>
        <v>0</v>
      </c>
      <c r="L52" s="91">
        <f>CJV!F53/1000</f>
        <v>22003</v>
      </c>
      <c r="M52" s="91">
        <f>CZS!F53/1000</f>
        <v>7444</v>
      </c>
      <c r="N52" s="91">
        <f>RMU!F53/1000</f>
        <v>167025</v>
      </c>
      <c r="O52" s="234">
        <f t="shared" si="5"/>
        <v>337298</v>
      </c>
    </row>
    <row r="53" spans="1:15" s="89" customFormat="1" ht="11.25">
      <c r="A53" s="90"/>
      <c r="B53" s="90"/>
      <c r="C53" s="90"/>
      <c r="D53" s="90"/>
      <c r="F53" s="91"/>
      <c r="G53" s="91"/>
      <c r="H53" s="91"/>
      <c r="I53" s="91"/>
      <c r="J53" s="91"/>
      <c r="K53" s="91"/>
      <c r="L53" s="91"/>
      <c r="M53" s="91"/>
      <c r="N53" s="91"/>
      <c r="O53" s="234">
        <f t="shared" si="5"/>
        <v>0</v>
      </c>
    </row>
  </sheetData>
  <mergeCells count="1">
    <mergeCell ref="A1:D1"/>
  </mergeCells>
  <printOptions/>
  <pageMargins left="0.5" right="0.16" top="0.39" bottom="0.46" header="0.2" footer="0.2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5">
    <tabColor indexed="38"/>
  </sheetPr>
  <dimension ref="A1:K53"/>
  <sheetViews>
    <sheetView workbookViewId="0" topLeftCell="A1">
      <selection activeCell="C32" sqref="C32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30.00390625" style="5" customWidth="1"/>
    <col min="5" max="5" width="3.75390625" style="5" customWidth="1"/>
    <col min="6" max="7" width="11.875" style="5" customWidth="1"/>
    <col min="8" max="8" width="11.875" style="305" customWidth="1"/>
    <col min="9" max="9" width="8.375" style="89" customWidth="1"/>
    <col min="10" max="10" width="11.125" style="5" customWidth="1"/>
    <col min="11" max="16384" width="9.125" style="5" customWidth="1"/>
  </cols>
  <sheetData>
    <row r="1" spans="1:9" ht="12.75">
      <c r="A1" s="610" t="s">
        <v>205</v>
      </c>
      <c r="B1" s="611"/>
      <c r="C1" s="611"/>
      <c r="D1" s="612"/>
      <c r="E1" s="242"/>
      <c r="F1" s="260" t="s">
        <v>72</v>
      </c>
      <c r="G1" s="260" t="s">
        <v>9</v>
      </c>
      <c r="H1" s="287" t="s">
        <v>87</v>
      </c>
      <c r="I1" s="476" t="s">
        <v>212</v>
      </c>
    </row>
    <row r="2" spans="1:9" ht="12.75">
      <c r="A2" s="240" t="s">
        <v>39</v>
      </c>
      <c r="B2" s="256"/>
      <c r="C2" s="256"/>
      <c r="D2" s="257" t="s">
        <v>116</v>
      </c>
      <c r="E2" s="244" t="s">
        <v>21</v>
      </c>
      <c r="F2" s="261">
        <v>2006</v>
      </c>
      <c r="G2" s="261">
        <v>2006</v>
      </c>
      <c r="H2" s="288">
        <v>2006</v>
      </c>
      <c r="I2" s="468">
        <v>2005</v>
      </c>
    </row>
    <row r="3" spans="1:8" ht="12.75">
      <c r="A3" s="239" t="s">
        <v>157</v>
      </c>
      <c r="B3" s="171"/>
      <c r="C3" s="171"/>
      <c r="D3" s="171"/>
      <c r="E3" s="245">
        <v>1</v>
      </c>
      <c r="F3" s="262">
        <f>SUM(F5:F25)</f>
        <v>2274570.11192</v>
      </c>
      <c r="G3" s="262">
        <f>SUM(G5:G25)</f>
        <v>842952.6872754546</v>
      </c>
      <c r="H3" s="255">
        <f>SUM(H5:H25)</f>
        <v>3117522.7991954545</v>
      </c>
    </row>
    <row r="4" spans="1:8" ht="12">
      <c r="A4" s="240" t="s">
        <v>10</v>
      </c>
      <c r="B4" s="3" t="s">
        <v>91</v>
      </c>
      <c r="C4" s="3"/>
      <c r="D4" s="3"/>
      <c r="E4" s="246">
        <v>2</v>
      </c>
      <c r="F4" s="37">
        <f>SUM(F5:F15)</f>
        <v>1493641.54239</v>
      </c>
      <c r="G4" s="37">
        <f>SUM(G5:G15)</f>
        <v>673450.7359199999</v>
      </c>
      <c r="H4" s="289">
        <f>SUM(F4:G4)</f>
        <v>2167092.27831</v>
      </c>
    </row>
    <row r="5" spans="1:9" s="29" customFormat="1" ht="12">
      <c r="A5" s="241"/>
      <c r="B5" s="27"/>
      <c r="C5" s="27" t="s">
        <v>13</v>
      </c>
      <c r="D5" s="28" t="s">
        <v>17</v>
      </c>
      <c r="E5" s="258">
        <v>3</v>
      </c>
      <c r="F5" s="38">
        <f>'odhad fak'!O5</f>
        <v>730331.85093</v>
      </c>
      <c r="G5" s="38">
        <f>'odhad ost'!P5</f>
        <v>152852.54533</v>
      </c>
      <c r="H5" s="222">
        <f aca="true" t="shared" si="0" ref="H5:H25">F5+G5</f>
        <v>883184.39626</v>
      </c>
      <c r="I5" s="475"/>
    </row>
    <row r="6" spans="1:9" s="29" customFormat="1" ht="12">
      <c r="A6" s="241"/>
      <c r="B6" s="27"/>
      <c r="C6" s="27"/>
      <c r="D6" s="28" t="s">
        <v>18</v>
      </c>
      <c r="E6" s="258">
        <v>4</v>
      </c>
      <c r="F6" s="38">
        <f>'odhad fak'!O6</f>
        <v>24769.160999999996</v>
      </c>
      <c r="G6" s="38">
        <f>'odhad ost'!P6</f>
        <v>9933.461</v>
      </c>
      <c r="H6" s="222">
        <f t="shared" si="0"/>
        <v>34702.621999999996</v>
      </c>
      <c r="I6" s="90"/>
    </row>
    <row r="7" spans="1:9" s="29" customFormat="1" ht="12">
      <c r="A7" s="241"/>
      <c r="B7" s="27"/>
      <c r="C7" s="27"/>
      <c r="D7" s="28" t="s">
        <v>19</v>
      </c>
      <c r="E7" s="258">
        <v>5</v>
      </c>
      <c r="F7" s="38">
        <f>'odhad fak'!O7</f>
        <v>257755.63457</v>
      </c>
      <c r="G7" s="38">
        <f>'odhad ost'!P7</f>
        <v>55397.23967</v>
      </c>
      <c r="H7" s="222">
        <f t="shared" si="0"/>
        <v>313152.87424</v>
      </c>
      <c r="I7" s="90"/>
    </row>
    <row r="8" spans="1:9" s="29" customFormat="1" ht="12">
      <c r="A8" s="241"/>
      <c r="B8" s="27"/>
      <c r="C8" s="27"/>
      <c r="D8" s="28" t="s">
        <v>0</v>
      </c>
      <c r="E8" s="258">
        <v>6</v>
      </c>
      <c r="F8" s="38">
        <f>'odhad fak'!O8</f>
        <v>46299.60006</v>
      </c>
      <c r="G8" s="38">
        <f>'odhad ost'!P8</f>
        <v>36328.371960000004</v>
      </c>
      <c r="H8" s="222">
        <f t="shared" si="0"/>
        <v>82627.97202</v>
      </c>
      <c r="I8" s="90"/>
    </row>
    <row r="9" spans="1:9" s="29" customFormat="1" ht="12">
      <c r="A9" s="241"/>
      <c r="B9" s="27"/>
      <c r="C9" s="27"/>
      <c r="D9" s="28" t="s">
        <v>1</v>
      </c>
      <c r="E9" s="258">
        <v>7</v>
      </c>
      <c r="F9" s="38">
        <f>'odhad fak'!O9</f>
        <v>14598.55203</v>
      </c>
      <c r="G9" s="38">
        <f>'odhad ost'!P9</f>
        <v>30713.945580000003</v>
      </c>
      <c r="H9" s="222">
        <f t="shared" si="0"/>
        <v>45312.497610000006</v>
      </c>
      <c r="I9" s="90"/>
    </row>
    <row r="10" spans="1:9" s="29" customFormat="1" ht="12">
      <c r="A10" s="241"/>
      <c r="B10" s="27"/>
      <c r="C10" s="27"/>
      <c r="D10" s="28" t="s">
        <v>2</v>
      </c>
      <c r="E10" s="258">
        <v>8</v>
      </c>
      <c r="F10" s="38">
        <f>'odhad fak'!O10</f>
        <v>89450.61189</v>
      </c>
      <c r="G10" s="38">
        <f>'odhad ost'!P10</f>
        <v>50317.01557</v>
      </c>
      <c r="H10" s="222">
        <f t="shared" si="0"/>
        <v>139767.62746</v>
      </c>
      <c r="I10" s="90"/>
    </row>
    <row r="11" spans="1:9" s="29" customFormat="1" ht="12">
      <c r="A11" s="241"/>
      <c r="B11" s="27"/>
      <c r="C11" s="27"/>
      <c r="D11" s="28" t="s">
        <v>3</v>
      </c>
      <c r="E11" s="258">
        <v>9</v>
      </c>
      <c r="F11" s="38">
        <f>'odhad fak'!O11</f>
        <v>77716.25934000002</v>
      </c>
      <c r="G11" s="38">
        <f>'odhad ost'!P11</f>
        <v>69733.3983</v>
      </c>
      <c r="H11" s="222">
        <f t="shared" si="0"/>
        <v>147449.65764000002</v>
      </c>
      <c r="I11" s="90"/>
    </row>
    <row r="12" spans="1:9" s="29" customFormat="1" ht="12">
      <c r="A12" s="241"/>
      <c r="B12" s="27"/>
      <c r="C12" s="27"/>
      <c r="D12" s="28" t="s">
        <v>4</v>
      </c>
      <c r="E12" s="258">
        <v>10</v>
      </c>
      <c r="F12" s="38">
        <f>'odhad fak'!O12</f>
        <v>11446.85583</v>
      </c>
      <c r="G12" s="38">
        <f>'odhad ost'!P12</f>
        <v>4080.6736</v>
      </c>
      <c r="H12" s="222">
        <f t="shared" si="0"/>
        <v>15527.52943</v>
      </c>
      <c r="I12" s="90"/>
    </row>
    <row r="13" spans="1:9" s="29" customFormat="1" ht="13.5">
      <c r="A13" s="241"/>
      <c r="B13" s="27"/>
      <c r="C13" s="27"/>
      <c r="D13" s="28" t="s">
        <v>178</v>
      </c>
      <c r="E13" s="258">
        <v>11</v>
      </c>
      <c r="F13" s="38">
        <f>'odhad fak'!O13</f>
        <v>141146.74766000002</v>
      </c>
      <c r="G13" s="38">
        <f>'odhad ost'!P13</f>
        <v>65086.655779999994</v>
      </c>
      <c r="H13" s="222">
        <f t="shared" si="0"/>
        <v>206233.40344000002</v>
      </c>
      <c r="I13" s="90"/>
    </row>
    <row r="14" spans="1:9" s="29" customFormat="1" ht="12">
      <c r="A14" s="241"/>
      <c r="B14" s="27"/>
      <c r="C14" s="27"/>
      <c r="D14" s="28" t="s">
        <v>6</v>
      </c>
      <c r="E14" s="258">
        <v>12</v>
      </c>
      <c r="F14" s="38">
        <f>'odhad fak'!O14</f>
        <v>20783.928099999994</v>
      </c>
      <c r="G14" s="38">
        <f>'odhad ost'!P14</f>
        <v>4595.9335</v>
      </c>
      <c r="H14" s="222">
        <f t="shared" si="0"/>
        <v>25379.861599999993</v>
      </c>
      <c r="I14" s="90"/>
    </row>
    <row r="15" spans="1:9" s="29" customFormat="1" ht="12">
      <c r="A15" s="241"/>
      <c r="B15" s="28"/>
      <c r="C15" s="28"/>
      <c r="D15" s="28" t="s">
        <v>9</v>
      </c>
      <c r="E15" s="258">
        <v>13</v>
      </c>
      <c r="F15" s="38">
        <f>'odhad fak'!O15</f>
        <v>79342.34098</v>
      </c>
      <c r="G15" s="38">
        <f>'odhad ost'!P15</f>
        <v>194411.49563000002</v>
      </c>
      <c r="H15" s="222">
        <f t="shared" si="0"/>
        <v>273753.83661</v>
      </c>
      <c r="I15" s="90"/>
    </row>
    <row r="16" spans="1:8" ht="12">
      <c r="A16" s="240"/>
      <c r="B16" s="4" t="s">
        <v>14</v>
      </c>
      <c r="C16" s="3"/>
      <c r="D16" s="3"/>
      <c r="E16" s="246">
        <v>14</v>
      </c>
      <c r="F16" s="224">
        <f>'odhad fak'!O16</f>
        <v>98020</v>
      </c>
      <c r="G16" s="224">
        <f>'odhad ost'!P16</f>
        <v>0</v>
      </c>
      <c r="H16" s="290">
        <f t="shared" si="0"/>
        <v>98020</v>
      </c>
    </row>
    <row r="17" spans="1:8" ht="12">
      <c r="A17" s="240"/>
      <c r="B17" s="4" t="s">
        <v>15</v>
      </c>
      <c r="C17" s="3"/>
      <c r="D17" s="3"/>
      <c r="E17" s="246">
        <v>15</v>
      </c>
      <c r="F17" s="224">
        <f>'odhad fak'!O17</f>
        <v>9825.10924</v>
      </c>
      <c r="G17" s="224">
        <f>'odhad ost'!P17</f>
        <v>25857.890760000002</v>
      </c>
      <c r="H17" s="290">
        <f t="shared" si="0"/>
        <v>35683</v>
      </c>
    </row>
    <row r="18" spans="1:8" ht="12">
      <c r="A18" s="240"/>
      <c r="B18" s="4" t="s">
        <v>20</v>
      </c>
      <c r="C18" s="3"/>
      <c r="D18" s="3"/>
      <c r="E18" s="246">
        <v>16</v>
      </c>
      <c r="F18" s="224">
        <f>'odhad fak'!O18</f>
        <v>49699.02428</v>
      </c>
      <c r="G18" s="224">
        <f>'odhad ost'!P18</f>
        <v>41775.97574</v>
      </c>
      <c r="H18" s="290">
        <f t="shared" si="0"/>
        <v>91475.00002</v>
      </c>
    </row>
    <row r="19" spans="1:8" ht="12">
      <c r="A19" s="240"/>
      <c r="B19" s="4" t="s">
        <v>16</v>
      </c>
      <c r="C19" s="3"/>
      <c r="D19" s="3"/>
      <c r="E19" s="246">
        <v>17</v>
      </c>
      <c r="F19" s="224">
        <f>'odhad fak'!O19</f>
        <v>8764</v>
      </c>
      <c r="G19" s="224">
        <f>'odhad ost'!P19</f>
        <v>0</v>
      </c>
      <c r="H19" s="290">
        <f t="shared" si="0"/>
        <v>8764</v>
      </c>
    </row>
    <row r="20" spans="1:8" ht="12">
      <c r="A20" s="240"/>
      <c r="B20" s="4" t="s">
        <v>24</v>
      </c>
      <c r="C20" s="4"/>
      <c r="D20" s="4"/>
      <c r="E20" s="246">
        <v>18</v>
      </c>
      <c r="F20" s="224">
        <f>'odhad fak'!O20</f>
        <v>3610.1240000000003</v>
      </c>
      <c r="G20" s="224">
        <f>'odhad ost'!P20</f>
        <v>4934.780465454545</v>
      </c>
      <c r="H20" s="290">
        <f t="shared" si="0"/>
        <v>8544.904465454545</v>
      </c>
    </row>
    <row r="21" spans="1:8" ht="12">
      <c r="A21" s="240"/>
      <c r="B21" s="4" t="s">
        <v>31</v>
      </c>
      <c r="C21" s="4"/>
      <c r="D21" s="4"/>
      <c r="E21" s="246">
        <v>19</v>
      </c>
      <c r="F21" s="224">
        <f>'odhad fak'!O21</f>
        <v>39233.34682</v>
      </c>
      <c r="G21" s="224">
        <f>'odhad ost'!P21</f>
        <v>28421.89823</v>
      </c>
      <c r="H21" s="290">
        <f t="shared" si="0"/>
        <v>67655.24505</v>
      </c>
    </row>
    <row r="22" spans="1:8" ht="12">
      <c r="A22" s="240"/>
      <c r="B22" s="4" t="s">
        <v>25</v>
      </c>
      <c r="C22" s="4"/>
      <c r="D22" s="4"/>
      <c r="E22" s="246">
        <v>20</v>
      </c>
      <c r="F22" s="224">
        <f>'odhad fak'!O22</f>
        <v>255282.86339</v>
      </c>
      <c r="G22" s="224">
        <f>'odhad ost'!P22</f>
        <v>1111.13661</v>
      </c>
      <c r="H22" s="290">
        <f t="shared" si="0"/>
        <v>256394</v>
      </c>
    </row>
    <row r="23" spans="1:8" ht="12">
      <c r="A23" s="240"/>
      <c r="B23" s="4" t="s">
        <v>26</v>
      </c>
      <c r="C23" s="4"/>
      <c r="D23" s="4"/>
      <c r="E23" s="246">
        <v>21</v>
      </c>
      <c r="F23" s="224">
        <f>'odhad fak'!O23</f>
        <v>225013.74602000002</v>
      </c>
      <c r="G23" s="224">
        <f>'odhad ost'!P23</f>
        <v>12178.087</v>
      </c>
      <c r="H23" s="290">
        <f t="shared" si="0"/>
        <v>237191.83302000002</v>
      </c>
    </row>
    <row r="24" spans="1:8" ht="12">
      <c r="A24" s="240"/>
      <c r="B24" s="4" t="s">
        <v>27</v>
      </c>
      <c r="C24" s="4"/>
      <c r="D24" s="4"/>
      <c r="E24" s="246">
        <v>22</v>
      </c>
      <c r="F24" s="224">
        <f>'odhad fak'!O24</f>
        <v>63553.88250000001</v>
      </c>
      <c r="G24" s="224">
        <f>'odhad ost'!P24</f>
        <v>4094.96083</v>
      </c>
      <c r="H24" s="290">
        <f t="shared" si="0"/>
        <v>67648.84333</v>
      </c>
    </row>
    <row r="25" spans="1:8" ht="12">
      <c r="A25" s="240"/>
      <c r="B25" s="95" t="s">
        <v>30</v>
      </c>
      <c r="C25" s="95"/>
      <c r="D25" s="95"/>
      <c r="E25" s="247">
        <v>23</v>
      </c>
      <c r="F25" s="224">
        <f>'odhad fak'!O25</f>
        <v>27926.473280000002</v>
      </c>
      <c r="G25" s="224">
        <f>'odhad ost'!P25</f>
        <v>51127.22172000001</v>
      </c>
      <c r="H25" s="300">
        <f t="shared" si="0"/>
        <v>79053.695</v>
      </c>
    </row>
    <row r="26" spans="1:8" ht="12.75">
      <c r="A26" s="239" t="s">
        <v>158</v>
      </c>
      <c r="B26" s="171"/>
      <c r="C26" s="171"/>
      <c r="D26" s="171"/>
      <c r="E26" s="245">
        <v>24</v>
      </c>
      <c r="F26" s="262">
        <f>SUM(F27:F41)</f>
        <v>2306810.1250899998</v>
      </c>
      <c r="G26" s="262">
        <f>SUM(G27:G41)</f>
        <v>864010.4727600003</v>
      </c>
      <c r="H26" s="255">
        <f>SUM(H27:H41)</f>
        <v>3170820.59785</v>
      </c>
    </row>
    <row r="27" spans="1:11" ht="13.5">
      <c r="A27" s="240" t="s">
        <v>10</v>
      </c>
      <c r="B27" s="3" t="s">
        <v>179</v>
      </c>
      <c r="C27" s="3"/>
      <c r="D27" s="3"/>
      <c r="E27" s="246">
        <v>25</v>
      </c>
      <c r="F27" s="224">
        <f>'odhad fak'!O27</f>
        <v>1140816.847</v>
      </c>
      <c r="G27" s="224">
        <f>'odhad ost'!P27</f>
        <v>350215.66500000004</v>
      </c>
      <c r="H27" s="289">
        <f aca="true" t="shared" si="1" ref="H27:H43">F27+G27</f>
        <v>1491032.512</v>
      </c>
      <c r="I27" s="467">
        <f>'odhad fak'!P27+'odhad ost'!R27</f>
        <v>4167512</v>
      </c>
      <c r="J27" s="10"/>
      <c r="K27" s="10"/>
    </row>
    <row r="28" spans="1:9" ht="12">
      <c r="A28" s="240"/>
      <c r="B28" s="4" t="s">
        <v>14</v>
      </c>
      <c r="C28" s="4"/>
      <c r="D28" s="4"/>
      <c r="E28" s="246">
        <v>26</v>
      </c>
      <c r="F28" s="224">
        <f>'odhad fak'!O28</f>
        <v>98020</v>
      </c>
      <c r="G28" s="224">
        <f>'odhad ost'!P28</f>
        <v>0</v>
      </c>
      <c r="H28" s="289">
        <f t="shared" si="1"/>
        <v>98020</v>
      </c>
      <c r="I28" s="467">
        <f>'odhad fak'!P28+'odhad ost'!R28</f>
        <v>0</v>
      </c>
    </row>
    <row r="29" spans="1:9" ht="12">
      <c r="A29" s="240"/>
      <c r="B29" s="4" t="s">
        <v>15</v>
      </c>
      <c r="C29" s="4"/>
      <c r="D29" s="4"/>
      <c r="E29" s="246">
        <v>27</v>
      </c>
      <c r="F29" s="224">
        <f>'odhad fak'!O29</f>
        <v>9825.10924</v>
      </c>
      <c r="G29" s="224">
        <f>'odhad ost'!P29</f>
        <v>25857.890760000002</v>
      </c>
      <c r="H29" s="289">
        <f t="shared" si="1"/>
        <v>35683</v>
      </c>
      <c r="I29" s="467">
        <f>'odhad fak'!P29+'odhad ost'!R29</f>
        <v>0</v>
      </c>
    </row>
    <row r="30" spans="1:9" ht="12">
      <c r="A30" s="240"/>
      <c r="B30" s="4" t="s">
        <v>20</v>
      </c>
      <c r="C30" s="3"/>
      <c r="D30" s="3"/>
      <c r="E30" s="246">
        <v>28</v>
      </c>
      <c r="F30" s="224">
        <f>'odhad fak'!O30</f>
        <v>49699.02428</v>
      </c>
      <c r="G30" s="224">
        <f>'odhad ost'!P30</f>
        <v>41775.97574</v>
      </c>
      <c r="H30" s="289">
        <f t="shared" si="1"/>
        <v>91475.00002</v>
      </c>
      <c r="I30" s="467">
        <f>'odhad fak'!P30+'odhad ost'!R30</f>
        <v>0</v>
      </c>
    </row>
    <row r="31" spans="1:9" ht="12">
      <c r="A31" s="240"/>
      <c r="B31" s="4" t="s">
        <v>16</v>
      </c>
      <c r="C31" s="4"/>
      <c r="D31" s="4"/>
      <c r="E31" s="246">
        <v>29</v>
      </c>
      <c r="F31" s="224">
        <f>'odhad fak'!O31</f>
        <v>8764</v>
      </c>
      <c r="G31" s="224">
        <f>'odhad ost'!P31</f>
        <v>0</v>
      </c>
      <c r="H31" s="289">
        <f t="shared" si="1"/>
        <v>8764</v>
      </c>
      <c r="I31" s="467">
        <f>'odhad fak'!P31+'odhad ost'!R31</f>
        <v>0</v>
      </c>
    </row>
    <row r="32" spans="1:9" ht="12">
      <c r="A32" s="240"/>
      <c r="B32" s="4" t="s">
        <v>221</v>
      </c>
      <c r="C32" s="4"/>
      <c r="D32" s="4"/>
      <c r="E32" s="246">
        <v>30</v>
      </c>
      <c r="F32" s="224">
        <f>'odhad fak'!O32</f>
        <v>0</v>
      </c>
      <c r="G32" s="224">
        <f>'odhad ost'!P32</f>
        <v>103207.037</v>
      </c>
      <c r="H32" s="289">
        <f t="shared" si="1"/>
        <v>103207.037</v>
      </c>
      <c r="I32" s="467">
        <f>'odhad fak'!P32+'odhad ost'!R32</f>
        <v>20037</v>
      </c>
    </row>
    <row r="33" spans="1:9" ht="12">
      <c r="A33" s="240"/>
      <c r="B33" s="4" t="s">
        <v>24</v>
      </c>
      <c r="C33" s="4"/>
      <c r="D33" s="4"/>
      <c r="E33" s="246">
        <v>31</v>
      </c>
      <c r="F33" s="224">
        <f>'odhad fak'!O33</f>
        <v>3711.3</v>
      </c>
      <c r="G33" s="224">
        <f>'odhad ost'!P33</f>
        <v>2854</v>
      </c>
      <c r="H33" s="289">
        <f t="shared" si="1"/>
        <v>6565.3</v>
      </c>
      <c r="I33" s="467">
        <f>'odhad fak'!P33+'odhad ost'!R33</f>
        <v>0</v>
      </c>
    </row>
    <row r="34" spans="1:9" ht="12">
      <c r="A34" s="240"/>
      <c r="B34" s="4" t="s">
        <v>31</v>
      </c>
      <c r="C34" s="4"/>
      <c r="D34" s="4"/>
      <c r="E34" s="246">
        <v>32</v>
      </c>
      <c r="F34" s="224">
        <f>'odhad fak'!O34</f>
        <v>37256.363970000006</v>
      </c>
      <c r="G34" s="224">
        <f>'odhad ost'!P34</f>
        <v>28421.89823</v>
      </c>
      <c r="H34" s="289">
        <f t="shared" si="1"/>
        <v>65678.2622</v>
      </c>
      <c r="I34" s="467">
        <f>'odhad fak'!P34+'odhad ost'!R34</f>
        <v>0</v>
      </c>
    </row>
    <row r="35" spans="1:9" ht="12">
      <c r="A35" s="240"/>
      <c r="B35" s="4" t="s">
        <v>85</v>
      </c>
      <c r="C35" s="4"/>
      <c r="D35" s="4"/>
      <c r="E35" s="246">
        <v>33</v>
      </c>
      <c r="F35" s="224">
        <f>'odhad fak'!O35</f>
        <v>112915</v>
      </c>
      <c r="G35" s="224">
        <f>'odhad ost'!P35</f>
        <v>0</v>
      </c>
      <c r="H35" s="289">
        <f t="shared" si="1"/>
        <v>112915</v>
      </c>
      <c r="I35" s="467">
        <f>'odhad fak'!P35+'odhad ost'!R35</f>
        <v>0</v>
      </c>
    </row>
    <row r="36" spans="1:11" ht="12">
      <c r="A36" s="240"/>
      <c r="B36" s="4" t="s">
        <v>25</v>
      </c>
      <c r="C36" s="4"/>
      <c r="D36" s="4"/>
      <c r="E36" s="246">
        <v>34</v>
      </c>
      <c r="F36" s="224">
        <f>'odhad fak'!O36</f>
        <v>255282.86339</v>
      </c>
      <c r="G36" s="224">
        <f>'odhad ost'!P36</f>
        <v>1111.13661</v>
      </c>
      <c r="H36" s="289">
        <f t="shared" si="1"/>
        <v>256394</v>
      </c>
      <c r="I36" s="467">
        <f>'odhad fak'!P36+'odhad ost'!R36</f>
        <v>0</v>
      </c>
      <c r="K36" s="10"/>
    </row>
    <row r="37" spans="1:9" ht="12">
      <c r="A37" s="240"/>
      <c r="B37" s="4" t="s">
        <v>26</v>
      </c>
      <c r="C37" s="4"/>
      <c r="D37" s="4"/>
      <c r="E37" s="246">
        <v>35</v>
      </c>
      <c r="F37" s="224">
        <f>'odhad fak'!O37</f>
        <v>225013.74602000002</v>
      </c>
      <c r="G37" s="224">
        <f>'odhad ost'!P37</f>
        <v>12178.087</v>
      </c>
      <c r="H37" s="289">
        <f t="shared" si="1"/>
        <v>237191.83302000002</v>
      </c>
      <c r="I37" s="467">
        <f>'odhad fak'!P37+'odhad ost'!R37</f>
        <v>3740305</v>
      </c>
    </row>
    <row r="38" spans="1:9" ht="12">
      <c r="A38" s="240"/>
      <c r="B38" s="4" t="s">
        <v>27</v>
      </c>
      <c r="C38" s="4"/>
      <c r="D38" s="4"/>
      <c r="E38" s="246">
        <v>36</v>
      </c>
      <c r="F38" s="224">
        <f>'odhad fak'!O38</f>
        <v>63553.88250000001</v>
      </c>
      <c r="G38" s="224">
        <f>'odhad ost'!P38</f>
        <v>4094.96083</v>
      </c>
      <c r="H38" s="289">
        <f t="shared" si="1"/>
        <v>67648.84333</v>
      </c>
      <c r="I38" s="467">
        <f>'odhad fak'!P38+'odhad ost'!R38</f>
        <v>0</v>
      </c>
    </row>
    <row r="39" spans="1:9" ht="13.5">
      <c r="A39" s="240"/>
      <c r="B39" s="4" t="s">
        <v>180</v>
      </c>
      <c r="C39" s="4"/>
      <c r="D39" s="4"/>
      <c r="E39" s="246">
        <v>37</v>
      </c>
      <c r="F39" s="224">
        <f>'odhad fak'!O39</f>
        <v>260472.08321</v>
      </c>
      <c r="G39" s="224">
        <f>'odhad ost'!P39</f>
        <v>212032.20380999998</v>
      </c>
      <c r="H39" s="289">
        <f t="shared" si="1"/>
        <v>472504.28702</v>
      </c>
      <c r="I39" s="467">
        <f>'odhad fak'!P39+'odhad ost'!R39</f>
        <v>0</v>
      </c>
    </row>
    <row r="40" spans="1:9" ht="12">
      <c r="A40" s="240"/>
      <c r="B40" s="4" t="s">
        <v>29</v>
      </c>
      <c r="C40" s="4"/>
      <c r="D40" s="4"/>
      <c r="E40" s="246">
        <v>38</v>
      </c>
      <c r="F40" s="224">
        <f>'odhad fak'!O40</f>
        <v>11018.653</v>
      </c>
      <c r="G40" s="224">
        <f>'odhad ost'!P40</f>
        <v>17786.886000000002</v>
      </c>
      <c r="H40" s="289">
        <f t="shared" si="1"/>
        <v>28805.539000000004</v>
      </c>
      <c r="I40" s="467">
        <f>'odhad fak'!P40+'odhad ost'!R40</f>
        <v>0</v>
      </c>
    </row>
    <row r="41" spans="1:9" ht="12">
      <c r="A41" s="240"/>
      <c r="B41" s="4" t="s">
        <v>30</v>
      </c>
      <c r="C41" s="4"/>
      <c r="D41" s="4"/>
      <c r="E41" s="246">
        <v>39</v>
      </c>
      <c r="F41" s="224">
        <f>'odhad fak'!O41</f>
        <v>30461.25248</v>
      </c>
      <c r="G41" s="224">
        <f>'odhad ost'!P41</f>
        <v>64474.73178000001</v>
      </c>
      <c r="H41" s="289">
        <f t="shared" si="1"/>
        <v>94935.98426000001</v>
      </c>
      <c r="I41" s="479">
        <f>'odhad fak'!P41+'odhad ost'!R41</f>
        <v>0</v>
      </c>
    </row>
    <row r="42" spans="1:9" s="29" customFormat="1" ht="12.75" hidden="1" thickBot="1">
      <c r="A42" s="241" t="s">
        <v>32</v>
      </c>
      <c r="B42" s="27"/>
      <c r="C42" s="27"/>
      <c r="D42" s="27"/>
      <c r="E42" s="259">
        <v>42</v>
      </c>
      <c r="F42" s="181">
        <f>'plán fak.'!O42</f>
        <v>8246.675000000047</v>
      </c>
      <c r="G42" s="181">
        <f>'plán ost. '!O42</f>
        <v>14627.735999998826</v>
      </c>
      <c r="H42" s="300">
        <f t="shared" si="1"/>
        <v>22874.410999998872</v>
      </c>
      <c r="I42" s="467">
        <f>'odhad fak'!P42+'odhad ost'!R42</f>
        <v>0</v>
      </c>
    </row>
    <row r="43" spans="1:9" ht="12.75">
      <c r="A43" s="239" t="s">
        <v>165</v>
      </c>
      <c r="B43" s="171"/>
      <c r="C43" s="171"/>
      <c r="D43" s="171"/>
      <c r="E43" s="245">
        <v>40</v>
      </c>
      <c r="F43" s="262">
        <f>F26-F3</f>
        <v>32240.0131699997</v>
      </c>
      <c r="G43" s="262">
        <f>G26-G3</f>
        <v>21057.78548454563</v>
      </c>
      <c r="H43" s="255">
        <f t="shared" si="1"/>
        <v>53297.79865454533</v>
      </c>
      <c r="I43" s="467">
        <f>SUM(I27:I42)</f>
        <v>7927854</v>
      </c>
    </row>
    <row r="44" spans="1:9" s="459" customFormat="1" ht="11.25">
      <c r="A44" s="556"/>
      <c r="F44" s="554">
        <f>'odhad fak'!O44</f>
        <v>21517.830240000003</v>
      </c>
      <c r="G44" s="554">
        <f>'odhad ost'!P44</f>
        <v>3152.91855</v>
      </c>
      <c r="H44" s="557">
        <f>SUM(F44:G44)</f>
        <v>24670.74879</v>
      </c>
      <c r="I44" s="459" t="s">
        <v>203</v>
      </c>
    </row>
    <row r="45" spans="1:8" s="89" customFormat="1" ht="11.25">
      <c r="A45" s="210" t="s">
        <v>141</v>
      </c>
      <c r="B45" s="90"/>
      <c r="C45" s="90"/>
      <c r="D45" s="90"/>
      <c r="E45" s="90"/>
      <c r="F45" s="91">
        <f>'plán fak.'!O45</f>
        <v>127851</v>
      </c>
      <c r="G45" s="91">
        <f>'plán ost. '!O45</f>
        <v>56299</v>
      </c>
      <c r="H45" s="211">
        <f aca="true" t="shared" si="2" ref="H45:H52">SUM(F45:G45)</f>
        <v>184150</v>
      </c>
    </row>
    <row r="46" spans="1:8" s="89" customFormat="1" ht="11.25">
      <c r="A46" s="142" t="s">
        <v>142</v>
      </c>
      <c r="B46" s="90"/>
      <c r="C46" s="90"/>
      <c r="D46" s="90"/>
      <c r="E46" s="90"/>
      <c r="F46" s="91">
        <f>'plán fak.'!O46</f>
        <v>38176</v>
      </c>
      <c r="G46" s="91">
        <f>'plán ost. '!O46</f>
        <v>26726</v>
      </c>
      <c r="H46" s="91">
        <f t="shared" si="2"/>
        <v>64902</v>
      </c>
    </row>
    <row r="47" spans="1:8" s="89" customFormat="1" ht="11.25">
      <c r="A47" s="142" t="s">
        <v>143</v>
      </c>
      <c r="B47" s="90"/>
      <c r="C47" s="90"/>
      <c r="D47" s="90"/>
      <c r="E47" s="90"/>
      <c r="F47" s="91">
        <f>'plán fak.'!O47</f>
        <v>89675</v>
      </c>
      <c r="G47" s="91">
        <f>'plán ost. '!O47</f>
        <v>29573</v>
      </c>
      <c r="H47" s="91">
        <f t="shared" si="2"/>
        <v>119248</v>
      </c>
    </row>
    <row r="48" spans="1:8" s="89" customFormat="1" ht="11.25">
      <c r="A48" s="142" t="s">
        <v>145</v>
      </c>
      <c r="B48" s="90"/>
      <c r="C48" s="90"/>
      <c r="D48" s="90"/>
      <c r="E48" s="90"/>
      <c r="F48" s="91">
        <f>'plán fak.'!O48</f>
        <v>0</v>
      </c>
      <c r="G48" s="91">
        <f>'plán ost. '!O48</f>
        <v>0</v>
      </c>
      <c r="H48" s="91">
        <f t="shared" si="2"/>
        <v>0</v>
      </c>
    </row>
    <row r="49" spans="1:8" ht="12">
      <c r="A49" s="90" t="s">
        <v>170</v>
      </c>
      <c r="B49" s="90"/>
      <c r="C49" s="90"/>
      <c r="D49" s="90"/>
      <c r="E49" s="90"/>
      <c r="F49" s="91">
        <f>'plán fak.'!O49</f>
        <v>1072899</v>
      </c>
      <c r="G49" s="91">
        <f>'plán ost. '!O49</f>
        <v>197048</v>
      </c>
      <c r="H49" s="91">
        <f t="shared" si="2"/>
        <v>1269947</v>
      </c>
    </row>
    <row r="50" spans="1:8" ht="12">
      <c r="A50" s="90" t="s">
        <v>146</v>
      </c>
      <c r="B50" s="90"/>
      <c r="C50" s="90"/>
      <c r="D50" s="90"/>
      <c r="E50" s="89"/>
      <c r="F50" s="91">
        <f>'plán fak.'!O50</f>
        <v>23320</v>
      </c>
      <c r="G50" s="91">
        <f>'plán ost. '!O50</f>
        <v>117730</v>
      </c>
      <c r="H50" s="91">
        <f t="shared" si="2"/>
        <v>141050</v>
      </c>
    </row>
    <row r="51" spans="1:8" ht="12">
      <c r="A51" s="90" t="s">
        <v>171</v>
      </c>
      <c r="B51" s="90"/>
      <c r="C51" s="90"/>
      <c r="D51" s="90"/>
      <c r="E51" s="89"/>
      <c r="F51" s="91">
        <f>'plán fak.'!O51</f>
        <v>38176</v>
      </c>
      <c r="G51" s="91">
        <f>'plán ost. '!O51</f>
        <v>22520</v>
      </c>
      <c r="H51" s="91">
        <f t="shared" si="2"/>
        <v>60696</v>
      </c>
    </row>
    <row r="52" spans="1:8" ht="12">
      <c r="A52" s="312" t="s">
        <v>183</v>
      </c>
      <c r="B52" s="90"/>
      <c r="C52" s="90"/>
      <c r="D52" s="90"/>
      <c r="E52" s="89"/>
      <c r="F52" s="91">
        <f>'plán fak.'!O52</f>
        <v>1134395</v>
      </c>
      <c r="G52" s="91">
        <f>'plán ost. '!O52</f>
        <v>337298</v>
      </c>
      <c r="H52" s="206">
        <f t="shared" si="2"/>
        <v>1471693</v>
      </c>
    </row>
    <row r="53" spans="1:8" ht="12">
      <c r="A53" s="90"/>
      <c r="B53" s="90"/>
      <c r="C53" s="90"/>
      <c r="D53" s="90"/>
      <c r="E53" s="89"/>
      <c r="F53" s="91"/>
      <c r="G53" s="91"/>
      <c r="H53" s="91">
        <f>99000+H52</f>
        <v>1570693</v>
      </c>
    </row>
  </sheetData>
  <mergeCells count="1">
    <mergeCell ref="A1:D1"/>
  </mergeCells>
  <printOptions/>
  <pageMargins left="0.6692913385826772" right="0.15748031496062992" top="0.27" bottom="0.4330708661417323" header="0.21" footer="0.2755905511811024"/>
  <pageSetup horizontalDpi="600" verticalDpi="600" orientation="landscape" paperSize="9" scale="88" r:id="rId1"/>
  <headerFooter alignWithMargins="0">
    <oddHeader>&amp;L&amp;"Arial CE,kurzíva\&amp;11Osnova rozpočtu</oddHeader>
    <oddFooter>&amp;L&amp;8&amp;D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>
    <tabColor indexed="38"/>
  </sheetPr>
  <dimension ref="A1:P53"/>
  <sheetViews>
    <sheetView workbookViewId="0" topLeftCell="A1">
      <selection activeCell="G35" sqref="G3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375" style="0" customWidth="1"/>
    <col min="5" max="5" width="3.75390625" style="0" customWidth="1"/>
    <col min="6" max="7" width="8.375" style="0" customWidth="1"/>
    <col min="8" max="8" width="7.375" style="0" customWidth="1"/>
    <col min="9" max="10" width="8.375" style="0" customWidth="1"/>
    <col min="11" max="11" width="8.00390625" style="0" customWidth="1"/>
    <col min="12" max="14" width="8.375" style="0" customWidth="1"/>
    <col min="15" max="15" width="9.125" style="310" customWidth="1"/>
    <col min="16" max="16" width="8.375" style="458" customWidth="1"/>
  </cols>
  <sheetData>
    <row r="1" spans="1:16" ht="12.75">
      <c r="A1" s="610" t="s">
        <v>205</v>
      </c>
      <c r="B1" s="611"/>
      <c r="C1" s="611"/>
      <c r="D1" s="612"/>
      <c r="E1" s="236"/>
      <c r="F1" s="269" t="s">
        <v>59</v>
      </c>
      <c r="G1" s="269" t="s">
        <v>60</v>
      </c>
      <c r="H1" s="269" t="s">
        <v>62</v>
      </c>
      <c r="I1" s="269" t="s">
        <v>61</v>
      </c>
      <c r="J1" s="269" t="s">
        <v>63</v>
      </c>
      <c r="K1" s="269" t="s">
        <v>64</v>
      </c>
      <c r="L1" s="269" t="s">
        <v>65</v>
      </c>
      <c r="M1" s="269" t="s">
        <v>66</v>
      </c>
      <c r="N1" s="270" t="s">
        <v>67</v>
      </c>
      <c r="O1" s="306" t="s">
        <v>72</v>
      </c>
      <c r="P1" s="476" t="s">
        <v>212</v>
      </c>
    </row>
    <row r="2" spans="1:16" s="7" customFormat="1" ht="12.75">
      <c r="A2" s="271" t="s">
        <v>38</v>
      </c>
      <c r="B2" s="137"/>
      <c r="C2" s="137"/>
      <c r="D2" s="138" t="s">
        <v>43</v>
      </c>
      <c r="E2" s="139" t="s">
        <v>21</v>
      </c>
      <c r="F2" s="272">
        <v>11</v>
      </c>
      <c r="G2" s="272">
        <v>21</v>
      </c>
      <c r="H2" s="272">
        <v>22</v>
      </c>
      <c r="I2" s="272">
        <v>23</v>
      </c>
      <c r="J2" s="272">
        <v>31</v>
      </c>
      <c r="K2" s="272">
        <v>33</v>
      </c>
      <c r="L2" s="272">
        <v>41</v>
      </c>
      <c r="M2" s="272">
        <v>51</v>
      </c>
      <c r="N2" s="273">
        <v>56</v>
      </c>
      <c r="O2" s="307" t="s">
        <v>68</v>
      </c>
      <c r="P2" s="468">
        <v>2005</v>
      </c>
    </row>
    <row r="3" spans="1:15" ht="12.75">
      <c r="A3" s="239" t="s">
        <v>157</v>
      </c>
      <c r="B3" s="171"/>
      <c r="C3" s="171"/>
      <c r="D3" s="171"/>
      <c r="E3" s="172">
        <v>1</v>
      </c>
      <c r="F3" s="179">
        <f aca="true" t="shared" si="0" ref="F3:O3">SUM(F5:F25)</f>
        <v>443780.72938</v>
      </c>
      <c r="G3" s="179">
        <f t="shared" si="0"/>
        <v>306767.0166600001</v>
      </c>
      <c r="H3" s="179">
        <f t="shared" si="0"/>
        <v>124210.78399000001</v>
      </c>
      <c r="I3" s="179">
        <f t="shared" si="0"/>
        <v>178915.44780000002</v>
      </c>
      <c r="J3" s="179">
        <f t="shared" si="0"/>
        <v>603193.6627600001</v>
      </c>
      <c r="K3" s="179">
        <f t="shared" si="0"/>
        <v>163669.59963999997</v>
      </c>
      <c r="L3" s="179">
        <f t="shared" si="0"/>
        <v>229115.08802999998</v>
      </c>
      <c r="M3" s="179">
        <f t="shared" si="0"/>
        <v>76775.51628000001</v>
      </c>
      <c r="N3" s="180">
        <f t="shared" si="0"/>
        <v>148142.26737999998</v>
      </c>
      <c r="O3" s="308">
        <f t="shared" si="0"/>
        <v>2274570.11192</v>
      </c>
    </row>
    <row r="4" spans="1:16" s="5" customFormat="1" ht="12">
      <c r="A4" s="240" t="s">
        <v>10</v>
      </c>
      <c r="B4" s="3" t="s">
        <v>91</v>
      </c>
      <c r="C4" s="3"/>
      <c r="D4" s="3"/>
      <c r="E4" s="8">
        <v>2</v>
      </c>
      <c r="F4" s="37">
        <f aca="true" t="shared" si="1" ref="F4:O4">SUM(F5:F15)</f>
        <v>304491.54439999996</v>
      </c>
      <c r="G4" s="37">
        <f t="shared" si="1"/>
        <v>225741.80105</v>
      </c>
      <c r="H4" s="37">
        <f t="shared" si="1"/>
        <v>112827.03846000001</v>
      </c>
      <c r="I4" s="37">
        <f t="shared" si="1"/>
        <v>99867.80500000001</v>
      </c>
      <c r="J4" s="37">
        <f t="shared" si="1"/>
        <v>282684.15371000004</v>
      </c>
      <c r="K4" s="37">
        <f t="shared" si="1"/>
        <v>104967.86909</v>
      </c>
      <c r="L4" s="37">
        <f t="shared" si="1"/>
        <v>187005.95036999998</v>
      </c>
      <c r="M4" s="37">
        <f t="shared" si="1"/>
        <v>68240.77258</v>
      </c>
      <c r="N4" s="135">
        <f t="shared" si="1"/>
        <v>107814.60772999999</v>
      </c>
      <c r="O4" s="289">
        <f t="shared" si="1"/>
        <v>1493641.54239</v>
      </c>
      <c r="P4" s="458"/>
    </row>
    <row r="5" spans="1:16" s="29" customFormat="1" ht="12">
      <c r="A5" s="241"/>
      <c r="B5" s="27"/>
      <c r="C5" s="27" t="s">
        <v>13</v>
      </c>
      <c r="D5" s="28" t="s">
        <v>17</v>
      </c>
      <c r="E5" s="8">
        <v>3</v>
      </c>
      <c r="F5" s="38">
        <f>LF!J6/1000</f>
        <v>149038.222</v>
      </c>
      <c r="G5" s="38">
        <f>'FF'!J6/1000</f>
        <v>126382.776</v>
      </c>
      <c r="H5" s="38">
        <f>PrF!J6/1000</f>
        <v>55341.594</v>
      </c>
      <c r="I5" s="38">
        <f>FSS!J6/1000</f>
        <v>50635.99753</v>
      </c>
      <c r="J5" s="38">
        <f>PřF!J6/1000</f>
        <v>114784.0234</v>
      </c>
      <c r="K5" s="38">
        <f>'FI'!J6/1000</f>
        <v>41450.955</v>
      </c>
      <c r="L5" s="38">
        <f>PdF!J6/1000</f>
        <v>102027.101</v>
      </c>
      <c r="M5" s="38">
        <f>FSpS!J6/1000</f>
        <v>34695.744</v>
      </c>
      <c r="N5" s="134">
        <f>ESF!J6/1000</f>
        <v>55975.438</v>
      </c>
      <c r="O5" s="222">
        <f aca="true" t="shared" si="2" ref="O5:O25">SUM(F5:N5)</f>
        <v>730331.85093</v>
      </c>
      <c r="P5" s="477"/>
    </row>
    <row r="6" spans="1:16" s="29" customFormat="1" ht="12">
      <c r="A6" s="241"/>
      <c r="B6" s="27"/>
      <c r="C6" s="27"/>
      <c r="D6" s="28" t="s">
        <v>18</v>
      </c>
      <c r="E6" s="8">
        <v>4</v>
      </c>
      <c r="F6" s="38">
        <f>LF!J7/1000</f>
        <v>3518.824</v>
      </c>
      <c r="G6" s="38">
        <f>'FF'!J7/1000</f>
        <v>4130.603</v>
      </c>
      <c r="H6" s="38">
        <f>PrF!J7/1000</f>
        <v>1461.134</v>
      </c>
      <c r="I6" s="38">
        <f>FSS!J7/1000</f>
        <v>1812.88</v>
      </c>
      <c r="J6" s="38">
        <f>PřF!J7/1000</f>
        <v>1975.951</v>
      </c>
      <c r="K6" s="38">
        <f>'FI'!J7/1000</f>
        <v>1661.205</v>
      </c>
      <c r="L6" s="38">
        <f>PdF!J7/1000</f>
        <v>6300.487</v>
      </c>
      <c r="M6" s="38">
        <f>FSpS!J7/1000</f>
        <v>1441.708</v>
      </c>
      <c r="N6" s="134">
        <f>ESF!J7/1000</f>
        <v>2466.369</v>
      </c>
      <c r="O6" s="222">
        <f t="shared" si="2"/>
        <v>24769.160999999996</v>
      </c>
      <c r="P6" s="459"/>
    </row>
    <row r="7" spans="1:16" s="29" customFormat="1" ht="12">
      <c r="A7" s="241"/>
      <c r="B7" s="27"/>
      <c r="C7" s="27"/>
      <c r="D7" s="28" t="s">
        <v>19</v>
      </c>
      <c r="E7" s="8">
        <v>5</v>
      </c>
      <c r="F7" s="38">
        <f>LF!J8/1000</f>
        <v>52496.431950000006</v>
      </c>
      <c r="G7" s="38">
        <f>'FF'!J8/1000</f>
        <v>44608.699</v>
      </c>
      <c r="H7" s="38">
        <f>PrF!J8/1000</f>
        <v>19632.682</v>
      </c>
      <c r="I7" s="38">
        <f>FSS!J8/1000</f>
        <v>17814.142920000002</v>
      </c>
      <c r="J7" s="38">
        <f>PřF!J8/1000</f>
        <v>40269.500700000004</v>
      </c>
      <c r="K7" s="38">
        <f>'FI'!J8/1000</f>
        <v>14722.34</v>
      </c>
      <c r="L7" s="38">
        <f>PdF!J8/1000</f>
        <v>36053.696</v>
      </c>
      <c r="M7" s="38">
        <f>FSpS!J8/1000</f>
        <v>12157.033</v>
      </c>
      <c r="N7" s="134">
        <f>ESF!J8/1000</f>
        <v>20001.109</v>
      </c>
      <c r="O7" s="222">
        <f t="shared" si="2"/>
        <v>257755.63457</v>
      </c>
      <c r="P7" s="459"/>
    </row>
    <row r="8" spans="1:16" s="29" customFormat="1" ht="12">
      <c r="A8" s="241"/>
      <c r="B8" s="27"/>
      <c r="C8" s="27"/>
      <c r="D8" s="28" t="s">
        <v>0</v>
      </c>
      <c r="E8" s="8">
        <v>6</v>
      </c>
      <c r="F8" s="38">
        <f>LF!J9/1000</f>
        <v>8234.84102</v>
      </c>
      <c r="G8" s="38">
        <f>'FF'!J9/1000</f>
        <v>5220.27601</v>
      </c>
      <c r="H8" s="38">
        <f>PrF!J9/1000</f>
        <v>3439.09521</v>
      </c>
      <c r="I8" s="38">
        <f>FSS!J9/1000</f>
        <v>1988.5701999999997</v>
      </c>
      <c r="J8" s="38">
        <f>PřF!J9/1000</f>
        <v>15627.226869999999</v>
      </c>
      <c r="K8" s="38">
        <f>'FI'!J9/1000</f>
        <v>3197.0415</v>
      </c>
      <c r="L8" s="38">
        <f>PdF!J9/1000</f>
        <v>3714.04308</v>
      </c>
      <c r="M8" s="38">
        <f>FSpS!J9/1000</f>
        <v>3412.2544199999998</v>
      </c>
      <c r="N8" s="134">
        <f>ESF!J9/1000</f>
        <v>1466.25175</v>
      </c>
      <c r="O8" s="222">
        <f t="shared" si="2"/>
        <v>46299.60006</v>
      </c>
      <c r="P8" s="459"/>
    </row>
    <row r="9" spans="1:16" s="29" customFormat="1" ht="12">
      <c r="A9" s="241"/>
      <c r="B9" s="27"/>
      <c r="C9" s="27"/>
      <c r="D9" s="28" t="s">
        <v>1</v>
      </c>
      <c r="E9" s="8">
        <v>7</v>
      </c>
      <c r="F9" s="38">
        <f>LF!J10/1000</f>
        <v>3283.50212</v>
      </c>
      <c r="G9" s="38">
        <f>'FF'!J10/1000</f>
        <v>1049.11323</v>
      </c>
      <c r="H9" s="38">
        <f>PrF!J10/1000</f>
        <v>2208.6691</v>
      </c>
      <c r="I9" s="38">
        <f>FSS!J10/1000</f>
        <v>983.7661100000001</v>
      </c>
      <c r="J9" s="38">
        <f>PřF!J10/1000</f>
        <v>1402.28737</v>
      </c>
      <c r="K9" s="38">
        <f>'FI'!J10/1000</f>
        <v>2243.6539700000003</v>
      </c>
      <c r="L9" s="38">
        <f>PdF!J10/1000</f>
        <v>2319.46477</v>
      </c>
      <c r="M9" s="38">
        <f>FSpS!J10/1000</f>
        <v>241.93311</v>
      </c>
      <c r="N9" s="134">
        <f>ESF!J10/1000</f>
        <v>866.16225</v>
      </c>
      <c r="O9" s="222">
        <f t="shared" si="2"/>
        <v>14598.55203</v>
      </c>
      <c r="P9" s="459"/>
    </row>
    <row r="10" spans="1:16" s="29" customFormat="1" ht="12">
      <c r="A10" s="241"/>
      <c r="B10" s="27"/>
      <c r="C10" s="27"/>
      <c r="D10" s="28" t="s">
        <v>2</v>
      </c>
      <c r="E10" s="8">
        <v>8</v>
      </c>
      <c r="F10" s="38">
        <f>LF!J11/1000</f>
        <v>15011.76597</v>
      </c>
      <c r="G10" s="38">
        <f>'FF'!J11/1000</f>
        <v>12471.967</v>
      </c>
      <c r="H10" s="38">
        <f>PrF!J11/1000</f>
        <v>12366.07123</v>
      </c>
      <c r="I10" s="38">
        <f>FSS!J11/1000</f>
        <v>6206.241940000001</v>
      </c>
      <c r="J10" s="38">
        <f>PřF!J11/1000</f>
        <v>15146.25382</v>
      </c>
      <c r="K10" s="38">
        <f>'FI'!J11/1000</f>
        <v>7528.88644</v>
      </c>
      <c r="L10" s="38">
        <f>PdF!J11/1000</f>
        <v>10742.12965</v>
      </c>
      <c r="M10" s="38">
        <f>FSpS!J11/1000</f>
        <v>3655.16731</v>
      </c>
      <c r="N10" s="134">
        <f>ESF!J11/1000</f>
        <v>6322.12853</v>
      </c>
      <c r="O10" s="222">
        <f t="shared" si="2"/>
        <v>89450.61189</v>
      </c>
      <c r="P10" s="459"/>
    </row>
    <row r="11" spans="1:16" s="29" customFormat="1" ht="12">
      <c r="A11" s="241"/>
      <c r="B11" s="27"/>
      <c r="C11" s="27"/>
      <c r="D11" s="28" t="s">
        <v>3</v>
      </c>
      <c r="E11" s="8">
        <v>9</v>
      </c>
      <c r="F11" s="38">
        <f>LF!J12/1000</f>
        <v>13399.729800000001</v>
      </c>
      <c r="G11" s="38">
        <f>'FF'!J12/1000</f>
        <v>9065.370630000001</v>
      </c>
      <c r="H11" s="38">
        <f>PrF!J12/1000</f>
        <v>8589.15949</v>
      </c>
      <c r="I11" s="38">
        <f>FSS!J12/1000</f>
        <v>5524.1399</v>
      </c>
      <c r="J11" s="38">
        <f>PřF!J12/1000</f>
        <v>12266.252</v>
      </c>
      <c r="K11" s="38">
        <f>'FI'!J12/1000</f>
        <v>4252.91866</v>
      </c>
      <c r="L11" s="38">
        <f>PdF!J12/1000</f>
        <v>10564.531140000001</v>
      </c>
      <c r="M11" s="38">
        <f>FSpS!J12/1000</f>
        <v>6759.1957</v>
      </c>
      <c r="N11" s="134">
        <f>ESF!J12/1000</f>
        <v>7294.96202</v>
      </c>
      <c r="O11" s="222">
        <f t="shared" si="2"/>
        <v>77716.25934000002</v>
      </c>
      <c r="P11" s="459"/>
    </row>
    <row r="12" spans="1:16" s="29" customFormat="1" ht="12">
      <c r="A12" s="241"/>
      <c r="B12" s="27"/>
      <c r="C12" s="27"/>
      <c r="D12" s="28" t="s">
        <v>4</v>
      </c>
      <c r="E12" s="8">
        <v>10</v>
      </c>
      <c r="F12" s="38">
        <f>LF!J13/1000</f>
        <v>880.5939200000001</v>
      </c>
      <c r="G12" s="38">
        <f>'FF'!J13/1000</f>
        <v>1457.36639</v>
      </c>
      <c r="H12" s="38">
        <f>PrF!J13/1000</f>
        <v>574.3606500000001</v>
      </c>
      <c r="I12" s="38">
        <f>FSS!J13/1000</f>
        <v>428.91189</v>
      </c>
      <c r="J12" s="38">
        <f>PřF!J13/1000</f>
        <v>2837.13522</v>
      </c>
      <c r="K12" s="38">
        <f>'FI'!J13/1000</f>
        <v>1204.4341000000002</v>
      </c>
      <c r="L12" s="38">
        <f>PdF!J13/1000</f>
        <v>2044.52709</v>
      </c>
      <c r="M12" s="38">
        <f>FSpS!J13/1000</f>
        <v>978.1946899999999</v>
      </c>
      <c r="N12" s="134">
        <f>ESF!J13/1000</f>
        <v>1041.33188</v>
      </c>
      <c r="O12" s="222">
        <f t="shared" si="2"/>
        <v>11446.85583</v>
      </c>
      <c r="P12" s="459"/>
    </row>
    <row r="13" spans="1:16" s="29" customFormat="1" ht="13.5">
      <c r="A13" s="241"/>
      <c r="B13" s="27"/>
      <c r="C13" s="27"/>
      <c r="D13" s="28" t="s">
        <v>178</v>
      </c>
      <c r="E13" s="8">
        <v>11</v>
      </c>
      <c r="F13" s="38">
        <f>LF!J14/1000</f>
        <v>31532.0454</v>
      </c>
      <c r="G13" s="38">
        <f>'FF'!J14/1000</f>
        <v>7706.4435</v>
      </c>
      <c r="H13" s="38">
        <f>PrF!J14/1000</f>
        <v>2565.4644</v>
      </c>
      <c r="I13" s="38">
        <f>FSS!J14/1000</f>
        <v>7418.714119999999</v>
      </c>
      <c r="J13" s="38">
        <f>PřF!J14/1000</f>
        <v>64386.47083</v>
      </c>
      <c r="K13" s="38">
        <f>'FI'!J14/1000</f>
        <v>12466.54511</v>
      </c>
      <c r="L13" s="38">
        <f>PdF!J14/1000</f>
        <v>7461.4051</v>
      </c>
      <c r="M13" s="38">
        <f>FSpS!J14/1000</f>
        <v>1212.3313600000001</v>
      </c>
      <c r="N13" s="134">
        <f>ESF!J14/1000</f>
        <v>6397.32784</v>
      </c>
      <c r="O13" s="222">
        <f t="shared" si="2"/>
        <v>141146.74766000002</v>
      </c>
      <c r="P13" s="459"/>
    </row>
    <row r="14" spans="1:16" s="29" customFormat="1" ht="12">
      <c r="A14" s="241"/>
      <c r="B14" s="27"/>
      <c r="C14" s="27"/>
      <c r="D14" s="28" t="s">
        <v>6</v>
      </c>
      <c r="E14" s="8">
        <v>12</v>
      </c>
      <c r="F14" s="38">
        <f>LF!J15/1000</f>
        <v>811.572</v>
      </c>
      <c r="G14" s="38">
        <f>'FF'!J15/1000</f>
        <v>6350.757</v>
      </c>
      <c r="H14" s="38">
        <f>PrF!J15/1000</f>
        <v>1308.791</v>
      </c>
      <c r="I14" s="38">
        <f>FSS!J15/1000</f>
        <v>1701.57</v>
      </c>
      <c r="J14" s="38">
        <f>PřF!J15/1000</f>
        <v>3295.4625</v>
      </c>
      <c r="K14" s="38">
        <f>'FI'!J15/1000</f>
        <v>3415</v>
      </c>
      <c r="L14" s="38">
        <f>PdF!J15/1000</f>
        <v>834.975</v>
      </c>
      <c r="M14" s="38">
        <f>FSpS!J15/1000</f>
        <v>460.231</v>
      </c>
      <c r="N14" s="134">
        <f>ESF!J15/1000</f>
        <v>2605.5696000000003</v>
      </c>
      <c r="O14" s="222">
        <f t="shared" si="2"/>
        <v>20783.928099999994</v>
      </c>
      <c r="P14" s="459"/>
    </row>
    <row r="15" spans="1:16" s="29" customFormat="1" ht="12">
      <c r="A15" s="241"/>
      <c r="B15" s="28"/>
      <c r="C15" s="28"/>
      <c r="D15" s="28" t="s">
        <v>9</v>
      </c>
      <c r="E15" s="8">
        <v>13</v>
      </c>
      <c r="F15" s="38">
        <f>LF!J16/1000</f>
        <v>26284.016219999998</v>
      </c>
      <c r="G15" s="38">
        <f>'FF'!J16/1000</f>
        <v>7298.429289999999</v>
      </c>
      <c r="H15" s="38">
        <f>PrF!J16/1000</f>
        <v>5340.01738</v>
      </c>
      <c r="I15" s="38">
        <f>FSS!J16/1000</f>
        <v>5352.87039</v>
      </c>
      <c r="J15" s="38">
        <f>PřF!J16/1000</f>
        <v>10693.59</v>
      </c>
      <c r="K15" s="38">
        <f>'FI'!J16/1000</f>
        <v>12824.88931</v>
      </c>
      <c r="L15" s="38">
        <f>PdF!J16/1000</f>
        <v>4943.59054</v>
      </c>
      <c r="M15" s="38">
        <f>FSpS!J16/1000</f>
        <v>3226.9799900000003</v>
      </c>
      <c r="N15" s="134">
        <f>ESF!J16/1000</f>
        <v>3377.9578600000004</v>
      </c>
      <c r="O15" s="222">
        <f t="shared" si="2"/>
        <v>79342.34098</v>
      </c>
      <c r="P15" s="459"/>
    </row>
    <row r="16" spans="1:16" s="5" customFormat="1" ht="12">
      <c r="A16" s="240"/>
      <c r="B16" s="4" t="s">
        <v>14</v>
      </c>
      <c r="C16" s="3"/>
      <c r="D16" s="3"/>
      <c r="E16" s="8">
        <v>14</v>
      </c>
      <c r="F16" s="224">
        <f>LF!J17/1000</f>
        <v>16731</v>
      </c>
      <c r="G16" s="224">
        <f>'FF'!J17/1000</f>
        <v>18780</v>
      </c>
      <c r="H16" s="224">
        <f>PrF!J17/1000</f>
        <v>3063</v>
      </c>
      <c r="I16" s="224">
        <f>FSS!J17/1000</f>
        <v>12041</v>
      </c>
      <c r="J16" s="224">
        <f>PřF!J17/1000</f>
        <v>30357</v>
      </c>
      <c r="K16" s="224">
        <f>'FI'!J17/1000</f>
        <v>4035</v>
      </c>
      <c r="L16" s="224">
        <f>PdF!J17/1000</f>
        <v>5767</v>
      </c>
      <c r="M16" s="224">
        <f>FSpS!J17/1000</f>
        <v>1500</v>
      </c>
      <c r="N16" s="284">
        <f>ESF!J17/1000</f>
        <v>5746</v>
      </c>
      <c r="O16" s="289">
        <f t="shared" si="2"/>
        <v>98020</v>
      </c>
      <c r="P16" s="458"/>
    </row>
    <row r="17" spans="1:16" s="5" customFormat="1" ht="12">
      <c r="A17" s="240"/>
      <c r="B17" s="4" t="s">
        <v>15</v>
      </c>
      <c r="C17" s="3"/>
      <c r="D17" s="3"/>
      <c r="E17" s="8">
        <v>15</v>
      </c>
      <c r="F17" s="224">
        <f>LF!J18/1000</f>
        <v>1108</v>
      </c>
      <c r="G17" s="224">
        <f>'FF'!J18/1000</f>
        <v>5036.10924</v>
      </c>
      <c r="H17" s="224">
        <f>PrF!J18/1000</f>
        <v>24</v>
      </c>
      <c r="I17" s="224">
        <f>FSS!J18/1000</f>
        <v>1154</v>
      </c>
      <c r="J17" s="224">
        <f>PřF!J18/1000</f>
        <v>1137</v>
      </c>
      <c r="K17" s="224">
        <f>'FI'!J18/1000</f>
        <v>513</v>
      </c>
      <c r="L17" s="224">
        <f>PdF!J18/1000</f>
        <v>272</v>
      </c>
      <c r="M17" s="224">
        <f>FSpS!J18/1000</f>
        <v>81</v>
      </c>
      <c r="N17" s="284">
        <f>ESF!J18/1000</f>
        <v>500</v>
      </c>
      <c r="O17" s="289">
        <f t="shared" si="2"/>
        <v>9825.10924</v>
      </c>
      <c r="P17" s="458"/>
    </row>
    <row r="18" spans="1:16" s="5" customFormat="1" ht="12">
      <c r="A18" s="240"/>
      <c r="B18" s="4" t="s">
        <v>20</v>
      </c>
      <c r="C18" s="3"/>
      <c r="D18" s="3"/>
      <c r="E18" s="8">
        <v>16</v>
      </c>
      <c r="F18" s="224">
        <f>LF!J19/1000</f>
        <v>11411.85</v>
      </c>
      <c r="G18" s="224">
        <f>'FF'!J19/1000</f>
        <v>4767.9</v>
      </c>
      <c r="H18" s="224">
        <f>PrF!J19/1000</f>
        <v>1060.8</v>
      </c>
      <c r="I18" s="224">
        <f>FSS!J19/1000</f>
        <v>9397.409</v>
      </c>
      <c r="J18" s="224">
        <f>PřF!J19/1000</f>
        <v>3176.55</v>
      </c>
      <c r="K18" s="224">
        <f>'FI'!J19/1000</f>
        <v>7464.815280000001</v>
      </c>
      <c r="L18" s="224">
        <f>PdF!J19/1000</f>
        <v>8166</v>
      </c>
      <c r="M18" s="224">
        <f>FSpS!J19/1000</f>
        <v>1391.7</v>
      </c>
      <c r="N18" s="284">
        <f>ESF!J19/1000</f>
        <v>2862</v>
      </c>
      <c r="O18" s="289">
        <f t="shared" si="2"/>
        <v>49699.02428</v>
      </c>
      <c r="P18" s="458"/>
    </row>
    <row r="19" spans="1:16" s="5" customFormat="1" ht="12">
      <c r="A19" s="240"/>
      <c r="B19" s="4" t="s">
        <v>16</v>
      </c>
      <c r="C19" s="3"/>
      <c r="D19" s="3"/>
      <c r="E19" s="8">
        <v>17</v>
      </c>
      <c r="F19" s="224">
        <f>LF!J20/1000</f>
        <v>461</v>
      </c>
      <c r="G19" s="224">
        <f>'FF'!J20/1000</f>
        <v>2276</v>
      </c>
      <c r="H19" s="224">
        <f>PrF!J20/1000</f>
        <v>0</v>
      </c>
      <c r="I19" s="224">
        <f>FSS!J20/1000</f>
        <v>419</v>
      </c>
      <c r="J19" s="224">
        <f>PřF!J20/1000</f>
        <v>3622</v>
      </c>
      <c r="K19" s="224">
        <f>'FI'!J20/1000</f>
        <v>95</v>
      </c>
      <c r="L19" s="224">
        <f>PdF!J20/1000</f>
        <v>821</v>
      </c>
      <c r="M19" s="224">
        <f>FSpS!J20/1000</f>
        <v>1070</v>
      </c>
      <c r="N19" s="284">
        <f>ESF!J20/1000</f>
        <v>0</v>
      </c>
      <c r="O19" s="289">
        <f t="shared" si="2"/>
        <v>8764</v>
      </c>
      <c r="P19" s="458"/>
    </row>
    <row r="20" spans="1:16" s="5" customFormat="1" ht="12">
      <c r="A20" s="240"/>
      <c r="B20" s="4" t="s">
        <v>24</v>
      </c>
      <c r="C20" s="4"/>
      <c r="D20" s="4"/>
      <c r="E20" s="8">
        <v>18</v>
      </c>
      <c r="F20" s="224">
        <f>LF!J21/1000</f>
        <v>128</v>
      </c>
      <c r="G20" s="224">
        <f>'FF'!J21/1000</f>
        <v>945</v>
      </c>
      <c r="H20" s="224">
        <f>PrF!J21/1000</f>
        <v>0</v>
      </c>
      <c r="I20" s="224">
        <f>FSS!J21/1000</f>
        <v>1310.3</v>
      </c>
      <c r="J20" s="224">
        <f>PřF!J21/1000</f>
        <v>138</v>
      </c>
      <c r="K20" s="224">
        <f>'FI'!J21/1000</f>
        <v>0</v>
      </c>
      <c r="L20" s="224">
        <f>PdF!J21/1000</f>
        <v>839</v>
      </c>
      <c r="M20" s="224">
        <f>FSpS!J21/1000</f>
        <v>0</v>
      </c>
      <c r="N20" s="284">
        <f>ESF!J21/1000</f>
        <v>249.824</v>
      </c>
      <c r="O20" s="289">
        <f t="shared" si="2"/>
        <v>3610.1240000000003</v>
      </c>
      <c r="P20" s="458"/>
    </row>
    <row r="21" spans="1:16" s="5" customFormat="1" ht="12">
      <c r="A21" s="240"/>
      <c r="B21" s="4" t="s">
        <v>31</v>
      </c>
      <c r="C21" s="4"/>
      <c r="D21" s="4"/>
      <c r="E21" s="8">
        <v>19</v>
      </c>
      <c r="F21" s="224">
        <f>LF!J22/1000</f>
        <v>30</v>
      </c>
      <c r="G21" s="224">
        <f>'FF'!J22/1000</f>
        <v>7321.762019999999</v>
      </c>
      <c r="H21" s="224">
        <f>PrF!J22/1000</f>
        <v>0</v>
      </c>
      <c r="I21" s="224">
        <f>FSS!J22/1000</f>
        <v>11432.89816</v>
      </c>
      <c r="J21" s="224">
        <f>PřF!J22/1000</f>
        <v>3546.39328</v>
      </c>
      <c r="K21" s="224">
        <f>'FI'!J22/1000</f>
        <v>2002.0231</v>
      </c>
      <c r="L21" s="224">
        <f>PdF!J22/1000</f>
        <v>10182.97916</v>
      </c>
      <c r="M21" s="224">
        <f>FSpS!J22/1000</f>
        <v>2999.227</v>
      </c>
      <c r="N21" s="284">
        <f>ESF!J22/1000</f>
        <v>1718.0641</v>
      </c>
      <c r="O21" s="289">
        <f t="shared" si="2"/>
        <v>39233.34682</v>
      </c>
      <c r="P21" s="458"/>
    </row>
    <row r="22" spans="1:16" s="5" customFormat="1" ht="12">
      <c r="A22" s="240"/>
      <c r="B22" s="4" t="s">
        <v>25</v>
      </c>
      <c r="C22" s="4"/>
      <c r="D22" s="4"/>
      <c r="E22" s="8">
        <v>20</v>
      </c>
      <c r="F22" s="224">
        <f>LF!J23/1000</f>
        <v>30388</v>
      </c>
      <c r="G22" s="224">
        <f>'FF'!J23/1000</f>
        <v>19230.2</v>
      </c>
      <c r="H22" s="224">
        <f>PrF!J23/1000</f>
        <v>6117</v>
      </c>
      <c r="I22" s="224">
        <f>FSS!J23/1000</f>
        <v>26613</v>
      </c>
      <c r="J22" s="224">
        <f>PřF!J23/1000</f>
        <v>152010.8</v>
      </c>
      <c r="K22" s="224">
        <f>'FI'!J23/1000</f>
        <v>11179.86339</v>
      </c>
      <c r="L22" s="224">
        <f>PdF!J23/1000</f>
        <v>8860</v>
      </c>
      <c r="M22" s="224">
        <f>FSpS!J23/1000</f>
        <v>0</v>
      </c>
      <c r="N22" s="284">
        <f>ESF!J23/1000</f>
        <v>884</v>
      </c>
      <c r="O22" s="289">
        <f t="shared" si="2"/>
        <v>255282.86339</v>
      </c>
      <c r="P22" s="458"/>
    </row>
    <row r="23" spans="1:16" s="5" customFormat="1" ht="12">
      <c r="A23" s="240"/>
      <c r="B23" s="4" t="s">
        <v>26</v>
      </c>
      <c r="C23" s="4"/>
      <c r="D23" s="4"/>
      <c r="E23" s="8">
        <v>21</v>
      </c>
      <c r="F23" s="224">
        <f>LF!J24/1000</f>
        <v>67047</v>
      </c>
      <c r="G23" s="224">
        <f>'FF'!J24/1000</f>
        <v>22104.67158</v>
      </c>
      <c r="H23" s="224">
        <f>PrF!J24/1000</f>
        <v>823</v>
      </c>
      <c r="I23" s="224">
        <f>FSS!J24/1000</f>
        <v>12141.588440000001</v>
      </c>
      <c r="J23" s="224">
        <f>PřF!J24/1000</f>
        <v>71688.486</v>
      </c>
      <c r="K23" s="224">
        <f>'FI'!J24/1000</f>
        <v>23591</v>
      </c>
      <c r="L23" s="224">
        <f>PdF!J24/1000</f>
        <v>5546</v>
      </c>
      <c r="M23" s="224">
        <f>FSpS!J24/1000</f>
        <v>0</v>
      </c>
      <c r="N23" s="284">
        <f>ESF!J24/1000</f>
        <v>22072</v>
      </c>
      <c r="O23" s="289">
        <f t="shared" si="2"/>
        <v>225013.74602000002</v>
      </c>
      <c r="P23" s="458"/>
    </row>
    <row r="24" spans="1:16" s="5" customFormat="1" ht="12">
      <c r="A24" s="240"/>
      <c r="B24" s="4" t="s">
        <v>27</v>
      </c>
      <c r="C24" s="4"/>
      <c r="D24" s="4"/>
      <c r="E24" s="8">
        <v>22</v>
      </c>
      <c r="F24" s="224">
        <f>LF!J25/1000</f>
        <v>9487.01942</v>
      </c>
      <c r="G24" s="224">
        <f>'FF'!J25/1000</f>
        <v>210.82277</v>
      </c>
      <c r="H24" s="224">
        <f>PrF!J25/1000</f>
        <v>15.30903</v>
      </c>
      <c r="I24" s="224">
        <f>FSS!J25/1000</f>
        <v>3962.93225</v>
      </c>
      <c r="J24" s="224">
        <f>PřF!J25/1000</f>
        <v>37760.37606</v>
      </c>
      <c r="K24" s="224">
        <f>'FI'!J25/1000</f>
        <v>9809.29978</v>
      </c>
      <c r="L24" s="224">
        <f>PdF!J25/1000</f>
        <v>1643.271</v>
      </c>
      <c r="M24" s="224">
        <f>FSpS!J25/1000</f>
        <v>247.11319</v>
      </c>
      <c r="N24" s="284">
        <f>ESF!J25/1000</f>
        <v>417.739</v>
      </c>
      <c r="O24" s="289">
        <f t="shared" si="2"/>
        <v>63553.88250000001</v>
      </c>
      <c r="P24" s="458"/>
    </row>
    <row r="25" spans="1:16" s="5" customFormat="1" ht="12">
      <c r="A25" s="240"/>
      <c r="B25" s="95" t="s">
        <v>30</v>
      </c>
      <c r="C25" s="95"/>
      <c r="D25" s="95"/>
      <c r="E25" s="9">
        <v>23</v>
      </c>
      <c r="F25" s="224">
        <f>LF!J26/1000</f>
        <v>2497.31556</v>
      </c>
      <c r="G25" s="224">
        <f>'FF'!J26/1000</f>
        <v>352.75</v>
      </c>
      <c r="H25" s="224">
        <f>PrF!J26/1000</f>
        <v>280.6365</v>
      </c>
      <c r="I25" s="224">
        <f>FSS!J26/1000</f>
        <v>575.51495</v>
      </c>
      <c r="J25" s="224">
        <f>PřF!J26/1000</f>
        <v>17072.903710000002</v>
      </c>
      <c r="K25" s="224">
        <f>'FI'!J26/1000</f>
        <v>11.729</v>
      </c>
      <c r="L25" s="224">
        <f>PdF!J26/1000</f>
        <v>11.8875</v>
      </c>
      <c r="M25" s="224">
        <f>FSpS!J26/1000</f>
        <v>1245.70351</v>
      </c>
      <c r="N25" s="284">
        <f>ESF!J26/1000</f>
        <v>5878.03255</v>
      </c>
      <c r="O25" s="291">
        <f t="shared" si="2"/>
        <v>27926.473280000002</v>
      </c>
      <c r="P25" s="458"/>
    </row>
    <row r="26" spans="1:15" ht="12.75">
      <c r="A26" s="239" t="s">
        <v>158</v>
      </c>
      <c r="B26" s="171"/>
      <c r="C26" s="171"/>
      <c r="D26" s="171"/>
      <c r="E26" s="172">
        <v>24</v>
      </c>
      <c r="F26" s="308">
        <f aca="true" t="shared" si="3" ref="F26:O26">SUM(F27:F41)</f>
        <v>454306.20103000005</v>
      </c>
      <c r="G26" s="308">
        <f t="shared" si="3"/>
        <v>311958.15760000004</v>
      </c>
      <c r="H26" s="308">
        <f t="shared" si="3"/>
        <v>128946.82281000001</v>
      </c>
      <c r="I26" s="308">
        <f t="shared" si="3"/>
        <v>181792.50993000003</v>
      </c>
      <c r="J26" s="308">
        <f t="shared" si="3"/>
        <v>606267.83661</v>
      </c>
      <c r="K26" s="308">
        <f t="shared" si="3"/>
        <v>163394.50089999998</v>
      </c>
      <c r="L26" s="308">
        <f t="shared" si="3"/>
        <v>232634.59896000003</v>
      </c>
      <c r="M26" s="308">
        <f t="shared" si="3"/>
        <v>77537.97125</v>
      </c>
      <c r="N26" s="308">
        <f t="shared" si="3"/>
        <v>149971.52599999998</v>
      </c>
      <c r="O26" s="308">
        <f t="shared" si="3"/>
        <v>2306810.1250899998</v>
      </c>
    </row>
    <row r="27" spans="1:16" s="5" customFormat="1" ht="13.5">
      <c r="A27" s="240" t="s">
        <v>10</v>
      </c>
      <c r="B27" s="3" t="s">
        <v>179</v>
      </c>
      <c r="C27" s="3"/>
      <c r="D27" s="3"/>
      <c r="E27" s="8">
        <v>25</v>
      </c>
      <c r="F27" s="224">
        <f>LF!J28/1000</f>
        <v>227574.986</v>
      </c>
      <c r="G27" s="224">
        <f>'FF'!J28/1000</f>
        <v>193872.459</v>
      </c>
      <c r="H27" s="224">
        <f>PrF!J28/1000</f>
        <v>83371.464</v>
      </c>
      <c r="I27" s="224">
        <f>FSS!J28/1000</f>
        <v>75928.243</v>
      </c>
      <c r="J27" s="224">
        <f>PřF!J28/1000</f>
        <v>174243.157</v>
      </c>
      <c r="K27" s="224">
        <f>'FI'!J28/1000</f>
        <v>79935.613</v>
      </c>
      <c r="L27" s="224">
        <f>PdF!J28/1000</f>
        <v>159561.718</v>
      </c>
      <c r="M27" s="224">
        <f>FSpS!J28/1000</f>
        <v>60671.504</v>
      </c>
      <c r="N27" s="284">
        <f>ESF!J28/1000</f>
        <v>85657.703</v>
      </c>
      <c r="O27" s="289">
        <f aca="true" t="shared" si="4" ref="O27:O41">SUM(F27:N27)</f>
        <v>1140816.847</v>
      </c>
      <c r="P27" s="467">
        <f>LF!P28+'FF'!P28+PrF!P28+FSS!P28+PřF!P28+'FI'!P28+PdF!P28+FSpS!P28+ESF!P28</f>
        <v>3168997</v>
      </c>
    </row>
    <row r="28" spans="1:16" s="5" customFormat="1" ht="12">
      <c r="A28" s="240"/>
      <c r="B28" s="4" t="s">
        <v>14</v>
      </c>
      <c r="C28" s="4"/>
      <c r="D28" s="4"/>
      <c r="E28" s="8">
        <v>26</v>
      </c>
      <c r="F28" s="224">
        <f>LF!J29/1000</f>
        <v>16731</v>
      </c>
      <c r="G28" s="224">
        <f>'FF'!J29/1000</f>
        <v>18780</v>
      </c>
      <c r="H28" s="224">
        <f>PrF!J29/1000</f>
        <v>3063</v>
      </c>
      <c r="I28" s="224">
        <f>FSS!J29/1000</f>
        <v>12041</v>
      </c>
      <c r="J28" s="224">
        <f>PřF!J29/1000</f>
        <v>30357</v>
      </c>
      <c r="K28" s="224">
        <f>'FI'!J29/1000</f>
        <v>4035</v>
      </c>
      <c r="L28" s="224">
        <f>PdF!J29/1000</f>
        <v>5767</v>
      </c>
      <c r="M28" s="224">
        <f>FSpS!J29/1000</f>
        <v>1500</v>
      </c>
      <c r="N28" s="284">
        <f>ESF!J29/1000</f>
        <v>5746</v>
      </c>
      <c r="O28" s="289">
        <f t="shared" si="4"/>
        <v>98020</v>
      </c>
      <c r="P28" s="467">
        <f>LF!P29+'FF'!P29+PrF!P29+FSS!P29+PřF!P29+'FI'!P29+PdF!P29+FSpS!P29+ESF!P29</f>
        <v>0</v>
      </c>
    </row>
    <row r="29" spans="1:16" s="5" customFormat="1" ht="12">
      <c r="A29" s="240"/>
      <c r="B29" s="4" t="s">
        <v>15</v>
      </c>
      <c r="C29" s="4"/>
      <c r="D29" s="4"/>
      <c r="E29" s="8">
        <v>27</v>
      </c>
      <c r="F29" s="224">
        <f>LF!J30/1000</f>
        <v>1108</v>
      </c>
      <c r="G29" s="224">
        <f>'FF'!J30/1000</f>
        <v>5036.10924</v>
      </c>
      <c r="H29" s="224">
        <f>PrF!J30/1000</f>
        <v>24</v>
      </c>
      <c r="I29" s="224">
        <f>FSS!J30/1000</f>
        <v>1154</v>
      </c>
      <c r="J29" s="224">
        <f>PřF!J30/1000</f>
        <v>1137</v>
      </c>
      <c r="K29" s="224">
        <f>'FI'!J30/1000</f>
        <v>513</v>
      </c>
      <c r="L29" s="224">
        <f>PdF!J30/1000</f>
        <v>272</v>
      </c>
      <c r="M29" s="224">
        <f>FSpS!J30/1000</f>
        <v>81</v>
      </c>
      <c r="N29" s="284">
        <f>ESF!J30/1000</f>
        <v>500</v>
      </c>
      <c r="O29" s="289">
        <f t="shared" si="4"/>
        <v>9825.10924</v>
      </c>
      <c r="P29" s="467">
        <f>LF!P30+'FF'!P30+PrF!P30+FSS!P30+PřF!P30+'FI'!P30+PdF!P30+FSpS!P30+ESF!P30</f>
        <v>0</v>
      </c>
    </row>
    <row r="30" spans="1:16" s="5" customFormat="1" ht="12">
      <c r="A30" s="240"/>
      <c r="B30" s="4" t="s">
        <v>20</v>
      </c>
      <c r="C30" s="3"/>
      <c r="D30" s="3"/>
      <c r="E30" s="8">
        <v>28</v>
      </c>
      <c r="F30" s="224">
        <f>LF!J31/1000</f>
        <v>11411.85</v>
      </c>
      <c r="G30" s="224">
        <f>'FF'!J31/1000</f>
        <v>4767.9</v>
      </c>
      <c r="H30" s="224">
        <f>PrF!J31/1000</f>
        <v>1060.8</v>
      </c>
      <c r="I30" s="224">
        <f>FSS!J31/1000</f>
        <v>9397.409</v>
      </c>
      <c r="J30" s="224">
        <f>PřF!J31/1000</f>
        <v>3176.55</v>
      </c>
      <c r="K30" s="224">
        <f>'FI'!J31/1000</f>
        <v>7464.815280000001</v>
      </c>
      <c r="L30" s="224">
        <f>PdF!J31/1000</f>
        <v>8166</v>
      </c>
      <c r="M30" s="224">
        <f>FSpS!J31/1000</f>
        <v>1391.7</v>
      </c>
      <c r="N30" s="284">
        <f>ESF!J31/1000</f>
        <v>2862</v>
      </c>
      <c r="O30" s="289">
        <f t="shared" si="4"/>
        <v>49699.02428</v>
      </c>
      <c r="P30" s="467">
        <f>LF!P31+'FF'!P31+PrF!P31+FSS!P31+PřF!P31+'FI'!P31+PdF!P31+FSpS!P31+ESF!P31</f>
        <v>0</v>
      </c>
    </row>
    <row r="31" spans="1:16" s="5" customFormat="1" ht="12">
      <c r="A31" s="240"/>
      <c r="B31" s="4" t="s">
        <v>16</v>
      </c>
      <c r="C31" s="4"/>
      <c r="D31" s="4"/>
      <c r="E31" s="8">
        <v>29</v>
      </c>
      <c r="F31" s="224">
        <f>LF!J32/1000</f>
        <v>461</v>
      </c>
      <c r="G31" s="224">
        <f>'FF'!J32/1000</f>
        <v>2276</v>
      </c>
      <c r="H31" s="224">
        <f>PrF!J32/1000</f>
        <v>0</v>
      </c>
      <c r="I31" s="224">
        <f>FSS!J32/1000</f>
        <v>419</v>
      </c>
      <c r="J31" s="224">
        <f>PřF!J32/1000</f>
        <v>3622</v>
      </c>
      <c r="K31" s="224">
        <f>'FI'!J32/1000</f>
        <v>95</v>
      </c>
      <c r="L31" s="224">
        <f>PdF!J32/1000</f>
        <v>821</v>
      </c>
      <c r="M31" s="224">
        <f>FSpS!J32/1000</f>
        <v>1070</v>
      </c>
      <c r="N31" s="284">
        <f>ESF!J32/1000</f>
        <v>0</v>
      </c>
      <c r="O31" s="289">
        <f t="shared" si="4"/>
        <v>8764</v>
      </c>
      <c r="P31" s="467">
        <f>LF!P32+'FF'!P32+PrF!P32+FSS!P32+PřF!P32+'FI'!P32+PdF!P32+FSpS!P32+ESF!P32</f>
        <v>0</v>
      </c>
    </row>
    <row r="32" spans="1:16" s="5" customFormat="1" ht="12">
      <c r="A32" s="240"/>
      <c r="B32" s="4" t="s">
        <v>173</v>
      </c>
      <c r="C32" s="4"/>
      <c r="D32" s="4"/>
      <c r="E32" s="8">
        <v>30</v>
      </c>
      <c r="F32" s="224">
        <f>LF!J33/1000</f>
        <v>0</v>
      </c>
      <c r="G32" s="224">
        <f>'FF'!J33/1000</f>
        <v>0</v>
      </c>
      <c r="H32" s="224">
        <f>PrF!J33/1000</f>
        <v>0</v>
      </c>
      <c r="I32" s="224">
        <f>FSS!J33/1000</f>
        <v>0</v>
      </c>
      <c r="J32" s="224">
        <f>PřF!J33/1000</f>
        <v>0</v>
      </c>
      <c r="K32" s="224">
        <f>'FI'!J33/1000</f>
        <v>0</v>
      </c>
      <c r="L32" s="224">
        <f>PdF!J33/1000</f>
        <v>0</v>
      </c>
      <c r="M32" s="224">
        <f>FSpS!J33/1000</f>
        <v>0</v>
      </c>
      <c r="N32" s="284">
        <f>ESF!J33/1000</f>
        <v>0</v>
      </c>
      <c r="O32" s="289">
        <f t="shared" si="4"/>
        <v>0</v>
      </c>
      <c r="P32" s="467">
        <f>LF!P33+'FF'!P33+PrF!P33+FSS!P33+PřF!P33+'FI'!P33+PdF!P33+FSpS!P33+ESF!P33</f>
        <v>0</v>
      </c>
    </row>
    <row r="33" spans="1:16" s="5" customFormat="1" ht="12">
      <c r="A33" s="240"/>
      <c r="B33" s="4" t="s">
        <v>24</v>
      </c>
      <c r="C33" s="4"/>
      <c r="D33" s="4"/>
      <c r="E33" s="8">
        <v>31</v>
      </c>
      <c r="F33" s="224">
        <f>LF!J34/1000</f>
        <v>128</v>
      </c>
      <c r="G33" s="224">
        <f>'FF'!J34/1000</f>
        <v>945</v>
      </c>
      <c r="H33" s="224">
        <f>PrF!J34/1000</f>
        <v>0</v>
      </c>
      <c r="I33" s="224">
        <f>FSS!J34/1000</f>
        <v>1310.3</v>
      </c>
      <c r="J33" s="224">
        <f>PřF!J34/1000</f>
        <v>168</v>
      </c>
      <c r="K33" s="224">
        <f>'FI'!J34/1000</f>
        <v>0</v>
      </c>
      <c r="L33" s="224">
        <f>PdF!J34/1000</f>
        <v>839</v>
      </c>
      <c r="M33" s="224">
        <f>FSpS!J34/1000</f>
        <v>0</v>
      </c>
      <c r="N33" s="284">
        <f>ESF!J34/1000</f>
        <v>321</v>
      </c>
      <c r="O33" s="289">
        <f t="shared" si="4"/>
        <v>3711.3</v>
      </c>
      <c r="P33" s="467">
        <f>LF!P34+'FF'!P34+PrF!P34+FSS!P34+PřF!P34+'FI'!P34+PdF!P34+FSpS!P34+ESF!P34</f>
        <v>0</v>
      </c>
    </row>
    <row r="34" spans="1:16" s="5" customFormat="1" ht="12">
      <c r="A34" s="240"/>
      <c r="B34" s="4" t="s">
        <v>31</v>
      </c>
      <c r="C34" s="4"/>
      <c r="D34" s="4"/>
      <c r="E34" s="8">
        <v>32</v>
      </c>
      <c r="F34" s="224">
        <f>LF!J35/1000</f>
        <v>30</v>
      </c>
      <c r="G34" s="224">
        <f>'FF'!J35/1000</f>
        <v>7321.762019999999</v>
      </c>
      <c r="H34" s="224">
        <f>PrF!J35/1000</f>
        <v>0</v>
      </c>
      <c r="I34" s="224">
        <f>FSS!J35/1000</f>
        <v>11437.41266</v>
      </c>
      <c r="J34" s="224">
        <f>PřF!J35/1000</f>
        <v>3569.57813</v>
      </c>
      <c r="K34" s="224">
        <f>'FI'!J35/1000</f>
        <v>0</v>
      </c>
      <c r="L34" s="224">
        <f>PdF!J35/1000</f>
        <v>10205.025720000001</v>
      </c>
      <c r="M34" s="224">
        <f>FSpS!J35/1000</f>
        <v>2999.227</v>
      </c>
      <c r="N34" s="284">
        <f>ESF!J35/1000</f>
        <v>1693.35844</v>
      </c>
      <c r="O34" s="289">
        <f t="shared" si="4"/>
        <v>37256.363970000006</v>
      </c>
      <c r="P34" s="467">
        <f>LF!P35+'FF'!P35+PrF!P35+FSS!P35+PřF!P35+'FI'!P35+PdF!P35+FSpS!P35+ESF!P35</f>
        <v>0</v>
      </c>
    </row>
    <row r="35" spans="1:16" s="5" customFormat="1" ht="12">
      <c r="A35" s="240"/>
      <c r="B35" s="4" t="s">
        <v>85</v>
      </c>
      <c r="C35" s="4"/>
      <c r="D35" s="4"/>
      <c r="E35" s="8">
        <v>33</v>
      </c>
      <c r="F35" s="224">
        <f>LF!J36/1000</f>
        <v>24126</v>
      </c>
      <c r="G35" s="224">
        <f>'FF'!J36/1000</f>
        <v>13132</v>
      </c>
      <c r="H35" s="224">
        <f>PrF!J36/1000</f>
        <v>1619</v>
      </c>
      <c r="I35" s="224">
        <f>FSS!J36/1000</f>
        <v>9892</v>
      </c>
      <c r="J35" s="224">
        <f>PřF!J36/1000</f>
        <v>49027</v>
      </c>
      <c r="K35" s="224">
        <f>'FI'!J36/1000</f>
        <v>6980</v>
      </c>
      <c r="L35" s="224">
        <f>PdF!J36/1000</f>
        <v>3134</v>
      </c>
      <c r="M35" s="224">
        <f>FSpS!J36/1000</f>
        <v>297</v>
      </c>
      <c r="N35" s="284">
        <f>ESF!J36/1000</f>
        <v>4708</v>
      </c>
      <c r="O35" s="289">
        <f t="shared" si="4"/>
        <v>112915</v>
      </c>
      <c r="P35" s="467">
        <f>LF!P36+'FF'!P36+PrF!P36+FSS!P36+PřF!P36+'FI'!P36+PdF!P36+FSpS!P36+ESF!P36</f>
        <v>0</v>
      </c>
    </row>
    <row r="36" spans="1:16" s="5" customFormat="1" ht="12">
      <c r="A36" s="240"/>
      <c r="B36" s="4" t="s">
        <v>25</v>
      </c>
      <c r="C36" s="4"/>
      <c r="D36" s="4"/>
      <c r="E36" s="8">
        <v>34</v>
      </c>
      <c r="F36" s="224">
        <f>LF!J37/1000</f>
        <v>30388</v>
      </c>
      <c r="G36" s="224">
        <f>'FF'!J37/1000</f>
        <v>19230.2</v>
      </c>
      <c r="H36" s="224">
        <f>PrF!J37/1000</f>
        <v>6117</v>
      </c>
      <c r="I36" s="224">
        <f>FSS!J37/1000</f>
        <v>26613</v>
      </c>
      <c r="J36" s="224">
        <f>PřF!J37/1000</f>
        <v>152010.8</v>
      </c>
      <c r="K36" s="224">
        <f>'FI'!J37/1000</f>
        <v>11179.86339</v>
      </c>
      <c r="L36" s="224">
        <f>PdF!J37/1000</f>
        <v>8860</v>
      </c>
      <c r="M36" s="224">
        <f>FSpS!J37/1000</f>
        <v>0</v>
      </c>
      <c r="N36" s="284">
        <f>ESF!J37/1000</f>
        <v>884</v>
      </c>
      <c r="O36" s="289">
        <f t="shared" si="4"/>
        <v>255282.86339</v>
      </c>
      <c r="P36" s="467">
        <f>LF!P37+'FF'!P37+PrF!P37+FSS!P37+PřF!P37+'FI'!P37+PdF!P37+FSpS!P37+ESF!P37</f>
        <v>0</v>
      </c>
    </row>
    <row r="37" spans="1:16" s="5" customFormat="1" ht="12">
      <c r="A37" s="240"/>
      <c r="B37" s="4" t="s">
        <v>26</v>
      </c>
      <c r="C37" s="4"/>
      <c r="D37" s="4"/>
      <c r="E37" s="8">
        <v>35</v>
      </c>
      <c r="F37" s="224">
        <f>LF!J38/1000</f>
        <v>67047</v>
      </c>
      <c r="G37" s="224">
        <f>'FF'!J38/1000</f>
        <v>22104.67158</v>
      </c>
      <c r="H37" s="224">
        <f>PrF!J38/1000</f>
        <v>823</v>
      </c>
      <c r="I37" s="224">
        <f>FSS!J38/1000</f>
        <v>12141.588440000001</v>
      </c>
      <c r="J37" s="224">
        <f>PřF!J38/1000</f>
        <v>71688.486</v>
      </c>
      <c r="K37" s="224">
        <f>'FI'!J38/1000</f>
        <v>23591</v>
      </c>
      <c r="L37" s="224">
        <f>PdF!J38/1000</f>
        <v>5546</v>
      </c>
      <c r="M37" s="224">
        <f>FSpS!J38/1000</f>
        <v>0</v>
      </c>
      <c r="N37" s="284">
        <f>ESF!J38/1000</f>
        <v>22072</v>
      </c>
      <c r="O37" s="289">
        <f t="shared" si="4"/>
        <v>225013.74602000002</v>
      </c>
      <c r="P37" s="467">
        <f>LF!P38+'FF'!P38+PrF!P38+FSS!P38+PřF!P38+'FI'!P38+PdF!P38+FSpS!P38+ESF!P38</f>
        <v>3740305</v>
      </c>
    </row>
    <row r="38" spans="1:16" s="5" customFormat="1" ht="12">
      <c r="A38" s="240"/>
      <c r="B38" s="4" t="s">
        <v>27</v>
      </c>
      <c r="C38" s="4"/>
      <c r="D38" s="4"/>
      <c r="E38" s="8">
        <v>36</v>
      </c>
      <c r="F38" s="224">
        <f>LF!J39/1000</f>
        <v>9487.01942</v>
      </c>
      <c r="G38" s="224">
        <f>'FF'!J39/1000</f>
        <v>210.82277</v>
      </c>
      <c r="H38" s="224">
        <f>PrF!J39/1000</f>
        <v>15.30903</v>
      </c>
      <c r="I38" s="224">
        <f>FSS!J39/1000</f>
        <v>3962.93225</v>
      </c>
      <c r="J38" s="224">
        <f>PřF!J39/1000</f>
        <v>37760.37606</v>
      </c>
      <c r="K38" s="224">
        <f>'FI'!J39/1000</f>
        <v>9809.29978</v>
      </c>
      <c r="L38" s="224">
        <f>PdF!J39/1000</f>
        <v>1643.271</v>
      </c>
      <c r="M38" s="224">
        <f>FSpS!J39/1000</f>
        <v>247.11319</v>
      </c>
      <c r="N38" s="284">
        <f>ESF!J39/1000</f>
        <v>417.739</v>
      </c>
      <c r="O38" s="289">
        <f t="shared" si="4"/>
        <v>63553.88250000001</v>
      </c>
      <c r="P38" s="467">
        <f>LF!P39+'FF'!P39+PrF!P39+FSS!P39+PřF!P39+'FI'!P39+PdF!P39+FSpS!P39+ESF!P39</f>
        <v>0</v>
      </c>
    </row>
    <row r="39" spans="1:16" s="5" customFormat="1" ht="13.5">
      <c r="A39" s="240"/>
      <c r="B39" s="4" t="s">
        <v>180</v>
      </c>
      <c r="C39" s="4"/>
      <c r="D39" s="4"/>
      <c r="E39" s="8">
        <v>37</v>
      </c>
      <c r="F39" s="224">
        <f>LF!J40/1000</f>
        <v>62563.34472</v>
      </c>
      <c r="G39" s="224">
        <f>'FF'!J40/1000</f>
        <v>21633.80099</v>
      </c>
      <c r="H39" s="224">
        <f>PrF!J40/1000</f>
        <v>31325.79278</v>
      </c>
      <c r="I39" s="224">
        <f>FSS!J40/1000</f>
        <v>15405.1852</v>
      </c>
      <c r="J39" s="224">
        <f>PřF!J40/1000</f>
        <v>60641.34225</v>
      </c>
      <c r="K39" s="224">
        <f>'FI'!J40/1000</f>
        <v>16911.60945</v>
      </c>
      <c r="L39" s="224">
        <f>PdF!J40/1000</f>
        <v>27267.946740000003</v>
      </c>
      <c r="M39" s="224">
        <f>FSpS!J40/1000</f>
        <v>7588.803780000001</v>
      </c>
      <c r="N39" s="284">
        <f>ESF!J40/1000</f>
        <v>17134.2573</v>
      </c>
      <c r="O39" s="289">
        <f t="shared" si="4"/>
        <v>260472.08321</v>
      </c>
      <c r="P39" s="467">
        <f>LF!P40+'FF'!P40+PrF!P40+FSS!P40+PřF!P40+'FI'!P40+PdF!P40+FSpS!P40+ESF!P40</f>
        <v>0</v>
      </c>
    </row>
    <row r="40" spans="1:16" s="5" customFormat="1" ht="12">
      <c r="A40" s="240"/>
      <c r="B40" s="4" t="s">
        <v>29</v>
      </c>
      <c r="C40" s="4"/>
      <c r="D40" s="4"/>
      <c r="E40" s="8">
        <v>38</v>
      </c>
      <c r="F40" s="224">
        <f>LF!J41/1000</f>
        <v>599.184</v>
      </c>
      <c r="G40" s="224">
        <f>'FF'!J41/1000</f>
        <v>2232.432</v>
      </c>
      <c r="H40" s="224">
        <f>PrF!J41/1000</f>
        <v>1213.257</v>
      </c>
      <c r="I40" s="224">
        <f>FSS!J41/1000</f>
        <v>1380.93</v>
      </c>
      <c r="J40" s="224">
        <f>PřF!J41/1000</f>
        <v>875</v>
      </c>
      <c r="K40" s="224">
        <f>'FI'!J41/1000</f>
        <v>2856.3</v>
      </c>
      <c r="L40" s="224">
        <f>PdF!J41/1000</f>
        <v>539.75</v>
      </c>
      <c r="M40" s="224">
        <f>FSpS!J41/1000</f>
        <v>398.2</v>
      </c>
      <c r="N40" s="284">
        <f>ESF!J41/1000</f>
        <v>923.6</v>
      </c>
      <c r="O40" s="289">
        <f t="shared" si="4"/>
        <v>11018.653</v>
      </c>
      <c r="P40" s="467">
        <f>LF!P41+'FF'!P41+PrF!P41+FSS!P41+PřF!P41+'FI'!P41+PdF!P41+FSpS!P41+ESF!P41</f>
        <v>0</v>
      </c>
    </row>
    <row r="41" spans="1:16" s="5" customFormat="1" ht="12">
      <c r="A41" s="240"/>
      <c r="B41" s="4" t="s">
        <v>30</v>
      </c>
      <c r="C41" s="4"/>
      <c r="D41" s="4"/>
      <c r="E41" s="8">
        <v>39</v>
      </c>
      <c r="F41" s="224">
        <f>LF!J42/1000</f>
        <v>2650.81689</v>
      </c>
      <c r="G41" s="224">
        <f>'FF'!J42/1000</f>
        <v>415</v>
      </c>
      <c r="H41" s="224">
        <f>PrF!J42/1000</f>
        <v>314.2</v>
      </c>
      <c r="I41" s="224">
        <f>FSS!J42/1000</f>
        <v>709.50938</v>
      </c>
      <c r="J41" s="224">
        <f>PřF!J42/1000</f>
        <v>17991.54717</v>
      </c>
      <c r="K41" s="224">
        <f>'FI'!J42/1000</f>
        <v>23</v>
      </c>
      <c r="L41" s="224">
        <f>PdF!J42/1000</f>
        <v>11.8875</v>
      </c>
      <c r="M41" s="224">
        <f>FSpS!J42/1000</f>
        <v>1293.42328</v>
      </c>
      <c r="N41" s="284">
        <f>ESF!J42/1000</f>
        <v>7051.86826</v>
      </c>
      <c r="O41" s="289">
        <f t="shared" si="4"/>
        <v>30461.25248</v>
      </c>
      <c r="P41" s="467">
        <f>LF!P42+'FF'!P42+PrF!P42+FSS!P42+PřF!P42+'FI'!P42+PdF!P42+FSpS!P42+ESF!P42</f>
        <v>0</v>
      </c>
    </row>
    <row r="42" spans="1:16" s="29" customFormat="1" ht="12" hidden="1">
      <c r="A42" s="241" t="s">
        <v>32</v>
      </c>
      <c r="B42" s="27"/>
      <c r="C42" s="27"/>
      <c r="D42" s="27"/>
      <c r="E42" s="9">
        <v>42</v>
      </c>
      <c r="F42" s="181">
        <f>LF!F43/1000</f>
        <v>0</v>
      </c>
      <c r="G42" s="181">
        <f>'FF'!F43/1000</f>
        <v>0</v>
      </c>
      <c r="H42" s="181">
        <f>PrF!F43/1000</f>
        <v>1362</v>
      </c>
      <c r="I42" s="181">
        <f>FSS!F43/1000</f>
        <v>418.675</v>
      </c>
      <c r="J42" s="181">
        <f>PřF!F43/1000</f>
        <v>0</v>
      </c>
      <c r="K42" s="181">
        <f>'FI'!F43/1000</f>
        <v>20</v>
      </c>
      <c r="L42" s="181">
        <f>PdF!F43/1000</f>
        <v>3134</v>
      </c>
      <c r="M42" s="181">
        <f>FSpS!F43/1000</f>
        <v>1195</v>
      </c>
      <c r="N42" s="182">
        <f>ESF!F43/1000</f>
        <v>2117</v>
      </c>
      <c r="O42" s="300">
        <f>O27+O32+O35+O39+O40+O41-O4-O25</f>
        <v>34115.820020000014</v>
      </c>
      <c r="P42" s="459"/>
    </row>
    <row r="43" spans="1:15" ht="12.75">
      <c r="A43" s="239" t="s">
        <v>165</v>
      </c>
      <c r="B43" s="171"/>
      <c r="C43" s="171"/>
      <c r="D43" s="171"/>
      <c r="E43" s="172">
        <v>40</v>
      </c>
      <c r="F43" s="179">
        <f aca="true" t="shared" si="5" ref="F43:O43">F26-F3</f>
        <v>10525.47165000008</v>
      </c>
      <c r="G43" s="179">
        <f t="shared" si="5"/>
        <v>5191.140939999954</v>
      </c>
      <c r="H43" s="179">
        <f t="shared" si="5"/>
        <v>4736.038820000002</v>
      </c>
      <c r="I43" s="179">
        <f t="shared" si="5"/>
        <v>2877.0621300000057</v>
      </c>
      <c r="J43" s="179">
        <f t="shared" si="5"/>
        <v>3074.1738499999046</v>
      </c>
      <c r="K43" s="179">
        <f t="shared" si="5"/>
        <v>-275.0987399999867</v>
      </c>
      <c r="L43" s="179">
        <f t="shared" si="5"/>
        <v>3519.5109300000477</v>
      </c>
      <c r="M43" s="179">
        <f t="shared" si="5"/>
        <v>762.4549699999916</v>
      </c>
      <c r="N43" s="180">
        <f t="shared" si="5"/>
        <v>1829.2586200000078</v>
      </c>
      <c r="O43" s="308">
        <f t="shared" si="5"/>
        <v>32240.0131699997</v>
      </c>
    </row>
    <row r="44" spans="1:16" s="459" customFormat="1" ht="11.25">
      <c r="A44" s="553"/>
      <c r="F44" s="554">
        <f>LF!H45/1000</f>
        <v>2288.38581</v>
      </c>
      <c r="G44" s="554">
        <f>'FF'!H45/1000</f>
        <v>3626.16221</v>
      </c>
      <c r="H44" s="554">
        <f>PrF!H45/1000</f>
        <v>2854.4706800000004</v>
      </c>
      <c r="I44" s="554">
        <f>FSS!H45/1000</f>
        <v>4548.56391</v>
      </c>
      <c r="J44" s="554">
        <f>PřF!H45/1000</f>
        <v>1214.87803</v>
      </c>
      <c r="K44" s="554">
        <f>'FI'!H45/1000</f>
        <v>805.4345699999999</v>
      </c>
      <c r="L44" s="554">
        <f>PdF!H45/1000</f>
        <v>2932.36636</v>
      </c>
      <c r="M44" s="554">
        <f>FSpS!H45/1000</f>
        <v>638.7715400000001</v>
      </c>
      <c r="N44" s="554">
        <f>ESF!H45/1000</f>
        <v>2608.79713</v>
      </c>
      <c r="O44" s="555">
        <f>SUM(F44:N44)</f>
        <v>21517.830240000003</v>
      </c>
      <c r="P44" s="459" t="s">
        <v>203</v>
      </c>
    </row>
    <row r="45" spans="1:16" s="89" customFormat="1" ht="11.25">
      <c r="A45" s="210" t="s">
        <v>141</v>
      </c>
      <c r="B45" s="90"/>
      <c r="C45" s="90"/>
      <c r="D45" s="90"/>
      <c r="E45" s="90"/>
      <c r="F45" s="91">
        <f>LF!F46/1000</f>
        <v>29113</v>
      </c>
      <c r="G45" s="91">
        <f>'FF'!F46/1000</f>
        <v>7179</v>
      </c>
      <c r="H45" s="91">
        <f>PrF!F46/1000</f>
        <v>2165</v>
      </c>
      <c r="I45" s="91">
        <f>FSS!F46/1000</f>
        <v>6963</v>
      </c>
      <c r="J45" s="91">
        <f>PřF!F46/1000</f>
        <v>57203</v>
      </c>
      <c r="K45" s="91">
        <f>'FI'!F46/1000</f>
        <v>11960</v>
      </c>
      <c r="L45" s="91">
        <f>PdF!F46/1000</f>
        <v>5477</v>
      </c>
      <c r="M45" s="91">
        <f>FSpS!F46/1000</f>
        <v>2093</v>
      </c>
      <c r="N45" s="91">
        <f>ESF!F46/1000</f>
        <v>5698</v>
      </c>
      <c r="O45" s="234">
        <f aca="true" t="shared" si="6" ref="O45:O52">SUM(F45:N45)</f>
        <v>127851</v>
      </c>
      <c r="P45" s="458"/>
    </row>
    <row r="46" spans="1:16" s="89" customFormat="1" ht="11.25">
      <c r="A46" s="142" t="s">
        <v>142</v>
      </c>
      <c r="B46" s="90"/>
      <c r="C46" s="90"/>
      <c r="D46" s="90"/>
      <c r="E46" s="90"/>
      <c r="F46" s="91">
        <f>LF!F47/1000</f>
        <v>10108</v>
      </c>
      <c r="G46" s="91">
        <f>'FF'!F47/1000</f>
        <v>1956</v>
      </c>
      <c r="H46" s="91">
        <f>PrF!F47/1000</f>
        <v>1085</v>
      </c>
      <c r="I46" s="91">
        <f>FSS!F47/1000</f>
        <v>1527</v>
      </c>
      <c r="J46" s="91">
        <f>PřF!F47/1000</f>
        <v>16985</v>
      </c>
      <c r="K46" s="91">
        <f>'FI'!F47/1000</f>
        <v>2039</v>
      </c>
      <c r="L46" s="91">
        <f>PdF!F47/1000</f>
        <v>1414</v>
      </c>
      <c r="M46" s="91">
        <f>FSpS!F47/1000</f>
        <v>1833</v>
      </c>
      <c r="N46" s="91">
        <f>ESF!F47/1000</f>
        <v>1229</v>
      </c>
      <c r="O46" s="235">
        <f t="shared" si="6"/>
        <v>38176</v>
      </c>
      <c r="P46" s="467"/>
    </row>
    <row r="47" spans="1:16" s="89" customFormat="1" ht="11.25">
      <c r="A47" s="142" t="s">
        <v>143</v>
      </c>
      <c r="B47" s="90"/>
      <c r="C47" s="90"/>
      <c r="D47" s="90"/>
      <c r="E47" s="90"/>
      <c r="F47" s="91">
        <f>LF!F48/1000</f>
        <v>19005</v>
      </c>
      <c r="G47" s="91">
        <f>'FF'!F48/1000</f>
        <v>5223</v>
      </c>
      <c r="H47" s="91">
        <f>PrF!F48/1000</f>
        <v>1080</v>
      </c>
      <c r="I47" s="91">
        <f>FSS!F48/1000</f>
        <v>5436</v>
      </c>
      <c r="J47" s="91">
        <f>PřF!F48/1000</f>
        <v>40218</v>
      </c>
      <c r="K47" s="91">
        <f>'FI'!F48/1000</f>
        <v>9921</v>
      </c>
      <c r="L47" s="91">
        <f>PdF!F48/1000</f>
        <v>4063</v>
      </c>
      <c r="M47" s="91">
        <f>FSpS!F48/1000</f>
        <v>260</v>
      </c>
      <c r="N47" s="91">
        <f>ESF!F48/1000</f>
        <v>4469</v>
      </c>
      <c r="O47" s="234">
        <f t="shared" si="6"/>
        <v>89675</v>
      </c>
      <c r="P47" s="458"/>
    </row>
    <row r="48" spans="1:16" s="89" customFormat="1" ht="11.25">
      <c r="A48" s="142" t="s">
        <v>145</v>
      </c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234">
        <f t="shared" si="6"/>
        <v>0</v>
      </c>
      <c r="P48" s="458"/>
    </row>
    <row r="49" spans="1:16" s="89" customFormat="1" ht="11.25">
      <c r="A49" s="90" t="s">
        <v>170</v>
      </c>
      <c r="B49" s="90"/>
      <c r="C49" s="90"/>
      <c r="D49" s="90"/>
      <c r="E49" s="90"/>
      <c r="F49" s="91">
        <v>215980</v>
      </c>
      <c r="G49" s="91">
        <v>190688</v>
      </c>
      <c r="H49" s="91">
        <v>82178</v>
      </c>
      <c r="I49" s="91">
        <v>73401</v>
      </c>
      <c r="J49" s="91">
        <v>148057</v>
      </c>
      <c r="K49" s="91">
        <v>78471</v>
      </c>
      <c r="L49" s="91">
        <v>159187</v>
      </c>
      <c r="M49" s="91">
        <v>41005</v>
      </c>
      <c r="N49" s="91">
        <v>83932</v>
      </c>
      <c r="O49" s="234">
        <f t="shared" si="6"/>
        <v>1072899</v>
      </c>
      <c r="P49" s="458"/>
    </row>
    <row r="50" spans="1:16" s="89" customFormat="1" ht="11.25">
      <c r="A50" s="90" t="s">
        <v>146</v>
      </c>
      <c r="B50" s="90"/>
      <c r="C50" s="90"/>
      <c r="D50" s="90"/>
      <c r="F50" s="91"/>
      <c r="G50" s="91"/>
      <c r="H50" s="91"/>
      <c r="I50" s="91"/>
      <c r="J50" s="91"/>
      <c r="K50" s="91">
        <v>4500</v>
      </c>
      <c r="L50" s="91"/>
      <c r="M50" s="91">
        <v>18820</v>
      </c>
      <c r="N50" s="91"/>
      <c r="O50" s="234">
        <f t="shared" si="6"/>
        <v>23320</v>
      </c>
      <c r="P50" s="458"/>
    </row>
    <row r="51" spans="1:16" s="89" customFormat="1" ht="11.25">
      <c r="A51" s="90" t="s">
        <v>171</v>
      </c>
      <c r="B51" s="90"/>
      <c r="C51" s="90"/>
      <c r="D51" s="90"/>
      <c r="F51" s="91">
        <f aca="true" t="shared" si="7" ref="F51:N51">F46</f>
        <v>10108</v>
      </c>
      <c r="G51" s="91">
        <f t="shared" si="7"/>
        <v>1956</v>
      </c>
      <c r="H51" s="91">
        <f t="shared" si="7"/>
        <v>1085</v>
      </c>
      <c r="I51" s="91">
        <f t="shared" si="7"/>
        <v>1527</v>
      </c>
      <c r="J51" s="91">
        <f t="shared" si="7"/>
        <v>16985</v>
      </c>
      <c r="K51" s="91">
        <f t="shared" si="7"/>
        <v>2039</v>
      </c>
      <c r="L51" s="91">
        <f t="shared" si="7"/>
        <v>1414</v>
      </c>
      <c r="M51" s="91">
        <f t="shared" si="7"/>
        <v>1833</v>
      </c>
      <c r="N51" s="91">
        <f t="shared" si="7"/>
        <v>1229</v>
      </c>
      <c r="O51" s="234">
        <f t="shared" si="6"/>
        <v>38176</v>
      </c>
      <c r="P51" s="458"/>
    </row>
    <row r="52" spans="1:16" s="89" customFormat="1" ht="11.25">
      <c r="A52" s="90" t="s">
        <v>169</v>
      </c>
      <c r="B52" s="90"/>
      <c r="C52" s="90"/>
      <c r="D52" s="90"/>
      <c r="F52" s="91">
        <f aca="true" t="shared" si="8" ref="F52:N52">SUM(F49:F51)</f>
        <v>226088</v>
      </c>
      <c r="G52" s="91">
        <f t="shared" si="8"/>
        <v>192644</v>
      </c>
      <c r="H52" s="91">
        <f t="shared" si="8"/>
        <v>83263</v>
      </c>
      <c r="I52" s="91">
        <f t="shared" si="8"/>
        <v>74928</v>
      </c>
      <c r="J52" s="91">
        <f t="shared" si="8"/>
        <v>165042</v>
      </c>
      <c r="K52" s="91">
        <f t="shared" si="8"/>
        <v>85010</v>
      </c>
      <c r="L52" s="91">
        <f t="shared" si="8"/>
        <v>160601</v>
      </c>
      <c r="M52" s="91">
        <f t="shared" si="8"/>
        <v>61658</v>
      </c>
      <c r="N52" s="91">
        <f t="shared" si="8"/>
        <v>85161</v>
      </c>
      <c r="O52" s="234">
        <f t="shared" si="6"/>
        <v>1134395</v>
      </c>
      <c r="P52" s="458"/>
    </row>
    <row r="53" spans="1:16" s="313" customFormat="1" ht="11.25">
      <c r="A53" s="312"/>
      <c r="B53" s="312"/>
      <c r="C53" s="312"/>
      <c r="D53" s="312"/>
      <c r="F53" s="206">
        <f aca="true" t="shared" si="9" ref="F53:O53">F27-F52</f>
        <v>1486.9860000000044</v>
      </c>
      <c r="G53" s="206">
        <f t="shared" si="9"/>
        <v>1228.4590000000026</v>
      </c>
      <c r="H53" s="206">
        <f t="shared" si="9"/>
        <v>108.46400000000722</v>
      </c>
      <c r="I53" s="206">
        <f t="shared" si="9"/>
        <v>1000.2430000000022</v>
      </c>
      <c r="J53" s="206">
        <f t="shared" si="9"/>
        <v>9201.157000000007</v>
      </c>
      <c r="K53" s="206">
        <f t="shared" si="9"/>
        <v>-5074.387000000002</v>
      </c>
      <c r="L53" s="206">
        <f t="shared" si="9"/>
        <v>-1039.2820000000065</v>
      </c>
      <c r="M53" s="206">
        <f t="shared" si="9"/>
        <v>-986.4959999999992</v>
      </c>
      <c r="N53" s="206">
        <f t="shared" si="9"/>
        <v>496.70299999999406</v>
      </c>
      <c r="O53" s="314">
        <f t="shared" si="9"/>
        <v>6421.847000000067</v>
      </c>
      <c r="P53" s="458"/>
    </row>
  </sheetData>
  <mergeCells count="1">
    <mergeCell ref="A1:D1"/>
  </mergeCells>
  <printOptions/>
  <pageMargins left="0.42" right="0.31" top="0.35" bottom="0.32" header="0.2" footer="0.19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Foukalova</cp:lastModifiedBy>
  <cp:lastPrinted>2007-03-01T10:20:46Z</cp:lastPrinted>
  <dcterms:created xsi:type="dcterms:W3CDTF">1997-01-24T11:07:25Z</dcterms:created>
  <dcterms:modified xsi:type="dcterms:W3CDTF">2007-03-01T10:23:02Z</dcterms:modified>
  <cp:category/>
  <cp:version/>
  <cp:contentType/>
  <cp:contentStatus/>
</cp:coreProperties>
</file>