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95" windowWidth="12120" windowHeight="9120" tabRatio="602" activeTab="2"/>
  </bookViews>
  <sheets>
    <sheet name="str1-3" sheetId="1" r:id="rId1"/>
    <sheet name="str4" sheetId="2" r:id="rId2"/>
    <sheet name="od str 5" sheetId="3" r:id="rId3"/>
    <sheet name="pril1-CP" sheetId="4" r:id="rId4"/>
    <sheet name="příl.2-osnova" sheetId="5" r:id="rId5"/>
    <sheet name="pril3-opravy" sheetId="6" r:id="rId6"/>
    <sheet name="pril4-odpisy06" sheetId="7" r:id="rId7"/>
  </sheets>
  <definedNames>
    <definedName name="_xlnm.Print_Area" localSheetId="5">'pril3-opravy'!$A$1:$I$37</definedName>
    <definedName name="solver_adj" localSheetId="1" hidden="1">'str4'!#REF!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'str4'!#REF!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Janicek</author>
  </authors>
  <commentList>
    <comment ref="U8" authorId="0">
      <text>
        <r>
          <rPr>
            <b/>
            <sz val="8"/>
            <rFont val="Tahoma"/>
            <family val="0"/>
          </rPr>
          <t>centralizované aktivity snížené o rezervu CP</t>
        </r>
        <r>
          <rPr>
            <sz val="8"/>
            <rFont val="Tahoma"/>
            <family val="0"/>
          </rPr>
          <t xml:space="preserve">
</t>
        </r>
      </text>
    </comment>
    <comment ref="U9" authorId="0">
      <text>
        <r>
          <rPr>
            <b/>
            <sz val="8"/>
            <rFont val="Tahoma"/>
            <family val="0"/>
          </rPr>
          <t xml:space="preserve">nedotační odpisy fakult
</t>
        </r>
      </text>
    </comment>
    <comment ref="U10" authorId="0">
      <text>
        <r>
          <rPr>
            <b/>
            <sz val="8"/>
            <rFont val="Tahoma"/>
            <family val="0"/>
          </rPr>
          <t>dotační odpisy MU celkem (určených pro výměnu za příspěvek na kapitálové výdaje)</t>
        </r>
        <r>
          <rPr>
            <sz val="8"/>
            <rFont val="Tahoma"/>
            <family val="0"/>
          </rPr>
          <t xml:space="preserve">
</t>
        </r>
      </text>
    </comment>
    <comment ref="U11" authorId="0">
      <text>
        <r>
          <rPr>
            <b/>
            <sz val="8"/>
            <rFont val="Tahoma"/>
            <family val="0"/>
          </rPr>
          <t xml:space="preserve">nedotační odpisy režijních pracovišť </t>
        </r>
        <r>
          <rPr>
            <sz val="8"/>
            <rFont val="Tahoma"/>
            <family val="2"/>
          </rPr>
          <t>(financovaných z normativní dotace, tj. bez nákladů na odpisy financované režijních HS z vlastních zdrojů)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U12" authorId="0">
      <text>
        <r>
          <rPr>
            <b/>
            <sz val="8"/>
            <rFont val="Tahoma"/>
            <family val="0"/>
          </rPr>
          <t xml:space="preserve">vklad neinvestičních prostředků do Programu 233 330
</t>
        </r>
        <r>
          <rPr>
            <sz val="8"/>
            <rFont val="Tahoma"/>
            <family val="2"/>
          </rPr>
          <t>(prvotní vybavení)</t>
        </r>
        <r>
          <rPr>
            <sz val="8"/>
            <rFont val="Tahoma"/>
            <family val="0"/>
          </rPr>
          <t xml:space="preserve">
</t>
        </r>
      </text>
    </comment>
    <comment ref="U13" authorId="0">
      <text>
        <r>
          <rPr>
            <b/>
            <sz val="8"/>
            <rFont val="Tahoma"/>
            <family val="0"/>
          </rPr>
          <t xml:space="preserve">rezerva centralizovaných aktivit </t>
        </r>
        <r>
          <rPr>
            <sz val="8"/>
            <rFont val="Tahoma"/>
            <family val="2"/>
          </rPr>
          <t xml:space="preserve">(1% z příspěvku MŠMT na ukazatel A)
</t>
        </r>
      </text>
    </comment>
    <comment ref="U14" authorId="0">
      <text>
        <r>
          <rPr>
            <b/>
            <sz val="8"/>
            <rFont val="Tahoma"/>
            <family val="0"/>
          </rPr>
          <t xml:space="preserve">rezerva rektora </t>
        </r>
        <r>
          <rPr>
            <sz val="8"/>
            <rFont val="Tahoma"/>
            <family val="2"/>
          </rPr>
          <t>(1% z příspěvku MŠMT na ukazatel A)</t>
        </r>
        <r>
          <rPr>
            <sz val="8"/>
            <rFont val="Tahoma"/>
            <family val="0"/>
          </rPr>
          <t xml:space="preserve">
</t>
        </r>
      </text>
    </comment>
    <comment ref="U15" authorId="0">
      <text>
        <r>
          <rPr>
            <b/>
            <sz val="8"/>
            <rFont val="Tahoma"/>
            <family val="2"/>
          </rPr>
          <t xml:space="preserve">náklady na režijní HS </t>
        </r>
        <r>
          <rPr>
            <sz val="8"/>
            <rFont val="Tahoma"/>
            <family val="2"/>
          </rPr>
          <t>(přiděleno z příspěvku MŠMT na ukazatel A)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odečet nákladů na odpisy, výměnu Nei za INV a NEI pro Program 233 330</t>
        </r>
        <r>
          <rPr>
            <sz val="8"/>
            <rFont val="Tahoma"/>
            <family val="0"/>
          </rPr>
          <t xml:space="preserve">
</t>
        </r>
      </text>
    </comment>
    <comment ref="U19" authorId="0">
      <text>
        <r>
          <rPr>
            <b/>
            <sz val="8"/>
            <rFont val="Tahoma"/>
            <family val="0"/>
          </rPr>
          <t>centralizované prostředky na</t>
        </r>
        <r>
          <rPr>
            <sz val="8"/>
            <rFont val="Tahoma"/>
            <family val="2"/>
          </rPr>
          <t xml:space="preserve"> centralizované aktivity, režijní HS a rezerva rektora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<sst xmlns="http://schemas.openxmlformats.org/spreadsheetml/2006/main" count="751" uniqueCount="440">
  <si>
    <r>
      <t>Rozdělení příspěvku</t>
    </r>
    <r>
      <rPr>
        <b/>
        <vertAlign val="superscript"/>
        <sz val="16"/>
        <rFont val="Arial CE"/>
        <family val="2"/>
      </rPr>
      <t xml:space="preserve">*) </t>
    </r>
    <r>
      <rPr>
        <b/>
        <sz val="16"/>
        <rFont val="Arial CE"/>
        <family val="2"/>
      </rPr>
      <t xml:space="preserve"> MŠMT a dotace na specifický výzkum na rok 2006 v rámci MU</t>
    </r>
  </si>
  <si>
    <t>Fakulty si budou plánovat v rámci svých rozpočtů do výnosu z příspěvku i částku na nedotační odpisy ve výši</t>
  </si>
  <si>
    <t>Financování celouniverzitních aktivit a režijních pracovišť MU v roce 2006</t>
  </si>
  <si>
    <t>Osnova rozpočtu na rok 2006</t>
  </si>
  <si>
    <t>Plán financování centralizovaných oprav 2006</t>
  </si>
  <si>
    <t>k rozdělení fakultám včetně odpisů</t>
  </si>
  <si>
    <t xml:space="preserve">       úhrada reko formou nájemného (čas.rozlišeno)</t>
  </si>
  <si>
    <t xml:space="preserve">       úhrada nájemného ve FNB, Jihlavská</t>
  </si>
  <si>
    <r>
      <t xml:space="preserve">SUKB </t>
    </r>
    <r>
      <rPr>
        <vertAlign val="superscript"/>
        <sz val="10"/>
        <rFont val="Arial CE"/>
        <family val="0"/>
      </rPr>
      <t>1)</t>
    </r>
  </si>
  <si>
    <r>
      <t xml:space="preserve">RMU </t>
    </r>
    <r>
      <rPr>
        <vertAlign val="superscript"/>
        <sz val="10"/>
        <rFont val="Arial CE"/>
        <family val="2"/>
      </rPr>
      <t>2)</t>
    </r>
  </si>
  <si>
    <r>
      <t xml:space="preserve">nedotační odpisy fakult </t>
    </r>
    <r>
      <rPr>
        <i/>
        <vertAlign val="superscript"/>
        <sz val="9"/>
        <rFont val="Arial CE"/>
        <family val="2"/>
      </rPr>
      <t>3)</t>
    </r>
  </si>
  <si>
    <t>režijní prac.(ř.54 až 63)</t>
  </si>
  <si>
    <r>
      <t xml:space="preserve">MU celkem </t>
    </r>
    <r>
      <rPr>
        <sz val="9"/>
        <rFont val="Arial CE"/>
        <family val="0"/>
      </rPr>
      <t>(ř.53+64až66)</t>
    </r>
  </si>
  <si>
    <r>
      <t xml:space="preserve">*) </t>
    </r>
    <r>
      <rPr>
        <i/>
        <sz val="10"/>
        <rFont val="Arial CE"/>
        <family val="0"/>
      </rPr>
      <t>dříve normativní dotace</t>
    </r>
  </si>
  <si>
    <t xml:space="preserve"> </t>
  </si>
  <si>
    <t>fakulta</t>
  </si>
  <si>
    <t>předpoklad</t>
  </si>
  <si>
    <t>poznámka</t>
  </si>
  <si>
    <t>čís.</t>
  </si>
  <si>
    <t>ústav</t>
  </si>
  <si>
    <t xml:space="preserve">    místo</t>
  </si>
  <si>
    <t xml:space="preserve">PrF        </t>
  </si>
  <si>
    <t xml:space="preserve">Veveří 70  </t>
  </si>
  <si>
    <t xml:space="preserve">PdF      </t>
  </si>
  <si>
    <t>Poříčí  31</t>
  </si>
  <si>
    <t>Poříčí 31</t>
  </si>
  <si>
    <t>Poříčí 7</t>
  </si>
  <si>
    <t xml:space="preserve">FI   </t>
  </si>
  <si>
    <t>Botanická 68a</t>
  </si>
  <si>
    <t>výměna oken dvorní severní fasáda</t>
  </si>
  <si>
    <t xml:space="preserve">FSpS     </t>
  </si>
  <si>
    <t>Veslařská</t>
  </si>
  <si>
    <t>LF - Lékařská fakulta</t>
  </si>
  <si>
    <t>Vinařská</t>
  </si>
  <si>
    <t xml:space="preserve">FF   </t>
  </si>
  <si>
    <t>Arne Nováka</t>
  </si>
  <si>
    <t xml:space="preserve"> s o u č e t </t>
  </si>
  <si>
    <t>rezerva</t>
  </si>
  <si>
    <t>SKM</t>
  </si>
  <si>
    <t>RMU</t>
  </si>
  <si>
    <t>Žerot.nám.</t>
  </si>
  <si>
    <t>ÚVT</t>
  </si>
  <si>
    <t>věcná břemena</t>
  </si>
  <si>
    <t>Komenského 2</t>
  </si>
  <si>
    <t>Údolní 3</t>
  </si>
  <si>
    <t>FF - Filozofická fakulta</t>
  </si>
  <si>
    <t>ÚVT - Ústav výpočetní techniky</t>
  </si>
  <si>
    <t>VI. Příspěvek fakult do centralizovaných zdrojů pro účetní období kalendářního roku 2006</t>
  </si>
  <si>
    <t>84 - SPSSN</t>
  </si>
  <si>
    <t>nedotač.odpisy</t>
  </si>
  <si>
    <t>upr.plán</t>
  </si>
  <si>
    <t>83 - UCT</t>
  </si>
  <si>
    <t xml:space="preserve">91 - VPC </t>
  </si>
  <si>
    <t xml:space="preserve">pojištění zahr.cest </t>
  </si>
  <si>
    <t>interní vzdělávání</t>
  </si>
  <si>
    <t>právní poradenství</t>
  </si>
  <si>
    <t xml:space="preserve">veletrh Gaudeamus </t>
  </si>
  <si>
    <t>provoz auly (vč.260 tis.-oprava varhan)</t>
  </si>
  <si>
    <t>časopis muni.cz</t>
  </si>
  <si>
    <t>veletrhy</t>
  </si>
  <si>
    <t>www stránky MU (překlady,digitalizace ...)</t>
  </si>
  <si>
    <t>ediční činnost</t>
  </si>
  <si>
    <t>Universitas</t>
  </si>
  <si>
    <t>U3V</t>
  </si>
  <si>
    <t>Poradenské centrum</t>
  </si>
  <si>
    <t>Spolufinancování CTT</t>
  </si>
  <si>
    <t>nájem Řečkovice</t>
  </si>
  <si>
    <t>stěhování PřF do/z Řečkovic a Údolní</t>
  </si>
  <si>
    <t>daň z nemovitostí</t>
  </si>
  <si>
    <t>provozní náklady ILBIT - do nastěhování fakult  (4 437 tis./rok)</t>
  </si>
  <si>
    <t>Cesnet - poplatky</t>
  </si>
  <si>
    <t>SW licence (antivir.ochrana, ALEPH,..)</t>
  </si>
  <si>
    <t>obnova vybavení CPS</t>
  </si>
  <si>
    <t>rozvoj IS MU (uplatněno i v ukaz.I)</t>
  </si>
  <si>
    <t>počítačové studovny (uplatněno i v ukaz. I)</t>
  </si>
  <si>
    <t>všeobecná tělesná výchova</t>
  </si>
  <si>
    <t xml:space="preserve"> celkem účtováno přes FSpS</t>
  </si>
  <si>
    <t>výuka jazyků</t>
  </si>
  <si>
    <t>celkem účtováno přes CJV</t>
  </si>
  <si>
    <t>s odpisy</t>
  </si>
  <si>
    <t xml:space="preserve"> x 1,1</t>
  </si>
  <si>
    <t>ostatní</t>
  </si>
  <si>
    <t>Program 233 332 (rež.nákl.prac.UKB), 2006 převod do rozp.RMU</t>
  </si>
  <si>
    <t>pronájmy pro KSA</t>
  </si>
  <si>
    <t xml:space="preserve">LF - nájemné FNB, dětská nem. </t>
  </si>
  <si>
    <t>akademické soutěže studentů 2006</t>
  </si>
  <si>
    <r>
      <t xml:space="preserve">82 - Správa UKB - </t>
    </r>
    <r>
      <rPr>
        <sz val="9"/>
        <color indexed="10"/>
        <rFont val="Arial CE"/>
        <family val="2"/>
      </rPr>
      <t>hradí LF a PřF</t>
    </r>
  </si>
  <si>
    <r>
      <t xml:space="preserve">CP1  Finanční činnosti </t>
    </r>
    <r>
      <rPr>
        <sz val="9"/>
        <rFont val="Arial CE"/>
        <family val="2"/>
      </rPr>
      <t>(ř. 1+2+3+4)</t>
    </r>
  </si>
  <si>
    <r>
      <t>Financování odpisů fakult (% odpisů nedotačních 2005</t>
    </r>
    <r>
      <rPr>
        <sz val="9"/>
        <rFont val="Arial CE"/>
        <family val="2"/>
      </rPr>
      <t>)</t>
    </r>
  </si>
  <si>
    <t xml:space="preserve">výměna oken jižní fasáda </t>
  </si>
  <si>
    <t>oprava ocelových oken na jižní fasádě</t>
  </si>
  <si>
    <t xml:space="preserve">oprava fasády a parapetů světlíku </t>
  </si>
  <si>
    <t>nátěry klem.prvků nad dvorními trakty a sev.fasádou</t>
  </si>
  <si>
    <t>Oprava oplocení hřiště a dvora</t>
  </si>
  <si>
    <t xml:space="preserve">nátěry oken na dvorním pavilonu </t>
  </si>
  <si>
    <t>Nátěry dveří</t>
  </si>
  <si>
    <t>nátěry plechových střech</t>
  </si>
  <si>
    <t>výměna vadných ventilů v plyn.kotelně (P9 a pavilon P31)</t>
  </si>
  <si>
    <t>Poříčí 9, 31</t>
  </si>
  <si>
    <t>Prf - Právnická fakulta</t>
  </si>
  <si>
    <t>PdF - Pedagogická fakulta</t>
  </si>
  <si>
    <t>výměna hliníkových oken na schodištích, WC apod.</t>
  </si>
  <si>
    <r>
      <t xml:space="preserve">výměna dvoukř.ocel.dveří do dvora </t>
    </r>
    <r>
      <rPr>
        <sz val="11"/>
        <color indexed="10"/>
        <rFont val="Arial CE"/>
        <family val="0"/>
      </rPr>
      <t>investice</t>
    </r>
  </si>
  <si>
    <t>FSpS - Fakulta sport.studií</t>
  </si>
  <si>
    <t>oprava vlysů malé tělocvičny</t>
  </si>
  <si>
    <t>výměna oken tělocvičny-posilovna a kancelář správce (komp.výměna na budově cca 2,7 mil.Kč)</t>
  </si>
  <si>
    <t xml:space="preserve">výměna mříží u oken tělocvičny (posilovny) </t>
  </si>
  <si>
    <t xml:space="preserve">výměna osvětlení ve velké tělocvičně </t>
  </si>
  <si>
    <t xml:space="preserve">výměna osvětlení v gymnast.sále </t>
  </si>
  <si>
    <t>oprava střechy červené budovy</t>
  </si>
  <si>
    <t>Oprava obvod.pláště červené budovy</t>
  </si>
  <si>
    <t>oprava omítek po odvlhčení obj.J</t>
  </si>
  <si>
    <t>Jaselská</t>
  </si>
  <si>
    <t>oprava severní fasády obj.B</t>
  </si>
  <si>
    <t>oprava izolace ve dvoře</t>
  </si>
  <si>
    <t>Gorkého 7</t>
  </si>
  <si>
    <t>oprava části dvorní fasády</t>
  </si>
  <si>
    <t>oprava střešních prvků</t>
  </si>
  <si>
    <t>malování</t>
  </si>
  <si>
    <t xml:space="preserve">obnova nátěru a antigraffity fasády </t>
  </si>
  <si>
    <t>výměna oken</t>
  </si>
  <si>
    <t>vybráno</t>
  </si>
  <si>
    <t xml:space="preserve">název akce </t>
  </si>
  <si>
    <t>pojištění majetku MU a studentů</t>
  </si>
  <si>
    <t>pěvecký sbor MU</t>
  </si>
  <si>
    <t>oponentury VZ</t>
  </si>
  <si>
    <t xml:space="preserve">92 - ÚVT </t>
  </si>
  <si>
    <r>
      <t>výměna koberců v aule</t>
    </r>
    <r>
      <rPr>
        <sz val="11"/>
        <color indexed="10"/>
        <rFont val="Arial CE"/>
        <family val="0"/>
      </rPr>
      <t xml:space="preserve"> (vlastní provozní prostředky)</t>
    </r>
  </si>
  <si>
    <t>Rozpočet 2006</t>
  </si>
  <si>
    <t xml:space="preserve">RMU </t>
  </si>
  <si>
    <r>
      <t xml:space="preserve">Veveří 70 </t>
    </r>
    <r>
      <rPr>
        <sz val="11"/>
        <color indexed="10"/>
        <rFont val="Arial CE"/>
        <family val="0"/>
      </rPr>
      <t xml:space="preserve"> </t>
    </r>
  </si>
  <si>
    <t>FI - Fakulta informatiky</t>
  </si>
  <si>
    <t>Plán velkých oprav na rok 2006</t>
  </si>
  <si>
    <r>
      <t xml:space="preserve">internacionalizace MU ( vč.jazyk.kurzů) </t>
    </r>
    <r>
      <rPr>
        <sz val="9"/>
        <color indexed="10"/>
        <rFont val="Arial CE"/>
        <family val="2"/>
      </rPr>
      <t xml:space="preserve"> </t>
    </r>
  </si>
  <si>
    <t xml:space="preserve">znalecké posudky </t>
  </si>
  <si>
    <r>
      <t xml:space="preserve">nájem Údolní (bez tělocvičny) </t>
    </r>
    <r>
      <rPr>
        <sz val="9"/>
        <rFont val="Arial CE"/>
        <family val="0"/>
      </rPr>
      <t>+ pozemek nám.Míru</t>
    </r>
  </si>
  <si>
    <t>D</t>
  </si>
  <si>
    <t>P</t>
  </si>
  <si>
    <t>LF</t>
  </si>
  <si>
    <t>FF</t>
  </si>
  <si>
    <t>PrF</t>
  </si>
  <si>
    <t>FSS</t>
  </si>
  <si>
    <t>PřF</t>
  </si>
  <si>
    <t>FI</t>
  </si>
  <si>
    <t>PdF</t>
  </si>
  <si>
    <t>ESF</t>
  </si>
  <si>
    <t>MU</t>
  </si>
  <si>
    <t>Fakulta</t>
  </si>
  <si>
    <t>Přínos</t>
  </si>
  <si>
    <t>FSpS</t>
  </si>
  <si>
    <t>celkem</t>
  </si>
  <si>
    <t>přínos</t>
  </si>
  <si>
    <t>váha kritéria</t>
  </si>
  <si>
    <t>program</t>
  </si>
  <si>
    <t>Koeficient</t>
  </si>
  <si>
    <t>Podíl</t>
  </si>
  <si>
    <t>Celkem</t>
  </si>
  <si>
    <t>H</t>
  </si>
  <si>
    <t>a</t>
  </si>
  <si>
    <t>podíl</t>
  </si>
  <si>
    <t>přep.</t>
  </si>
  <si>
    <t>stud.</t>
  </si>
  <si>
    <t>zam.</t>
  </si>
  <si>
    <t>plocha</t>
  </si>
  <si>
    <t>kap.</t>
  </si>
  <si>
    <t>plochy</t>
  </si>
  <si>
    <t>dotace</t>
  </si>
  <si>
    <t>počet</t>
  </si>
  <si>
    <t>činnosti</t>
  </si>
  <si>
    <t>ze vzděl.</t>
  </si>
  <si>
    <t>na ploše</t>
  </si>
  <si>
    <t>výzkum</t>
  </si>
  <si>
    <t>na spec.</t>
  </si>
  <si>
    <t>tis. Kč</t>
  </si>
  <si>
    <t>CEP,CEZ</t>
  </si>
  <si>
    <t>VaV</t>
  </si>
  <si>
    <t>Ii</t>
  </si>
  <si>
    <t>U</t>
  </si>
  <si>
    <t>A</t>
  </si>
  <si>
    <t>S</t>
  </si>
  <si>
    <t>Ki</t>
  </si>
  <si>
    <t>s</t>
  </si>
  <si>
    <t>c</t>
  </si>
  <si>
    <t>Qr</t>
  </si>
  <si>
    <t>Qm</t>
  </si>
  <si>
    <t>na V+V</t>
  </si>
  <si>
    <t>přep.poč.</t>
  </si>
  <si>
    <t>profesorů</t>
  </si>
  <si>
    <t>ak.prac.</t>
  </si>
  <si>
    <t>abs.Mgr.</t>
  </si>
  <si>
    <t>stud.Ph.D.</t>
  </si>
  <si>
    <t>úspěš.</t>
  </si>
  <si>
    <t>koef.</t>
  </si>
  <si>
    <t>docentů</t>
  </si>
  <si>
    <t>odpis</t>
  </si>
  <si>
    <t>odpisy</t>
  </si>
  <si>
    <t>Ostatní</t>
  </si>
  <si>
    <t>Fakulty celkem</t>
  </si>
  <si>
    <t>Odvod 2002</t>
  </si>
  <si>
    <t>Odvod 2004</t>
  </si>
  <si>
    <t>Odvod 2003</t>
  </si>
  <si>
    <t>plán</t>
  </si>
  <si>
    <t>Rozdělení 2002</t>
  </si>
  <si>
    <t>Rozdělení 2003</t>
  </si>
  <si>
    <t>Rozdělení 2004</t>
  </si>
  <si>
    <t>VI. Odvody fakult do centralizovaných zdrojů pro účetní období kalendářního roku 2004</t>
  </si>
  <si>
    <t>Fak. celk.</t>
  </si>
  <si>
    <t>nedot.</t>
  </si>
  <si>
    <t>dot.</t>
  </si>
  <si>
    <t>návrh</t>
  </si>
  <si>
    <t>č.</t>
  </si>
  <si>
    <t>akce</t>
  </si>
  <si>
    <t>Dotační odpisy MU (výměna NIV/INV na Program 233 330)</t>
  </si>
  <si>
    <t>81 - SKM</t>
  </si>
  <si>
    <t>82 - Správa UKB</t>
  </si>
  <si>
    <t>96 - CJV</t>
  </si>
  <si>
    <t>97 - CZS</t>
  </si>
  <si>
    <t>99 - RMU</t>
  </si>
  <si>
    <t>NIV pro Program 233 330</t>
  </si>
  <si>
    <t xml:space="preserve">   Podprogram 233 332 - UKB</t>
  </si>
  <si>
    <t xml:space="preserve">   Podprogram 233 333 - reko (Joštova, Kotlářská)</t>
  </si>
  <si>
    <t>CP2 Centralizované aktivity MU</t>
  </si>
  <si>
    <t>CESNET - poplatky</t>
  </si>
  <si>
    <t xml:space="preserve">xxx </t>
  </si>
  <si>
    <t>energetický management</t>
  </si>
  <si>
    <t>velká údržba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</si>
  <si>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</si>
  <si>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</si>
  <si>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</si>
  <si>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</si>
  <si>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>stěhování PřF na Údolní</t>
  </si>
  <si>
    <t>nákl.spojené se správou poč.sítě Údolní</t>
  </si>
  <si>
    <t xml:space="preserve"> nájem Tomešova </t>
  </si>
  <si>
    <t xml:space="preserve"> - stěhování na Tomešovu</t>
  </si>
  <si>
    <t xml:space="preserve"> Telč - provozní náklady (od 1.1.05 samostatné HS)</t>
  </si>
  <si>
    <t>stěhování CDV do Šlapanic</t>
  </si>
  <si>
    <t>stěhování ILBIT (500 LF + 500 PřF)</t>
  </si>
  <si>
    <t xml:space="preserve"> celkem účtováno přes rektorát</t>
  </si>
  <si>
    <t>is.muni.cz (inf.systém MU)</t>
  </si>
  <si>
    <t xml:space="preserve"> celkem účtováno přes FI</t>
  </si>
  <si>
    <t>xxx</t>
  </si>
  <si>
    <t xml:space="preserve"> celkem nové náklady - účtováno přes ÚVT</t>
  </si>
  <si>
    <t>součet CP1 + CP2 + CP3</t>
  </si>
  <si>
    <t>bez</t>
  </si>
  <si>
    <t>ř.</t>
  </si>
  <si>
    <t>83 - UCT (Telč)</t>
  </si>
  <si>
    <t>92 - ÚVT</t>
  </si>
  <si>
    <t>94 - VMU</t>
  </si>
  <si>
    <t>CP4   celkem rež.prac.</t>
  </si>
  <si>
    <t>celkem odpočet před rozdělením (CP1+CP2+CP3+CP4)</t>
  </si>
  <si>
    <t>k rozdělení fakultám s odečtem odpisů</t>
  </si>
  <si>
    <t>vklad</t>
  </si>
  <si>
    <t>snížené</t>
  </si>
  <si>
    <t>Odp ND</t>
  </si>
  <si>
    <t>Odp D</t>
  </si>
  <si>
    <t>Vkl NEI</t>
  </si>
  <si>
    <t>RR</t>
  </si>
  <si>
    <t>Financování odpisů režijních součástí (nedotačních)</t>
  </si>
  <si>
    <t>Odp RS</t>
  </si>
  <si>
    <t>RS</t>
  </si>
  <si>
    <t>Pravidla rozdělování normativní dotace schválil AS MU 12.12.2005.</t>
  </si>
  <si>
    <t>index</t>
  </si>
  <si>
    <t xml:space="preserve">   Činnost</t>
  </si>
  <si>
    <t>rok 2005</t>
  </si>
  <si>
    <t>rok 2006</t>
  </si>
  <si>
    <t>2006/05</t>
  </si>
  <si>
    <t xml:space="preserve">   vzdělávací</t>
  </si>
  <si>
    <t xml:space="preserve">   specifický výzkum</t>
  </si>
  <si>
    <t xml:space="preserve">   C e l k e m</t>
  </si>
  <si>
    <t>na studijní</t>
  </si>
  <si>
    <t>na</t>
  </si>
  <si>
    <t>Podíl na</t>
  </si>
  <si>
    <t>programy</t>
  </si>
  <si>
    <t>obory</t>
  </si>
  <si>
    <t>kredity</t>
  </si>
  <si>
    <t>přínosu</t>
  </si>
  <si>
    <t>Celkem MU</t>
  </si>
  <si>
    <t>III. Výpočet přínosu na specifický výzkum pro rok 2006</t>
  </si>
  <si>
    <t>dotace na</t>
  </si>
  <si>
    <t>spec.výzk.</t>
  </si>
  <si>
    <t>G2004</t>
  </si>
  <si>
    <t>Přínos na</t>
  </si>
  <si>
    <t>Qr(vztaž)</t>
  </si>
  <si>
    <t>na MU</t>
  </si>
  <si>
    <t>spec.výzkum</t>
  </si>
  <si>
    <t>IV. Přínos fakult celkem</t>
  </si>
  <si>
    <t>r o k   2 0 0 6</t>
  </si>
  <si>
    <t>r o k   2 0 0 5</t>
  </si>
  <si>
    <t>specif.v</t>
  </si>
  <si>
    <t>V. Financování celouniverzitních aktivit a režijních pracovišť</t>
  </si>
  <si>
    <t xml:space="preserve">   financování nedotačních odpisů režijních pracovišť</t>
  </si>
  <si>
    <t xml:space="preserve">   vklad NEI pro Program</t>
  </si>
  <si>
    <t>Příspěvek 2. Celkem</t>
  </si>
  <si>
    <r>
      <t xml:space="preserve">   dotační odpisy MU </t>
    </r>
    <r>
      <rPr>
        <sz val="8"/>
        <rFont val="Arial CE"/>
        <family val="0"/>
      </rPr>
      <t>(výměna NIV/INV, zejm. na Program 233 330)</t>
    </r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</si>
  <si>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</si>
  <si>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r>
      <t>režijní pracoviště ze vzděl.č., viz</t>
    </r>
    <r>
      <rPr>
        <sz val="9"/>
        <rFont val="Arial CE"/>
        <family val="0"/>
      </rPr>
      <t xml:space="preserve"> příloha 1 (CP4)</t>
    </r>
  </si>
  <si>
    <t>přidělená</t>
  </si>
  <si>
    <t>vypočtená</t>
  </si>
  <si>
    <t>z toho</t>
  </si>
  <si>
    <t xml:space="preserve">Hospodářské </t>
  </si>
  <si>
    <t>na specif.</t>
  </si>
  <si>
    <t>na vzděl.č.</t>
  </si>
  <si>
    <t>č.ř.</t>
  </si>
  <si>
    <t>středisko</t>
  </si>
  <si>
    <t>fakulty celkem</t>
  </si>
  <si>
    <t>SUKB</t>
  </si>
  <si>
    <t>UCT</t>
  </si>
  <si>
    <t>SPSSN</t>
  </si>
  <si>
    <t>VPC</t>
  </si>
  <si>
    <t>VMU</t>
  </si>
  <si>
    <t>CJV</t>
  </si>
  <si>
    <t>CZS</t>
  </si>
  <si>
    <t>rež.prac. bez CA (CP4)</t>
  </si>
  <si>
    <t>CP1</t>
  </si>
  <si>
    <t>CP2</t>
  </si>
  <si>
    <t>CP3 (RR)</t>
  </si>
  <si>
    <t>Příspěvek celkem</t>
  </si>
  <si>
    <t>MU celkem</t>
  </si>
  <si>
    <t>z toho vzdělávací č.</t>
  </si>
  <si>
    <t>výměna NEI/INV</t>
  </si>
  <si>
    <t>Seznam příloh:</t>
  </si>
  <si>
    <t xml:space="preserve">příloha 1 - </t>
  </si>
  <si>
    <t xml:space="preserve">příloha 2 -  </t>
  </si>
  <si>
    <t xml:space="preserve">příloha 3 -  </t>
  </si>
  <si>
    <t>Plán</t>
  </si>
  <si>
    <t>Upravený</t>
  </si>
  <si>
    <t>Skutečnost</t>
  </si>
  <si>
    <t>činnost</t>
  </si>
  <si>
    <t>Náklady celkem (ř.2+14až23)</t>
  </si>
  <si>
    <t xml:space="preserve">   z toho:</t>
  </si>
  <si>
    <t xml:space="preserve"> A-vzděl.č.,specif.VaV,SKM + mimor.vlastní:</t>
  </si>
  <si>
    <t xml:space="preserve">v tom - </t>
  </si>
  <si>
    <t>mzdy</t>
  </si>
  <si>
    <t>OON</t>
  </si>
  <si>
    <t xml:space="preserve">odvody 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</si>
  <si>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</si>
  <si>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</si>
  <si>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</si>
  <si>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</si>
  <si>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</si>
  <si>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</si>
  <si>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</si>
  <si>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</si>
  <si>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</si>
  <si>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</si>
  <si>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</si>
  <si>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115*,117*,118*,119*,114*</t>
  </si>
  <si>
    <t>G-FRVŠ</t>
  </si>
  <si>
    <t>116*</t>
  </si>
  <si>
    <t>Ostatní dotace ze SR a od úz.celků bez VaV</t>
  </si>
  <si>
    <t>13*,14*</t>
  </si>
  <si>
    <t>Mimorozpočtové účelové bez VaV</t>
  </si>
  <si>
    <t>151*,161*</t>
  </si>
  <si>
    <t>Výzkumné záměry</t>
  </si>
  <si>
    <t>Projekty VaV ze SR a od úz.celků</t>
  </si>
  <si>
    <t>Projekty VaV mimorozpočtové</t>
  </si>
  <si>
    <t>251*,261*,262*</t>
  </si>
  <si>
    <t>Doplňková činnost</t>
  </si>
  <si>
    <t>8*</t>
  </si>
  <si>
    <t>Výnosy celkem (ř.25 až 39)</t>
  </si>
  <si>
    <t>111*</t>
  </si>
  <si>
    <t>12*</t>
  </si>
  <si>
    <t xml:space="preserve">Dotace na specif. výzkum </t>
  </si>
  <si>
    <t>211*</t>
  </si>
  <si>
    <t xml:space="preserve">Mimorozpočtové vlastní </t>
  </si>
  <si>
    <t>Čerpání fondů</t>
  </si>
  <si>
    <t>4*</t>
  </si>
  <si>
    <t>Hospodářský výsledek dílčí (ř.25+30+33+37+38+39-2-23)</t>
  </si>
  <si>
    <t>Hospodářský výsledek (ř.24-1)</t>
  </si>
  <si>
    <t>Schváleno v AS fakulty dne:</t>
  </si>
  <si>
    <t>Podpis: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</si>
  <si>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</si>
  <si>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r>
      <t>111*,12*,152*,153*,157*,159*,167*,169*,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</si>
  <si>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color indexed="10"/>
        <rFont val="Arial CE"/>
        <family val="0"/>
      </rPr>
      <t>219*</t>
    </r>
    <r>
      <rPr>
        <sz val="8"/>
        <rFont val="Arial CE"/>
        <family val="2"/>
      </rPr>
      <t>,22*,24*</t>
    </r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</si>
  <si>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</si>
  <si>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r>
      <t xml:space="preserve">pasportizace budov MU, </t>
    </r>
    <r>
      <rPr>
        <sz val="9"/>
        <rFont val="Arial CE"/>
        <family val="0"/>
      </rPr>
      <t>2006-aktualizace</t>
    </r>
  </si>
  <si>
    <t>převod standardních činností do dotace, přidělené ÚVT</t>
  </si>
  <si>
    <r>
      <t xml:space="preserve">1) </t>
    </r>
    <r>
      <rPr>
        <i/>
        <sz val="8"/>
        <rFont val="Arial CE"/>
        <family val="0"/>
      </rPr>
      <t xml:space="preserve"> částka odpisů majetku, pořízeného z dotace, dle vyhl. 504/01 Sb. se od 1.1.05 ve výši nákladů účtuje do výnosů</t>
    </r>
  </si>
  <si>
    <t>příspěvek/normativní dotace na vzdělávací činnost</t>
  </si>
  <si>
    <t>91 - VPC zrušeno k 1.1.2006</t>
  </si>
  <si>
    <t>odpis 12/2005</t>
  </si>
  <si>
    <t>HS</t>
  </si>
  <si>
    <t>dotační</t>
  </si>
  <si>
    <t>nedotační</t>
  </si>
  <si>
    <t>z toho fak.</t>
  </si>
  <si>
    <t xml:space="preserve">sl. 4 až 6: skutečnost 2005 = včetně ILBIT za 12/05 a Joštovy za 12/05 (stavba, zatím ne SZNN), bez Kotlářské </t>
  </si>
  <si>
    <t xml:space="preserve">sl. 10 až 11 = odpis 12/05 x 12 + dopočet akcí ILBIT, Joštova a Kotlářská (odpis až od 1/06) u nedotačních odpisů </t>
  </si>
  <si>
    <r>
      <t>Příspěvek do centralizovaných zdrojů celkem dle</t>
    </r>
    <r>
      <rPr>
        <sz val="9"/>
        <rFont val="Arial CE"/>
        <family val="0"/>
      </rPr>
      <t xml:space="preserve"> Pravidel hospodaření MU na rok 2006</t>
    </r>
  </si>
  <si>
    <t>V Brně dne 30.1.2006</t>
  </si>
  <si>
    <t>Odpisy v plánu rozpočtu na rok 2006:</t>
  </si>
  <si>
    <t>Odhad nákladů na odpisy 2006</t>
  </si>
  <si>
    <t>odhad nákladů na odpisy</t>
  </si>
  <si>
    <t xml:space="preserve"> - náklady na odpisy celkem (tj. údaje ze sl. 3) uvést na ř. 11 osnovy Rozpočtu</t>
  </si>
  <si>
    <t xml:space="preserve"> - výnosy ve výši nedotačních odpisů (údaj ze sl. 2) plánovat na ř. 25 osnovy Rozpočtu </t>
  </si>
  <si>
    <t xml:space="preserve"> - výnosy ve výši dotačních odpisů (údaj ze sl. 1) plánovat na ř. 37 osnovy Rozpočtu </t>
  </si>
  <si>
    <t>v %</t>
  </si>
  <si>
    <t>z přínosu</t>
  </si>
  <si>
    <t>přiděleno</t>
  </si>
  <si>
    <t>CP2 až 4</t>
  </si>
  <si>
    <t>CP</t>
  </si>
  <si>
    <t>RCP</t>
  </si>
  <si>
    <t>CP2-RCP</t>
  </si>
  <si>
    <t>CP celkem</t>
  </si>
  <si>
    <t>CP 2</t>
  </si>
  <si>
    <t>CP 1</t>
  </si>
  <si>
    <t>rezerva (1% z příspěvku na ukazatel A)</t>
  </si>
  <si>
    <r>
      <t xml:space="preserve">CP3   rezerva rektora </t>
    </r>
    <r>
      <rPr>
        <sz val="9"/>
        <rFont val="Arial CE"/>
        <family val="2"/>
      </rPr>
      <t>(1% z příspěvku na ukazatel A)</t>
    </r>
  </si>
  <si>
    <r>
      <t xml:space="preserve">Financování celouniverzitních aktivit  v roce 2006 </t>
    </r>
    <r>
      <rPr>
        <b/>
        <sz val="9"/>
        <rFont val="Arial CE"/>
        <family val="0"/>
      </rPr>
      <t>(</t>
    </r>
    <r>
      <rPr>
        <sz val="9"/>
        <rFont val="Arial CE"/>
        <family val="0"/>
      </rPr>
      <t>z příspěvku MŠMt na ukazatel A)</t>
    </r>
  </si>
  <si>
    <r>
      <t xml:space="preserve">Financování režijních pracovišť v roce 2006 </t>
    </r>
    <r>
      <rPr>
        <b/>
        <sz val="9"/>
        <rFont val="Arial CE"/>
        <family val="0"/>
      </rPr>
      <t>(</t>
    </r>
    <r>
      <rPr>
        <sz val="9"/>
        <rFont val="Arial CE"/>
        <family val="0"/>
      </rPr>
      <t>z příspěvku MŠMT na ukazatel A)</t>
    </r>
  </si>
  <si>
    <t xml:space="preserve">    (není potřeba finanční krytí, tj. neplánuje se financování z dotace)</t>
  </si>
  <si>
    <t xml:space="preserve">   dle přílohy č. xxxxx a tutéž částku do nákladů, tj. v nákladech plánují částku odpisy celkem.</t>
  </si>
  <si>
    <t>resp. snížené o částku nedotačních odpisů financovaných z účelových prostředků z veřejných zdrojů (grantů)</t>
  </si>
  <si>
    <t>Schválil: Janíček, kvestor</t>
  </si>
  <si>
    <t>Zpracovala: Foukalová</t>
  </si>
  <si>
    <r>
      <t>b) Rozpis příspěvku a dotace na specifický výzkum</t>
    </r>
    <r>
      <rPr>
        <sz val="10"/>
        <rFont val="Arial CE"/>
        <family val="2"/>
      </rPr>
      <t xml:space="preserve"> rozpisu centralizovaných prostředků na příslušná HS</t>
    </r>
  </si>
  <si>
    <r>
      <t xml:space="preserve">a) Rozpis příspěvku a dotace na specifický výzkum na příslušná hosp.střediska (HS)  </t>
    </r>
    <r>
      <rPr>
        <sz val="9"/>
        <rFont val="Arial CE"/>
        <family val="0"/>
      </rPr>
      <t>- bez rozpisu centralizovaných prostředků (CP)</t>
    </r>
  </si>
  <si>
    <t>bez CP</t>
  </si>
  <si>
    <t>CP bez RR</t>
  </si>
  <si>
    <t xml:space="preserve">příloha 4  -  </t>
  </si>
  <si>
    <t>Odhad odpisů 2006</t>
  </si>
  <si>
    <t>VII. Rozpis příspěvku a dotace na specifický výzkum jednotlivá hospodářská střediska pro rok 2006</t>
  </si>
  <si>
    <r>
      <t xml:space="preserve">I. Příspěvek MŠMT na ukazatel A a dotace na specifický výzkum </t>
    </r>
    <r>
      <rPr>
        <sz val="11"/>
        <rFont val="Arial CE"/>
        <family val="0"/>
      </rPr>
      <t>(v tis. Kč)</t>
    </r>
  </si>
  <si>
    <t>II. Výpočet přínosu fakult na vzdělávací činnost - ukazatel A pro rok 2006</t>
  </si>
  <si>
    <t>ukazatel A</t>
  </si>
  <si>
    <r>
      <t xml:space="preserve">CP 1. Snížení přiděleného příspěvku a dotace na specifický výzkum 2006, viz příloha 1 </t>
    </r>
    <r>
      <rPr>
        <sz val="9"/>
        <rFont val="Arial CE"/>
        <family val="0"/>
      </rPr>
      <t>(CP1)</t>
    </r>
  </si>
  <si>
    <t>CP 1. Celkem</t>
  </si>
  <si>
    <t>CP 2. Plán rozdělení prostředků na celouniverzitní aktivity a režijní pracoviště</t>
  </si>
  <si>
    <r>
      <t>součet CP 2 a CP 3 (</t>
    </r>
    <r>
      <rPr>
        <sz val="9"/>
        <rFont val="Arial CE"/>
        <family val="0"/>
      </rPr>
      <t>ř.10+11)</t>
    </r>
  </si>
  <si>
    <r>
      <t xml:space="preserve">centralizované aktivity - viz příloha č.1 </t>
    </r>
    <r>
      <rPr>
        <sz val="9"/>
        <rFont val="Arial CE"/>
        <family val="0"/>
      </rPr>
      <t>(CP2)</t>
    </r>
  </si>
  <si>
    <r>
      <t xml:space="preserve">rezerva rektora - RR (1% z příspěvku na ukazatel A), viz příloha 1 </t>
    </r>
    <r>
      <rPr>
        <sz val="9"/>
        <rFont val="Arial CE"/>
        <family val="0"/>
      </rPr>
      <t>(CP3)</t>
    </r>
  </si>
  <si>
    <t>přínos na vzdělavací č. (ukazatel A) a specifický výzkum celkem (ř.3)</t>
  </si>
  <si>
    <r>
      <t>CP celkem</t>
    </r>
    <r>
      <rPr>
        <sz val="10"/>
        <rFont val="Arial CE"/>
        <family val="0"/>
      </rPr>
      <t xml:space="preserve"> (ř.9+ř.14)</t>
    </r>
  </si>
  <si>
    <r>
      <t xml:space="preserve">K rozdělení fakultám </t>
    </r>
    <r>
      <rPr>
        <sz val="10"/>
        <rFont val="Arial CE"/>
        <family val="2"/>
      </rPr>
      <t>(ř.15-ř.16)</t>
    </r>
  </si>
  <si>
    <t>Dotace na SKM, ubytovací a soc.stip.</t>
  </si>
  <si>
    <r>
      <t>2)</t>
    </r>
    <r>
      <rPr>
        <i/>
        <sz val="8"/>
        <rFont val="Arial CE"/>
        <family val="2"/>
      </rPr>
      <t xml:space="preserve"> ve sl. CP včetně financování nedotačních odpisů a vkladu NEI do Programu 233 330</t>
    </r>
  </si>
  <si>
    <r>
      <t>3)</t>
    </r>
    <r>
      <rPr>
        <i/>
        <sz val="8"/>
        <rFont val="Arial CE"/>
        <family val="2"/>
      </rPr>
      <t xml:space="preserve"> část příspěvku na financování nedotačních odpisů fakult (ř.63) bude postupně (čtvrtletně) rozpouštěna do výnosů fakult podílem na výši skutečných odpisů</t>
    </r>
  </si>
  <si>
    <r>
      <t>1)</t>
    </r>
    <r>
      <rPr>
        <i/>
        <sz val="8"/>
        <rFont val="Arial CE"/>
        <family val="2"/>
      </rPr>
      <t xml:space="preserve"> společné provozní náklady SUKB budou financovat fakulty v SUKB</t>
    </r>
  </si>
  <si>
    <t>rozpis</t>
  </si>
  <si>
    <t>A-příspěvek na vzdělávací činnost (ukazatel A)</t>
  </si>
  <si>
    <t>(projednáno ve vedení MU a v kolegiu rektora dne 21.2.2006)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</si>
</sst>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#,##0.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</numFmts>
  <fonts count="6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10"/>
      <color indexed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"/>
      <family val="2"/>
    </font>
    <font>
      <sz val="11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i/>
      <sz val="8"/>
      <color indexed="10"/>
      <name val="Arial CE"/>
      <family val="2"/>
    </font>
    <font>
      <sz val="9"/>
      <color indexed="10"/>
      <name val="Arial CE"/>
      <family val="2"/>
    </font>
    <font>
      <i/>
      <sz val="9"/>
      <name val="Arial CE"/>
      <family val="0"/>
    </font>
    <font>
      <i/>
      <vertAlign val="superscript"/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 CE"/>
      <family val="2"/>
    </font>
    <font>
      <b/>
      <i/>
      <sz val="9"/>
      <name val="Arial CE"/>
      <family val="2"/>
    </font>
    <font>
      <b/>
      <sz val="9"/>
      <color indexed="10"/>
      <name val="Arial CE"/>
      <family val="2"/>
    </font>
    <font>
      <i/>
      <sz val="9"/>
      <color indexed="8"/>
      <name val="Arial CE"/>
      <family val="2"/>
    </font>
    <font>
      <b/>
      <i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8"/>
      <name val="Arial"/>
      <family val="2"/>
    </font>
    <font>
      <sz val="11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b/>
      <sz val="14"/>
      <name val="Arial CE"/>
      <family val="0"/>
    </font>
    <font>
      <b/>
      <i/>
      <sz val="10"/>
      <name val="Arial"/>
      <family val="2"/>
    </font>
    <font>
      <b/>
      <sz val="10"/>
      <color indexed="10"/>
      <name val="Arial CE"/>
      <family val="0"/>
    </font>
    <font>
      <b/>
      <sz val="9"/>
      <color indexed="12"/>
      <name val="Arial CE"/>
      <family val="2"/>
    </font>
    <font>
      <sz val="11"/>
      <name val="Times New Roman CE"/>
      <family val="0"/>
    </font>
    <font>
      <sz val="18"/>
      <name val="Arial CE"/>
      <family val="2"/>
    </font>
    <font>
      <i/>
      <vertAlign val="superscript"/>
      <sz val="9"/>
      <name val="Arial CE"/>
      <family val="0"/>
    </font>
    <font>
      <b/>
      <i/>
      <sz val="10"/>
      <name val="Arial CE"/>
      <family val="2"/>
    </font>
    <font>
      <b/>
      <sz val="10"/>
      <color indexed="59"/>
      <name val="Arial CE"/>
      <family val="2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i/>
      <sz val="10"/>
      <color indexed="10"/>
      <name val="Arial CE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8"/>
      <color indexed="9"/>
      <name val="Arial CE"/>
      <family val="2"/>
    </font>
    <font>
      <sz val="9"/>
      <color indexed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20" applyFont="1">
      <alignment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20" fillId="0" borderId="3" xfId="20" applyFont="1" applyBorder="1">
      <alignment/>
      <protection/>
    </xf>
    <xf numFmtId="0" fontId="20" fillId="0" borderId="4" xfId="20" applyFont="1" applyBorder="1" applyAlignment="1">
      <alignment horizontal="center"/>
      <protection/>
    </xf>
    <xf numFmtId="0" fontId="20" fillId="0" borderId="5" xfId="20" applyFont="1" applyBorder="1">
      <alignment/>
      <protection/>
    </xf>
    <xf numFmtId="9" fontId="4" fillId="0" borderId="0" xfId="20" applyNumberFormat="1" applyFont="1">
      <alignment/>
      <protection/>
    </xf>
    <xf numFmtId="0" fontId="20" fillId="0" borderId="6" xfId="20" applyFont="1" applyBorder="1">
      <alignment/>
      <protection/>
    </xf>
    <xf numFmtId="0" fontId="20" fillId="0" borderId="7" xfId="20" applyFont="1" applyBorder="1" applyAlignment="1">
      <alignment horizontal="center"/>
      <protection/>
    </xf>
    <xf numFmtId="0" fontId="20" fillId="0" borderId="8" xfId="20" applyFont="1" applyBorder="1">
      <alignment/>
      <protection/>
    </xf>
    <xf numFmtId="0" fontId="20" fillId="2" borderId="9" xfId="20" applyFont="1" applyFill="1" applyBorder="1">
      <alignment/>
      <protection/>
    </xf>
    <xf numFmtId="0" fontId="20" fillId="0" borderId="0" xfId="20" applyFont="1">
      <alignment/>
      <protection/>
    </xf>
    <xf numFmtId="0" fontId="16" fillId="0" borderId="0" xfId="20" applyFont="1">
      <alignment/>
      <protection/>
    </xf>
    <xf numFmtId="3" fontId="16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22" fillId="0" borderId="0" xfId="20" applyFont="1">
      <alignment/>
      <protection/>
    </xf>
    <xf numFmtId="3" fontId="16" fillId="0" borderId="0" xfId="20" applyNumberFormat="1" applyFont="1">
      <alignment/>
      <protection/>
    </xf>
    <xf numFmtId="0" fontId="17" fillId="0" borderId="0" xfId="20" applyFont="1">
      <alignment/>
      <protection/>
    </xf>
    <xf numFmtId="0" fontId="17" fillId="0" borderId="0" xfId="20" applyFont="1">
      <alignment/>
      <protection/>
    </xf>
    <xf numFmtId="0" fontId="20" fillId="0" borderId="10" xfId="20" applyFont="1" applyBorder="1">
      <alignment/>
      <protection/>
    </xf>
    <xf numFmtId="0" fontId="20" fillId="0" borderId="11" xfId="20" applyFont="1" applyBorder="1" applyAlignment="1">
      <alignment horizontal="center"/>
      <protection/>
    </xf>
    <xf numFmtId="0" fontId="20" fillId="0" borderId="12" xfId="20" applyFont="1" applyBorder="1">
      <alignment/>
      <protection/>
    </xf>
    <xf numFmtId="0" fontId="20" fillId="0" borderId="13" xfId="20" applyFont="1" applyBorder="1" applyAlignment="1">
      <alignment horizontal="center"/>
      <protection/>
    </xf>
    <xf numFmtId="0" fontId="20" fillId="0" borderId="14" xfId="20" applyFont="1" applyBorder="1">
      <alignment/>
      <protection/>
    </xf>
    <xf numFmtId="0" fontId="20" fillId="0" borderId="15" xfId="20" applyFont="1" applyFill="1" applyBorder="1">
      <alignment/>
      <protection/>
    </xf>
    <xf numFmtId="0" fontId="20" fillId="0" borderId="16" xfId="20" applyFont="1" applyBorder="1" applyAlignment="1">
      <alignment horizontal="center"/>
      <protection/>
    </xf>
    <xf numFmtId="0" fontId="20" fillId="0" borderId="17" xfId="20" applyFont="1" applyBorder="1">
      <alignment/>
      <protection/>
    </xf>
    <xf numFmtId="0" fontId="24" fillId="0" borderId="0" xfId="20" applyFont="1">
      <alignment/>
      <protection/>
    </xf>
    <xf numFmtId="0" fontId="20" fillId="0" borderId="18" xfId="20" applyFont="1" applyBorder="1" applyAlignment="1">
      <alignment horizontal="center"/>
      <protection/>
    </xf>
    <xf numFmtId="0" fontId="24" fillId="3" borderId="19" xfId="20" applyFont="1" applyFill="1" applyBorder="1" applyAlignment="1">
      <alignment horizontal="center"/>
      <protection/>
    </xf>
    <xf numFmtId="0" fontId="24" fillId="3" borderId="20" xfId="20" applyFont="1" applyFill="1" applyBorder="1" applyAlignment="1">
      <alignment horizontal="center"/>
      <protection/>
    </xf>
    <xf numFmtId="0" fontId="20" fillId="0" borderId="19" xfId="20" applyFont="1" applyBorder="1">
      <alignment/>
      <protection/>
    </xf>
    <xf numFmtId="0" fontId="24" fillId="0" borderId="10" xfId="20" applyFont="1" applyBorder="1">
      <alignment/>
      <protection/>
    </xf>
    <xf numFmtId="0" fontId="24" fillId="0" borderId="0" xfId="20" applyFont="1">
      <alignment/>
      <protection/>
    </xf>
    <xf numFmtId="0" fontId="20" fillId="0" borderId="15" xfId="20" applyFont="1" applyBorder="1" applyAlignment="1">
      <alignment horizontal="center"/>
      <protection/>
    </xf>
    <xf numFmtId="0" fontId="20" fillId="0" borderId="0" xfId="20" applyFont="1" applyBorder="1">
      <alignment/>
      <protection/>
    </xf>
    <xf numFmtId="0" fontId="20" fillId="0" borderId="14" xfId="20" applyFont="1" applyBorder="1" applyAlignment="1">
      <alignment horizontal="center"/>
      <protection/>
    </xf>
    <xf numFmtId="0" fontId="20" fillId="0" borderId="21" xfId="20" applyFont="1" applyBorder="1">
      <alignment/>
      <protection/>
    </xf>
    <xf numFmtId="3" fontId="4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20" fillId="0" borderId="15" xfId="20" applyFont="1" applyBorder="1">
      <alignment/>
      <protection/>
    </xf>
    <xf numFmtId="0" fontId="20" fillId="0" borderId="22" xfId="20" applyFont="1" applyBorder="1">
      <alignment/>
      <protection/>
    </xf>
    <xf numFmtId="0" fontId="25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0" fontId="23" fillId="0" borderId="0" xfId="20" applyFont="1">
      <alignment/>
      <protection/>
    </xf>
    <xf numFmtId="3" fontId="4" fillId="0" borderId="0" xfId="20" applyNumberFormat="1" applyFont="1">
      <alignment/>
      <protection/>
    </xf>
    <xf numFmtId="0" fontId="21" fillId="0" borderId="0" xfId="20" applyFont="1">
      <alignment/>
      <protection/>
    </xf>
    <xf numFmtId="0" fontId="20" fillId="0" borderId="23" xfId="20" applyFont="1" applyBorder="1" applyAlignment="1">
      <alignment horizontal="left"/>
      <protection/>
    </xf>
    <xf numFmtId="0" fontId="20" fillId="0" borderId="1" xfId="20" applyFont="1" applyBorder="1">
      <alignment/>
      <protection/>
    </xf>
    <xf numFmtId="0" fontId="20" fillId="0" borderId="4" xfId="20" applyFont="1" applyBorder="1">
      <alignment/>
      <protection/>
    </xf>
    <xf numFmtId="0" fontId="20" fillId="0" borderId="24" xfId="20" applyFont="1" applyBorder="1">
      <alignment/>
      <protection/>
    </xf>
    <xf numFmtId="0" fontId="20" fillId="0" borderId="25" xfId="20" applyFont="1" applyBorder="1" applyAlignment="1">
      <alignment horizontal="center"/>
      <protection/>
    </xf>
    <xf numFmtId="0" fontId="20" fillId="0" borderId="26" xfId="20" applyFont="1" applyBorder="1">
      <alignment/>
      <protection/>
    </xf>
    <xf numFmtId="0" fontId="24" fillId="0" borderId="27" xfId="20" applyFont="1" applyBorder="1" applyAlignment="1">
      <alignment horizontal="center"/>
      <protection/>
    </xf>
    <xf numFmtId="0" fontId="20" fillId="0" borderId="28" xfId="20" applyFont="1" applyBorder="1">
      <alignment/>
      <protection/>
    </xf>
    <xf numFmtId="0" fontId="20" fillId="0" borderId="29" xfId="20" applyFont="1" applyBorder="1" applyAlignment="1">
      <alignment horizontal="center"/>
      <protection/>
    </xf>
    <xf numFmtId="3" fontId="20" fillId="0" borderId="13" xfId="20" applyNumberFormat="1" applyFont="1" applyBorder="1" applyAlignment="1">
      <alignment horizontal="right"/>
      <protection/>
    </xf>
    <xf numFmtId="0" fontId="20" fillId="0" borderId="30" xfId="20" applyFont="1" applyBorder="1">
      <alignment/>
      <protection/>
    </xf>
    <xf numFmtId="0" fontId="20" fillId="0" borderId="31" xfId="20" applyFont="1" applyBorder="1" applyAlignment="1">
      <alignment horizontal="center"/>
      <protection/>
    </xf>
    <xf numFmtId="3" fontId="20" fillId="0" borderId="18" xfId="20" applyNumberFormat="1" applyFont="1" applyBorder="1" applyAlignment="1">
      <alignment horizontal="right"/>
      <protection/>
    </xf>
    <xf numFmtId="0" fontId="20" fillId="4" borderId="32" xfId="20" applyFont="1" applyFill="1" applyBorder="1">
      <alignment/>
      <protection/>
    </xf>
    <xf numFmtId="0" fontId="20" fillId="4" borderId="33" xfId="20" applyFont="1" applyFill="1" applyBorder="1" applyAlignment="1">
      <alignment horizontal="center"/>
      <protection/>
    </xf>
    <xf numFmtId="3" fontId="20" fillId="4" borderId="19" xfId="20" applyNumberFormat="1" applyFont="1" applyFill="1" applyBorder="1">
      <alignment/>
      <protection/>
    </xf>
    <xf numFmtId="0" fontId="24" fillId="0" borderId="0" xfId="20" applyFont="1" applyAlignment="1">
      <alignment horizontal="center"/>
      <protection/>
    </xf>
    <xf numFmtId="0" fontId="16" fillId="0" borderId="0" xfId="20" applyFont="1" applyAlignment="1">
      <alignment horizontal="center"/>
      <protection/>
    </xf>
    <xf numFmtId="0" fontId="16" fillId="0" borderId="34" xfId="20" applyFont="1" applyBorder="1">
      <alignment/>
      <protection/>
    </xf>
    <xf numFmtId="3" fontId="16" fillId="0" borderId="34" xfId="20" applyNumberFormat="1" applyFont="1" applyBorder="1">
      <alignment/>
      <protection/>
    </xf>
    <xf numFmtId="0" fontId="17" fillId="0" borderId="34" xfId="20" applyFont="1" applyBorder="1">
      <alignment/>
      <protection/>
    </xf>
    <xf numFmtId="4" fontId="4" fillId="0" borderId="0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0" fontId="21" fillId="0" borderId="0" xfId="20" applyFont="1" applyAlignment="1">
      <alignment horizontal="center"/>
      <protection/>
    </xf>
    <xf numFmtId="0" fontId="21" fillId="0" borderId="0" xfId="20" applyFont="1">
      <alignment/>
      <protection/>
    </xf>
    <xf numFmtId="0" fontId="20" fillId="0" borderId="35" xfId="20" applyFont="1" applyBorder="1" applyAlignment="1">
      <alignment horizontal="center"/>
      <protection/>
    </xf>
    <xf numFmtId="0" fontId="20" fillId="0" borderId="35" xfId="20" applyFont="1" applyBorder="1">
      <alignment/>
      <protection/>
    </xf>
    <xf numFmtId="0" fontId="24" fillId="3" borderId="36" xfId="20" applyFont="1" applyFill="1" applyBorder="1" applyAlignment="1">
      <alignment horizontal="center"/>
      <protection/>
    </xf>
    <xf numFmtId="0" fontId="20" fillId="5" borderId="14" xfId="20" applyFont="1" applyFill="1" applyBorder="1">
      <alignment/>
      <protection/>
    </xf>
    <xf numFmtId="0" fontId="20" fillId="5" borderId="13" xfId="20" applyFont="1" applyFill="1" applyBorder="1" applyAlignment="1">
      <alignment horizontal="center"/>
      <protection/>
    </xf>
    <xf numFmtId="0" fontId="20" fillId="0" borderId="37" xfId="20" applyFont="1" applyFill="1" applyBorder="1" applyAlignment="1">
      <alignment horizontal="center"/>
      <protection/>
    </xf>
    <xf numFmtId="0" fontId="20" fillId="0" borderId="17" xfId="20" applyFont="1" applyFill="1" applyBorder="1">
      <alignment/>
      <protection/>
    </xf>
    <xf numFmtId="14" fontId="4" fillId="0" borderId="0" xfId="20" applyNumberFormat="1" applyFont="1" applyAlignment="1">
      <alignment horizontal="center"/>
      <protection/>
    </xf>
    <xf numFmtId="0" fontId="20" fillId="0" borderId="38" xfId="20" applyFont="1" applyBorder="1">
      <alignment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39" xfId="20" applyFont="1" applyBorder="1" applyAlignment="1">
      <alignment horizontal="center"/>
      <protection/>
    </xf>
    <xf numFmtId="0" fontId="21" fillId="0" borderId="39" xfId="20" applyFont="1" applyBorder="1" applyAlignment="1">
      <alignment horizontal="center"/>
      <protection/>
    </xf>
    <xf numFmtId="0" fontId="20" fillId="0" borderId="40" xfId="20" applyFont="1" applyBorder="1" applyAlignment="1">
      <alignment horizontal="center"/>
      <protection/>
    </xf>
    <xf numFmtId="0" fontId="21" fillId="0" borderId="40" xfId="20" applyFont="1" applyBorder="1" applyAlignment="1">
      <alignment horizontal="center"/>
      <protection/>
    </xf>
    <xf numFmtId="0" fontId="24" fillId="0" borderId="41" xfId="20" applyFont="1" applyBorder="1" applyAlignment="1">
      <alignment horizontal="center"/>
      <protection/>
    </xf>
    <xf numFmtId="0" fontId="29" fillId="0" borderId="41" xfId="20" applyFont="1" applyBorder="1" applyAlignment="1">
      <alignment horizontal="center"/>
      <protection/>
    </xf>
    <xf numFmtId="3" fontId="20" fillId="0" borderId="42" xfId="20" applyNumberFormat="1" applyFont="1" applyBorder="1" applyAlignment="1">
      <alignment horizontal="right"/>
      <protection/>
    </xf>
    <xf numFmtId="3" fontId="21" fillId="0" borderId="42" xfId="20" applyNumberFormat="1" applyFont="1" applyBorder="1" applyAlignment="1">
      <alignment horizontal="right"/>
      <protection/>
    </xf>
    <xf numFmtId="3" fontId="21" fillId="0" borderId="42" xfId="20" applyNumberFormat="1" applyFont="1" applyBorder="1" applyAlignment="1">
      <alignment/>
      <protection/>
    </xf>
    <xf numFmtId="3" fontId="21" fillId="4" borderId="42" xfId="20" applyNumberFormat="1" applyFont="1" applyFill="1" applyBorder="1" applyAlignment="1">
      <alignment horizontal="right"/>
      <protection/>
    </xf>
    <xf numFmtId="3" fontId="28" fillId="0" borderId="42" xfId="20" applyNumberFormat="1" applyFont="1" applyBorder="1" applyAlignment="1">
      <alignment horizontal="right"/>
      <protection/>
    </xf>
    <xf numFmtId="3" fontId="30" fillId="0" borderId="42" xfId="20" applyNumberFormat="1" applyFont="1" applyBorder="1" applyAlignment="1">
      <alignment horizontal="right"/>
      <protection/>
    </xf>
    <xf numFmtId="0" fontId="21" fillId="4" borderId="43" xfId="20" applyFont="1" applyFill="1" applyBorder="1" applyAlignment="1">
      <alignment horizontal="center"/>
      <protection/>
    </xf>
    <xf numFmtId="3" fontId="20" fillId="4" borderId="44" xfId="20" applyNumberFormat="1" applyFont="1" applyFill="1" applyBorder="1">
      <alignment/>
      <protection/>
    </xf>
    <xf numFmtId="3" fontId="21" fillId="4" borderId="44" xfId="20" applyNumberFormat="1" applyFont="1" applyFill="1" applyBorder="1">
      <alignment/>
      <protection/>
    </xf>
    <xf numFmtId="0" fontId="21" fillId="0" borderId="45" xfId="20" applyFont="1" applyBorder="1">
      <alignment/>
      <protection/>
    </xf>
    <xf numFmtId="0" fontId="21" fillId="0" borderId="46" xfId="20" applyFont="1" applyBorder="1" applyAlignment="1">
      <alignment horizontal="center"/>
      <protection/>
    </xf>
    <xf numFmtId="0" fontId="21" fillId="3" borderId="47" xfId="20" applyFont="1" applyFill="1" applyBorder="1" applyAlignment="1">
      <alignment horizontal="center"/>
      <protection/>
    </xf>
    <xf numFmtId="3" fontId="21" fillId="3" borderId="48" xfId="20" applyNumberFormat="1" applyFont="1" applyFill="1" applyBorder="1">
      <alignment/>
      <protection/>
    </xf>
    <xf numFmtId="3" fontId="21" fillId="3" borderId="49" xfId="20" applyNumberFormat="1" applyFont="1" applyFill="1" applyBorder="1">
      <alignment/>
      <protection/>
    </xf>
    <xf numFmtId="0" fontId="21" fillId="3" borderId="50" xfId="20" applyFont="1" applyFill="1" applyBorder="1" applyAlignment="1">
      <alignment horizontal="center"/>
      <protection/>
    </xf>
    <xf numFmtId="0" fontId="20" fillId="2" borderId="51" xfId="20" applyFont="1" applyFill="1" applyBorder="1" applyAlignment="1">
      <alignment horizontal="center"/>
      <protection/>
    </xf>
    <xf numFmtId="0" fontId="21" fillId="2" borderId="52" xfId="20" applyFont="1" applyFill="1" applyBorder="1" applyAlignment="1">
      <alignment horizontal="center"/>
      <protection/>
    </xf>
    <xf numFmtId="3" fontId="20" fillId="2" borderId="51" xfId="20" applyNumberFormat="1" applyFont="1" applyFill="1" applyBorder="1" applyAlignment="1">
      <alignment horizontal="right"/>
      <protection/>
    </xf>
    <xf numFmtId="3" fontId="20" fillId="2" borderId="53" xfId="20" applyNumberFormat="1" applyFont="1" applyFill="1" applyBorder="1" applyAlignment="1">
      <alignment horizontal="right"/>
      <protection/>
    </xf>
    <xf numFmtId="3" fontId="20" fillId="2" borderId="54" xfId="20" applyNumberFormat="1" applyFont="1" applyFill="1" applyBorder="1" applyAlignment="1">
      <alignment horizontal="right"/>
      <protection/>
    </xf>
    <xf numFmtId="3" fontId="21" fillId="2" borderId="54" xfId="20" applyNumberFormat="1" applyFont="1" applyFill="1" applyBorder="1" applyAlignment="1">
      <alignment horizontal="right"/>
      <protection/>
    </xf>
    <xf numFmtId="0" fontId="20" fillId="0" borderId="55" xfId="20" applyFont="1" applyBorder="1">
      <alignment/>
      <protection/>
    </xf>
    <xf numFmtId="0" fontId="20" fillId="0" borderId="56" xfId="20" applyFont="1" applyFill="1" applyBorder="1" applyAlignment="1">
      <alignment horizontal="center"/>
      <protection/>
    </xf>
    <xf numFmtId="0" fontId="20" fillId="0" borderId="20" xfId="20" applyFont="1" applyFill="1" applyBorder="1">
      <alignment/>
      <protection/>
    </xf>
    <xf numFmtId="3" fontId="20" fillId="0" borderId="19" xfId="20" applyNumberFormat="1" applyFont="1" applyFill="1" applyBorder="1" applyAlignment="1">
      <alignment horizontal="right"/>
      <protection/>
    </xf>
    <xf numFmtId="3" fontId="20" fillId="0" borderId="19" xfId="20" applyNumberFormat="1" applyFont="1" applyFill="1" applyBorder="1">
      <alignment/>
      <protection/>
    </xf>
    <xf numFmtId="3" fontId="20" fillId="0" borderId="44" xfId="20" applyNumberFormat="1" applyFont="1" applyFill="1" applyBorder="1">
      <alignment/>
      <protection/>
    </xf>
    <xf numFmtId="3" fontId="30" fillId="0" borderId="44" xfId="20" applyNumberFormat="1" applyFont="1" applyFill="1" applyBorder="1">
      <alignment/>
      <protection/>
    </xf>
    <xf numFmtId="3" fontId="20" fillId="0" borderId="44" xfId="20" applyNumberFormat="1" applyFont="1" applyFill="1" applyBorder="1" applyAlignment="1">
      <alignment horizontal="right"/>
      <protection/>
    </xf>
    <xf numFmtId="3" fontId="30" fillId="0" borderId="44" xfId="20" applyNumberFormat="1" applyFont="1" applyFill="1" applyBorder="1" applyAlignment="1">
      <alignment horizontal="right"/>
      <protection/>
    </xf>
    <xf numFmtId="3" fontId="20" fillId="0" borderId="57" xfId="20" applyNumberFormat="1" applyFont="1" applyBorder="1" applyAlignment="1">
      <alignment horizontal="right"/>
      <protection/>
    </xf>
    <xf numFmtId="0" fontId="24" fillId="0" borderId="12" xfId="20" applyFont="1" applyBorder="1" applyAlignment="1">
      <alignment horizontal="center"/>
      <protection/>
    </xf>
    <xf numFmtId="0" fontId="24" fillId="0" borderId="58" xfId="20" applyFont="1" applyBorder="1">
      <alignment/>
      <protection/>
    </xf>
    <xf numFmtId="3" fontId="24" fillId="0" borderId="37" xfId="20" applyNumberFormat="1" applyFont="1" applyBorder="1" applyAlignment="1">
      <alignment horizontal="center"/>
      <protection/>
    </xf>
    <xf numFmtId="3" fontId="24" fillId="0" borderId="37" xfId="20" applyNumberFormat="1" applyFont="1" applyBorder="1" applyAlignment="1">
      <alignment horizontal="right"/>
      <protection/>
    </xf>
    <xf numFmtId="3" fontId="24" fillId="0" borderId="59" xfId="20" applyNumberFormat="1" applyFont="1" applyBorder="1" applyAlignment="1">
      <alignment horizontal="right"/>
      <protection/>
    </xf>
    <xf numFmtId="3" fontId="31" fillId="0" borderId="59" xfId="20" applyNumberFormat="1" applyFont="1" applyBorder="1" applyAlignment="1">
      <alignment horizontal="right"/>
      <protection/>
    </xf>
    <xf numFmtId="3" fontId="32" fillId="4" borderId="59" xfId="20" applyNumberFormat="1" applyFont="1" applyFill="1" applyBorder="1" applyAlignment="1">
      <alignment horizontal="right"/>
      <protection/>
    </xf>
    <xf numFmtId="3" fontId="31" fillId="0" borderId="42" xfId="20" applyNumberFormat="1" applyFont="1" applyBorder="1" applyAlignment="1">
      <alignment horizontal="right"/>
      <protection/>
    </xf>
    <xf numFmtId="0" fontId="24" fillId="0" borderId="21" xfId="20" applyFont="1" applyBorder="1">
      <alignment/>
      <protection/>
    </xf>
    <xf numFmtId="3" fontId="24" fillId="0" borderId="13" xfId="20" applyNumberFormat="1" applyFont="1" applyBorder="1" applyAlignment="1">
      <alignment horizontal="center"/>
      <protection/>
    </xf>
    <xf numFmtId="3" fontId="24" fillId="0" borderId="13" xfId="20" applyNumberFormat="1" applyFont="1" applyBorder="1" applyAlignment="1">
      <alignment horizontal="right"/>
      <protection/>
    </xf>
    <xf numFmtId="3" fontId="24" fillId="0" borderId="42" xfId="20" applyNumberFormat="1" applyFont="1" applyBorder="1" applyAlignment="1">
      <alignment horizontal="right"/>
      <protection/>
    </xf>
    <xf numFmtId="3" fontId="32" fillId="4" borderId="42" xfId="20" applyNumberFormat="1" applyFont="1" applyFill="1" applyBorder="1" applyAlignment="1">
      <alignment horizontal="right"/>
      <protection/>
    </xf>
    <xf numFmtId="3" fontId="29" fillId="4" borderId="42" xfId="20" applyNumberFormat="1" applyFont="1" applyFill="1" applyBorder="1" applyAlignment="1">
      <alignment horizontal="right"/>
      <protection/>
    </xf>
    <xf numFmtId="0" fontId="29" fillId="0" borderId="10" xfId="20" applyFont="1" applyBorder="1">
      <alignment/>
      <protection/>
    </xf>
    <xf numFmtId="0" fontId="29" fillId="0" borderId="22" xfId="20" applyFont="1" applyBorder="1" applyAlignment="1">
      <alignment horizontal="center"/>
      <protection/>
    </xf>
    <xf numFmtId="0" fontId="24" fillId="0" borderId="60" xfId="20" applyFont="1" applyBorder="1">
      <alignment/>
      <protection/>
    </xf>
    <xf numFmtId="3" fontId="24" fillId="0" borderId="61" xfId="20" applyNumberFormat="1" applyFont="1" applyBorder="1" applyAlignment="1">
      <alignment horizontal="center"/>
      <protection/>
    </xf>
    <xf numFmtId="3" fontId="24" fillId="0" borderId="61" xfId="20" applyNumberFormat="1" applyFont="1" applyBorder="1" applyAlignment="1">
      <alignment horizontal="right"/>
      <protection/>
    </xf>
    <xf numFmtId="0" fontId="20" fillId="0" borderId="43" xfId="20" applyFont="1" applyFill="1" applyBorder="1">
      <alignment/>
      <protection/>
    </xf>
    <xf numFmtId="3" fontId="20" fillId="0" borderId="56" xfId="20" applyNumberFormat="1" applyFont="1" applyFill="1" applyBorder="1" applyAlignment="1">
      <alignment horizontal="right"/>
      <protection/>
    </xf>
    <xf numFmtId="3" fontId="21" fillId="0" borderId="44" xfId="20" applyNumberFormat="1" applyFont="1" applyFill="1" applyBorder="1" applyAlignment="1">
      <alignment horizontal="right"/>
      <protection/>
    </xf>
    <xf numFmtId="3" fontId="24" fillId="0" borderId="17" xfId="20" applyNumberFormat="1" applyFont="1" applyBorder="1" applyAlignment="1">
      <alignment horizontal="center"/>
      <protection/>
    </xf>
    <xf numFmtId="3" fontId="24" fillId="0" borderId="37" xfId="20" applyNumberFormat="1" applyFont="1" applyBorder="1">
      <alignment/>
      <protection/>
    </xf>
    <xf numFmtId="3" fontId="24" fillId="0" borderId="59" xfId="20" applyNumberFormat="1" applyFont="1" applyBorder="1">
      <alignment/>
      <protection/>
    </xf>
    <xf numFmtId="3" fontId="32" fillId="0" borderId="59" xfId="20" applyNumberFormat="1" applyFont="1" applyBorder="1">
      <alignment/>
      <protection/>
    </xf>
    <xf numFmtId="3" fontId="30" fillId="0" borderId="59" xfId="20" applyNumberFormat="1" applyFont="1" applyBorder="1">
      <alignment/>
      <protection/>
    </xf>
    <xf numFmtId="3" fontId="24" fillId="0" borderId="61" xfId="20" applyNumberFormat="1" applyFont="1" applyBorder="1">
      <alignment/>
      <protection/>
    </xf>
    <xf numFmtId="3" fontId="24" fillId="0" borderId="62" xfId="20" applyNumberFormat="1" applyFont="1" applyBorder="1">
      <alignment/>
      <protection/>
    </xf>
    <xf numFmtId="3" fontId="29" fillId="0" borderId="62" xfId="20" applyNumberFormat="1" applyFont="1" applyBorder="1">
      <alignment/>
      <protection/>
    </xf>
    <xf numFmtId="3" fontId="20" fillId="0" borderId="11" xfId="20" applyNumberFormat="1" applyFont="1" applyBorder="1">
      <alignment/>
      <protection/>
    </xf>
    <xf numFmtId="3" fontId="20" fillId="0" borderId="11" xfId="20" applyNumberFormat="1" applyFont="1" applyBorder="1" applyAlignment="1">
      <alignment horizontal="center"/>
      <protection/>
    </xf>
    <xf numFmtId="3" fontId="20" fillId="0" borderId="57" xfId="20" applyNumberFormat="1" applyFont="1" applyBorder="1" applyAlignment="1">
      <alignment horizontal="center"/>
      <protection/>
    </xf>
    <xf numFmtId="3" fontId="21" fillId="0" borderId="57" xfId="20" applyNumberFormat="1" applyFont="1" applyBorder="1" applyAlignment="1">
      <alignment horizontal="center"/>
      <protection/>
    </xf>
    <xf numFmtId="3" fontId="20" fillId="0" borderId="13" xfId="20" applyNumberFormat="1" applyFont="1" applyBorder="1">
      <alignment/>
      <protection/>
    </xf>
    <xf numFmtId="3" fontId="20" fillId="0" borderId="42" xfId="20" applyNumberFormat="1" applyFont="1" applyBorder="1">
      <alignment/>
      <protection/>
    </xf>
    <xf numFmtId="3" fontId="30" fillId="4" borderId="42" xfId="20" applyNumberFormat="1" applyFont="1" applyFill="1" applyBorder="1">
      <alignment/>
      <protection/>
    </xf>
    <xf numFmtId="3" fontId="21" fillId="4" borderId="42" xfId="20" applyNumberFormat="1" applyFont="1" applyFill="1" applyBorder="1">
      <alignment/>
      <protection/>
    </xf>
    <xf numFmtId="3" fontId="28" fillId="0" borderId="42" xfId="20" applyNumberFormat="1" applyFont="1" applyBorder="1">
      <alignment/>
      <protection/>
    </xf>
    <xf numFmtId="3" fontId="21" fillId="0" borderId="42" xfId="20" applyNumberFormat="1" applyFont="1" applyBorder="1">
      <alignment/>
      <protection/>
    </xf>
    <xf numFmtId="3" fontId="20" fillId="0" borderId="63" xfId="20" applyNumberFormat="1" applyFont="1" applyBorder="1">
      <alignment/>
      <protection/>
    </xf>
    <xf numFmtId="3" fontId="21" fillId="4" borderId="63" xfId="20" applyNumberFormat="1" applyFont="1" applyFill="1" applyBorder="1">
      <alignment/>
      <protection/>
    </xf>
    <xf numFmtId="3" fontId="20" fillId="0" borderId="18" xfId="20" applyNumberFormat="1" applyFont="1" applyFill="1" applyBorder="1">
      <alignment/>
      <protection/>
    </xf>
    <xf numFmtId="3" fontId="20" fillId="0" borderId="63" xfId="20" applyNumberFormat="1" applyFont="1" applyFill="1" applyBorder="1">
      <alignment/>
      <protection/>
    </xf>
    <xf numFmtId="3" fontId="21" fillId="0" borderId="42" xfId="20" applyNumberFormat="1" applyFont="1" applyFill="1" applyBorder="1">
      <alignment/>
      <protection/>
    </xf>
    <xf numFmtId="3" fontId="30" fillId="0" borderId="63" xfId="20" applyNumberFormat="1" applyFont="1" applyFill="1" applyBorder="1">
      <alignment/>
      <protection/>
    </xf>
    <xf numFmtId="3" fontId="21" fillId="0" borderId="63" xfId="20" applyNumberFormat="1" applyFont="1" applyFill="1" applyBorder="1">
      <alignment/>
      <protection/>
    </xf>
    <xf numFmtId="3" fontId="30" fillId="4" borderId="63" xfId="20" applyNumberFormat="1" applyFont="1" applyFill="1" applyBorder="1">
      <alignment/>
      <protection/>
    </xf>
    <xf numFmtId="3" fontId="20" fillId="0" borderId="62" xfId="20" applyNumberFormat="1" applyFont="1" applyBorder="1">
      <alignment/>
      <protection/>
    </xf>
    <xf numFmtId="3" fontId="30" fillId="0" borderId="62" xfId="20" applyNumberFormat="1" applyFont="1" applyBorder="1">
      <alignment/>
      <protection/>
    </xf>
    <xf numFmtId="3" fontId="20" fillId="0" borderId="37" xfId="20" applyNumberFormat="1" applyFont="1" applyFill="1" applyBorder="1">
      <alignment/>
      <protection/>
    </xf>
    <xf numFmtId="3" fontId="20" fillId="0" borderId="59" xfId="20" applyNumberFormat="1" applyFont="1" applyFill="1" applyBorder="1">
      <alignment/>
      <protection/>
    </xf>
    <xf numFmtId="3" fontId="21" fillId="0" borderId="59" xfId="20" applyNumberFormat="1" applyFont="1" applyFill="1" applyBorder="1">
      <alignment/>
      <protection/>
    </xf>
    <xf numFmtId="3" fontId="20" fillId="5" borderId="59" xfId="20" applyNumberFormat="1" applyFont="1" applyFill="1" applyBorder="1" applyAlignment="1">
      <alignment horizontal="center"/>
      <protection/>
    </xf>
    <xf numFmtId="3" fontId="21" fillId="5" borderId="59" xfId="20" applyNumberFormat="1" applyFont="1" applyFill="1" applyBorder="1" applyAlignment="1">
      <alignment horizontal="center"/>
      <protection/>
    </xf>
    <xf numFmtId="3" fontId="21" fillId="0" borderId="59" xfId="20" applyNumberFormat="1" applyFont="1" applyBorder="1" applyAlignment="1">
      <alignment horizontal="right"/>
      <protection/>
    </xf>
    <xf numFmtId="3" fontId="20" fillId="0" borderId="59" xfId="20" applyNumberFormat="1" applyFont="1" applyBorder="1">
      <alignment/>
      <protection/>
    </xf>
    <xf numFmtId="3" fontId="21" fillId="4" borderId="59" xfId="20" applyNumberFormat="1" applyFont="1" applyFill="1" applyBorder="1">
      <alignment/>
      <protection/>
    </xf>
    <xf numFmtId="3" fontId="33" fillId="5" borderId="59" xfId="20" applyNumberFormat="1" applyFont="1" applyFill="1" applyBorder="1" applyAlignment="1">
      <alignment horizontal="center"/>
      <protection/>
    </xf>
    <xf numFmtId="3" fontId="20" fillId="5" borderId="59" xfId="20" applyNumberFormat="1" applyFont="1" applyFill="1" applyBorder="1">
      <alignment/>
      <protection/>
    </xf>
    <xf numFmtId="3" fontId="30" fillId="5" borderId="59" xfId="20" applyNumberFormat="1" applyFont="1" applyFill="1" applyBorder="1">
      <alignment/>
      <protection/>
    </xf>
    <xf numFmtId="3" fontId="20" fillId="4" borderId="59" xfId="20" applyNumberFormat="1" applyFont="1" applyFill="1" applyBorder="1">
      <alignment/>
      <protection/>
    </xf>
    <xf numFmtId="3" fontId="30" fillId="0" borderId="59" xfId="20" applyNumberFormat="1" applyFont="1" applyBorder="1" applyAlignment="1">
      <alignment horizontal="right"/>
      <protection/>
    </xf>
    <xf numFmtId="3" fontId="33" fillId="4" borderId="59" xfId="20" applyNumberFormat="1" applyFont="1" applyFill="1" applyBorder="1" applyAlignment="1">
      <alignment horizontal="center"/>
      <protection/>
    </xf>
    <xf numFmtId="3" fontId="33" fillId="0" borderId="59" xfId="20" applyNumberFormat="1" applyFont="1" applyFill="1" applyBorder="1">
      <alignment/>
      <protection/>
    </xf>
    <xf numFmtId="3" fontId="24" fillId="3" borderId="19" xfId="20" applyNumberFormat="1" applyFont="1" applyFill="1" applyBorder="1">
      <alignment/>
      <protection/>
    </xf>
    <xf numFmtId="3" fontId="24" fillId="3" borderId="44" xfId="20" applyNumberFormat="1" applyFont="1" applyFill="1" applyBorder="1">
      <alignment/>
      <protection/>
    </xf>
    <xf numFmtId="3" fontId="29" fillId="3" borderId="44" xfId="20" applyNumberFormat="1" applyFont="1" applyFill="1" applyBorder="1">
      <alignment/>
      <protection/>
    </xf>
    <xf numFmtId="3" fontId="20" fillId="0" borderId="19" xfId="20" applyNumberFormat="1" applyFont="1" applyBorder="1">
      <alignment/>
      <protection/>
    </xf>
    <xf numFmtId="3" fontId="20" fillId="0" borderId="44" xfId="20" applyNumberFormat="1" applyFont="1" applyBorder="1">
      <alignment/>
      <protection/>
    </xf>
    <xf numFmtId="3" fontId="30" fillId="0" borderId="44" xfId="20" applyNumberFormat="1" applyFont="1" applyBorder="1">
      <alignment/>
      <protection/>
    </xf>
    <xf numFmtId="3" fontId="28" fillId="0" borderId="44" xfId="20" applyNumberFormat="1" applyFont="1" applyBorder="1">
      <alignment/>
      <protection/>
    </xf>
    <xf numFmtId="3" fontId="20" fillId="3" borderId="44" xfId="20" applyNumberFormat="1" applyFont="1" applyFill="1" applyBorder="1">
      <alignment/>
      <protection/>
    </xf>
    <xf numFmtId="3" fontId="21" fillId="3" borderId="44" xfId="20" applyNumberFormat="1" applyFont="1" applyFill="1" applyBorder="1">
      <alignment/>
      <protection/>
    </xf>
    <xf numFmtId="3" fontId="20" fillId="0" borderId="11" xfId="20" applyNumberFormat="1" applyFont="1" applyBorder="1" applyAlignment="1">
      <alignment horizontal="right"/>
      <protection/>
    </xf>
    <xf numFmtId="3" fontId="21" fillId="0" borderId="57" xfId="20" applyNumberFormat="1" applyFont="1" applyBorder="1" applyAlignment="1">
      <alignment horizontal="right"/>
      <protection/>
    </xf>
    <xf numFmtId="3" fontId="20" fillId="0" borderId="13" xfId="20" applyNumberFormat="1" applyFont="1" applyBorder="1" applyAlignment="1">
      <alignment horizontal="center"/>
      <protection/>
    </xf>
    <xf numFmtId="3" fontId="30" fillId="0" borderId="57" xfId="20" applyNumberFormat="1" applyFont="1" applyBorder="1" applyAlignment="1">
      <alignment horizontal="right"/>
      <protection/>
    </xf>
    <xf numFmtId="3" fontId="20" fillId="0" borderId="64" xfId="20" applyNumberFormat="1" applyFont="1" applyBorder="1" applyAlignment="1">
      <alignment horizontal="right"/>
      <protection/>
    </xf>
    <xf numFmtId="3" fontId="30" fillId="0" borderId="64" xfId="20" applyNumberFormat="1" applyFont="1" applyBorder="1" applyAlignment="1">
      <alignment horizontal="right"/>
      <protection/>
    </xf>
    <xf numFmtId="3" fontId="21" fillId="0" borderId="64" xfId="20" applyNumberFormat="1" applyFont="1" applyBorder="1" applyAlignment="1">
      <alignment horizontal="right"/>
      <protection/>
    </xf>
    <xf numFmtId="3" fontId="24" fillId="3" borderId="56" xfId="20" applyNumberFormat="1" applyFont="1" applyFill="1" applyBorder="1">
      <alignment/>
      <protection/>
    </xf>
    <xf numFmtId="3" fontId="20" fillId="0" borderId="35" xfId="20" applyNumberFormat="1" applyFont="1" applyBorder="1">
      <alignment/>
      <protection/>
    </xf>
    <xf numFmtId="3" fontId="28" fillId="0" borderId="65" xfId="20" applyNumberFormat="1" applyFont="1" applyBorder="1">
      <alignment/>
      <protection/>
    </xf>
    <xf numFmtId="3" fontId="30" fillId="0" borderId="65" xfId="20" applyNumberFormat="1" applyFont="1" applyBorder="1">
      <alignment/>
      <protection/>
    </xf>
    <xf numFmtId="0" fontId="21" fillId="2" borderId="51" xfId="20" applyFont="1" applyFill="1" applyBorder="1" applyAlignment="1">
      <alignment horizontal="center"/>
      <protection/>
    </xf>
    <xf numFmtId="3" fontId="21" fillId="2" borderId="66" xfId="20" applyNumberFormat="1" applyFont="1" applyFill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2" xfId="20" applyFont="1" applyBorder="1" applyAlignment="1">
      <alignment horizontal="center"/>
      <protection/>
    </xf>
    <xf numFmtId="3" fontId="20" fillId="0" borderId="7" xfId="20" applyNumberFormat="1" applyFont="1" applyBorder="1">
      <alignment/>
      <protection/>
    </xf>
    <xf numFmtId="3" fontId="21" fillId="0" borderId="7" xfId="20" applyNumberFormat="1" applyFont="1" applyBorder="1">
      <alignment/>
      <protection/>
    </xf>
    <xf numFmtId="3" fontId="21" fillId="0" borderId="54" xfId="20" applyNumberFormat="1" applyFont="1" applyBorder="1">
      <alignment/>
      <protection/>
    </xf>
    <xf numFmtId="3" fontId="21" fillId="2" borderId="66" xfId="20" applyNumberFormat="1" applyFont="1" applyFill="1" applyBorder="1">
      <alignment/>
      <protection/>
    </xf>
    <xf numFmtId="3" fontId="21" fillId="2" borderId="54" xfId="20" applyNumberFormat="1" applyFont="1" applyFill="1" applyBorder="1">
      <alignment/>
      <protection/>
    </xf>
    <xf numFmtId="3" fontId="21" fillId="2" borderId="54" xfId="20" applyNumberFormat="1" applyFont="1" applyFill="1" applyBorder="1" applyAlignment="1">
      <alignment horizontal="right"/>
      <protection/>
    </xf>
    <xf numFmtId="3" fontId="21" fillId="2" borderId="51" xfId="20" applyNumberFormat="1" applyFont="1" applyFill="1" applyBorder="1" applyAlignment="1">
      <alignment horizontal="right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3" borderId="3" xfId="0" applyFont="1" applyFill="1" applyBorder="1" applyAlignment="1">
      <alignment/>
    </xf>
    <xf numFmtId="0" fontId="36" fillId="3" borderId="67" xfId="0" applyFont="1" applyFill="1" applyBorder="1" applyAlignment="1">
      <alignment/>
    </xf>
    <xf numFmtId="0" fontId="19" fillId="3" borderId="68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41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36" fillId="3" borderId="6" xfId="0" applyFont="1" applyFill="1" applyBorder="1" applyAlignment="1">
      <alignment/>
    </xf>
    <xf numFmtId="0" fontId="36" fillId="3" borderId="70" xfId="0" applyFont="1" applyFill="1" applyBorder="1" applyAlignment="1">
      <alignment/>
    </xf>
    <xf numFmtId="0" fontId="36" fillId="3" borderId="8" xfId="0" applyFont="1" applyFill="1" applyBorder="1" applyAlignment="1">
      <alignment/>
    </xf>
    <xf numFmtId="0" fontId="36" fillId="0" borderId="7" xfId="0" applyFont="1" applyFill="1" applyBorder="1" applyAlignment="1">
      <alignment horizontal="center"/>
    </xf>
    <xf numFmtId="0" fontId="36" fillId="0" borderId="71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9" fillId="0" borderId="41" xfId="0" applyFont="1" applyFill="1" applyBorder="1" applyAlignment="1">
      <alignment horizontal="left"/>
    </xf>
    <xf numFmtId="0" fontId="19" fillId="6" borderId="73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/>
    </xf>
    <xf numFmtId="0" fontId="19" fillId="0" borderId="44" xfId="0" applyFont="1" applyFill="1" applyBorder="1" applyAlignment="1">
      <alignment horizontal="left"/>
    </xf>
    <xf numFmtId="0" fontId="19" fillId="0" borderId="56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41" xfId="0" applyFont="1" applyBorder="1" applyAlignment="1">
      <alignment horizontal="left"/>
    </xf>
    <xf numFmtId="0" fontId="19" fillId="0" borderId="73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left" vertical="center" wrapText="1"/>
    </xf>
    <xf numFmtId="0" fontId="19" fillId="0" borderId="64" xfId="0" applyFont="1" applyBorder="1" applyAlignment="1">
      <alignment horizontal="left"/>
    </xf>
    <xf numFmtId="0" fontId="19" fillId="0" borderId="22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0" borderId="56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0" fontId="19" fillId="0" borderId="57" xfId="0" applyFont="1" applyFill="1" applyBorder="1" applyAlignment="1">
      <alignment horizontal="left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56" xfId="0" applyFont="1" applyBorder="1" applyAlignment="1">
      <alignment vertical="center" wrapText="1"/>
    </xf>
    <xf numFmtId="0" fontId="19" fillId="0" borderId="56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64" xfId="0" applyFont="1" applyFill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73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74" xfId="0" applyFont="1" applyFill="1" applyBorder="1" applyAlignment="1">
      <alignment horizontal="left" vertical="center"/>
    </xf>
    <xf numFmtId="0" fontId="36" fillId="0" borderId="75" xfId="0" applyFont="1" applyBorder="1" applyAlignment="1">
      <alignment horizontal="left" vertical="top" wrapText="1"/>
    </xf>
    <xf numFmtId="0" fontId="19" fillId="0" borderId="73" xfId="0" applyFont="1" applyBorder="1" applyAlignment="1">
      <alignment horizontal="left" vertical="center" wrapText="1"/>
    </xf>
    <xf numFmtId="0" fontId="19" fillId="0" borderId="7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36" fillId="0" borderId="68" xfId="0" applyFont="1" applyBorder="1" applyAlignment="1">
      <alignment horizontal="left" vertical="top" wrapText="1"/>
    </xf>
    <xf numFmtId="0" fontId="19" fillId="0" borderId="54" xfId="0" applyFont="1" applyFill="1" applyBorder="1" applyAlignment="1">
      <alignment horizontal="left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Fill="1" applyBorder="1" applyAlignment="1">
      <alignment/>
    </xf>
    <xf numFmtId="0" fontId="36" fillId="6" borderId="67" xfId="0" applyFont="1" applyFill="1" applyBorder="1" applyAlignment="1">
      <alignment horizontal="center"/>
    </xf>
    <xf numFmtId="0" fontId="36" fillId="6" borderId="5" xfId="0" applyFont="1" applyFill="1" applyBorder="1" applyAlignment="1">
      <alignment/>
    </xf>
    <xf numFmtId="0" fontId="19" fillId="6" borderId="5" xfId="0" applyFont="1" applyFill="1" applyBorder="1" applyAlignment="1">
      <alignment/>
    </xf>
    <xf numFmtId="0" fontId="19" fillId="6" borderId="4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36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vertical="center" wrapText="1"/>
    </xf>
    <xf numFmtId="0" fontId="19" fillId="6" borderId="76" xfId="0" applyFont="1" applyFill="1" applyBorder="1" applyAlignment="1">
      <alignment/>
    </xf>
    <xf numFmtId="0" fontId="36" fillId="6" borderId="56" xfId="0" applyFont="1" applyFill="1" applyBorder="1" applyAlignment="1">
      <alignment horizontal="center"/>
    </xf>
    <xf numFmtId="0" fontId="36" fillId="6" borderId="56" xfId="0" applyFont="1" applyFill="1" applyBorder="1" applyAlignment="1">
      <alignment/>
    </xf>
    <xf numFmtId="0" fontId="19" fillId="6" borderId="56" xfId="0" applyFont="1" applyFill="1" applyBorder="1" applyAlignment="1">
      <alignment/>
    </xf>
    <xf numFmtId="0" fontId="19" fillId="3" borderId="77" xfId="0" applyFont="1" applyFill="1" applyBorder="1" applyAlignment="1">
      <alignment/>
    </xf>
    <xf numFmtId="0" fontId="36" fillId="3" borderId="74" xfId="0" applyFont="1" applyFill="1" applyBorder="1" applyAlignment="1">
      <alignment horizontal="center"/>
    </xf>
    <xf numFmtId="0" fontId="36" fillId="3" borderId="74" xfId="0" applyFont="1" applyFill="1" applyBorder="1" applyAlignment="1">
      <alignment/>
    </xf>
    <xf numFmtId="0" fontId="19" fillId="3" borderId="74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19" fillId="6" borderId="0" xfId="0" applyFont="1" applyFill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4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7" fontId="19" fillId="0" borderId="0" xfId="0" applyNumberFormat="1" applyFont="1" applyFill="1" applyBorder="1" applyAlignment="1">
      <alignment wrapText="1"/>
    </xf>
    <xf numFmtId="0" fontId="36" fillId="0" borderId="0" xfId="0" applyFont="1" applyBorder="1" applyAlignment="1">
      <alignment horizontal="center" vertical="top"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4" fontId="37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wrapText="1"/>
    </xf>
    <xf numFmtId="0" fontId="36" fillId="6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4" fontId="19" fillId="0" borderId="0" xfId="0" applyNumberFormat="1" applyFont="1" applyFill="1" applyAlignment="1">
      <alignment horizontal="center"/>
    </xf>
    <xf numFmtId="3" fontId="19" fillId="0" borderId="36" xfId="0" applyNumberFormat="1" applyFont="1" applyFill="1" applyBorder="1" applyAlignment="1">
      <alignment horizontal="right" vertical="center"/>
    </xf>
    <xf numFmtId="3" fontId="19" fillId="0" borderId="39" xfId="0" applyNumberFormat="1" applyFont="1" applyFill="1" applyBorder="1" applyAlignment="1">
      <alignment wrapText="1"/>
    </xf>
    <xf numFmtId="3" fontId="19" fillId="0" borderId="78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wrapText="1"/>
    </xf>
    <xf numFmtId="3" fontId="19" fillId="0" borderId="57" xfId="0" applyNumberFormat="1" applyFont="1" applyFill="1" applyBorder="1" applyAlignment="1">
      <alignment wrapText="1"/>
    </xf>
    <xf numFmtId="3" fontId="19" fillId="0" borderId="57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horizontal="right" vertical="center"/>
    </xf>
    <xf numFmtId="3" fontId="19" fillId="0" borderId="79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/>
    </xf>
    <xf numFmtId="3" fontId="19" fillId="0" borderId="80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center"/>
    </xf>
    <xf numFmtId="3" fontId="19" fillId="0" borderId="66" xfId="0" applyNumberFormat="1" applyFont="1" applyFill="1" applyBorder="1" applyAlignment="1">
      <alignment horizontal="right" vertical="center"/>
    </xf>
    <xf numFmtId="3" fontId="19" fillId="0" borderId="81" xfId="0" applyNumberFormat="1" applyFont="1" applyFill="1" applyBorder="1" applyAlignment="1">
      <alignment horizontal="right" vertical="center"/>
    </xf>
    <xf numFmtId="3" fontId="19" fillId="0" borderId="39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54" xfId="0" applyNumberFormat="1" applyFont="1" applyFill="1" applyBorder="1" applyAlignment="1">
      <alignment/>
    </xf>
    <xf numFmtId="3" fontId="36" fillId="0" borderId="4" xfId="0" applyNumberFormat="1" applyFont="1" applyFill="1" applyBorder="1" applyAlignment="1">
      <alignment/>
    </xf>
    <xf numFmtId="3" fontId="36" fillId="0" borderId="69" xfId="0" applyNumberFormat="1" applyFont="1" applyFill="1" applyBorder="1" applyAlignment="1">
      <alignment wrapText="1"/>
    </xf>
    <xf numFmtId="3" fontId="36" fillId="0" borderId="56" xfId="0" applyNumberFormat="1" applyFont="1" applyFill="1" applyBorder="1" applyAlignment="1">
      <alignment/>
    </xf>
    <xf numFmtId="3" fontId="36" fillId="0" borderId="80" xfId="0" applyNumberFormat="1" applyFont="1" applyFill="1" applyBorder="1" applyAlignment="1">
      <alignment wrapText="1"/>
    </xf>
    <xf numFmtId="3" fontId="36" fillId="0" borderId="74" xfId="0" applyNumberFormat="1" applyFont="1" applyFill="1" applyBorder="1" applyAlignment="1">
      <alignment/>
    </xf>
    <xf numFmtId="3" fontId="36" fillId="0" borderId="79" xfId="0" applyNumberFormat="1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38" fillId="0" borderId="0" xfId="0" applyFont="1" applyFill="1" applyAlignment="1">
      <alignment/>
    </xf>
    <xf numFmtId="186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3" fontId="21" fillId="0" borderId="59" xfId="20" applyNumberFormat="1" applyFont="1" applyFill="1" applyBorder="1" applyAlignment="1">
      <alignment horizontal="right"/>
      <protection/>
    </xf>
    <xf numFmtId="3" fontId="21" fillId="0" borderId="42" xfId="20" applyNumberFormat="1" applyFont="1" applyFill="1" applyBorder="1" applyAlignment="1">
      <alignment horizontal="right"/>
      <protection/>
    </xf>
    <xf numFmtId="3" fontId="21" fillId="0" borderId="62" xfId="20" applyNumberFormat="1" applyFont="1" applyFill="1" applyBorder="1">
      <alignment/>
      <protection/>
    </xf>
    <xf numFmtId="3" fontId="21" fillId="0" borderId="59" xfId="20" applyNumberFormat="1" applyFont="1" applyFill="1" applyBorder="1" applyAlignment="1">
      <alignment horizontal="center"/>
      <protection/>
    </xf>
    <xf numFmtId="0" fontId="20" fillId="0" borderId="14" xfId="20" applyFont="1" applyFill="1" applyBorder="1">
      <alignment/>
      <protection/>
    </xf>
    <xf numFmtId="3" fontId="20" fillId="0" borderId="13" xfId="20" applyNumberFormat="1" applyFont="1" applyFill="1" applyBorder="1">
      <alignment/>
      <protection/>
    </xf>
    <xf numFmtId="3" fontId="20" fillId="0" borderId="42" xfId="20" applyNumberFormat="1" applyFont="1" applyFill="1" applyBorder="1">
      <alignment/>
      <protection/>
    </xf>
    <xf numFmtId="0" fontId="20" fillId="0" borderId="16" xfId="20" applyFont="1" applyFill="1" applyBorder="1">
      <alignment/>
      <protection/>
    </xf>
    <xf numFmtId="3" fontId="20" fillId="0" borderId="61" xfId="20" applyNumberFormat="1" applyFont="1" applyFill="1" applyBorder="1">
      <alignment/>
      <protection/>
    </xf>
    <xf numFmtId="3" fontId="20" fillId="0" borderId="62" xfId="20" applyNumberFormat="1" applyFont="1" applyFill="1" applyBorder="1">
      <alignment/>
      <protection/>
    </xf>
    <xf numFmtId="0" fontId="24" fillId="0" borderId="17" xfId="20" applyFont="1" applyFill="1" applyBorder="1">
      <alignment/>
      <protection/>
    </xf>
    <xf numFmtId="3" fontId="24" fillId="0" borderId="37" xfId="20" applyNumberFormat="1" applyFont="1" applyFill="1" applyBorder="1">
      <alignment/>
      <protection/>
    </xf>
    <xf numFmtId="3" fontId="20" fillId="0" borderId="59" xfId="20" applyNumberFormat="1" applyFont="1" applyFill="1" applyBorder="1" applyAlignment="1">
      <alignment horizontal="center"/>
      <protection/>
    </xf>
    <xf numFmtId="3" fontId="21" fillId="0" borderId="65" xfId="20" applyNumberFormat="1" applyFont="1" applyFill="1" applyBorder="1" applyAlignment="1">
      <alignment horizontal="right"/>
      <protection/>
    </xf>
    <xf numFmtId="3" fontId="21" fillId="3" borderId="44" xfId="20" applyNumberFormat="1" applyFont="1" applyFill="1" applyBorder="1" applyAlignment="1">
      <alignment horizontal="right"/>
      <protection/>
    </xf>
    <xf numFmtId="3" fontId="21" fillId="0" borderId="44" xfId="20" applyNumberFormat="1" applyFont="1" applyBorder="1" applyAlignment="1">
      <alignment horizontal="right"/>
      <protection/>
    </xf>
    <xf numFmtId="49" fontId="24" fillId="0" borderId="41" xfId="20" applyNumberFormat="1" applyFont="1" applyBorder="1" applyAlignment="1">
      <alignment horizontal="center"/>
      <protection/>
    </xf>
    <xf numFmtId="3" fontId="19" fillId="0" borderId="39" xfId="0" applyNumberFormat="1" applyFont="1" applyFill="1" applyBorder="1" applyAlignment="1">
      <alignment horizontal="right"/>
    </xf>
    <xf numFmtId="3" fontId="19" fillId="0" borderId="57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0" fillId="0" borderId="42" xfId="20" applyNumberFormat="1" applyFont="1" applyBorder="1">
      <alignment/>
      <protection/>
    </xf>
    <xf numFmtId="3" fontId="41" fillId="6" borderId="44" xfId="20" applyNumberFormat="1" applyFont="1" applyFill="1" applyBorder="1">
      <alignment/>
      <protection/>
    </xf>
    <xf numFmtId="3" fontId="41" fillId="6" borderId="44" xfId="20" applyNumberFormat="1" applyFont="1" applyFill="1" applyBorder="1" applyAlignment="1">
      <alignment horizontal="right"/>
      <protection/>
    </xf>
    <xf numFmtId="0" fontId="20" fillId="0" borderId="82" xfId="20" applyFont="1" applyFill="1" applyBorder="1" applyAlignment="1">
      <alignment horizontal="center"/>
      <protection/>
    </xf>
    <xf numFmtId="0" fontId="20" fillId="0" borderId="83" xfId="20" applyFont="1" applyFill="1" applyBorder="1">
      <alignment/>
      <protection/>
    </xf>
    <xf numFmtId="3" fontId="20" fillId="0" borderId="84" xfId="20" applyNumberFormat="1" applyFont="1" applyFill="1" applyBorder="1" applyAlignment="1">
      <alignment horizontal="right"/>
      <protection/>
    </xf>
    <xf numFmtId="3" fontId="20" fillId="0" borderId="84" xfId="20" applyNumberFormat="1" applyFont="1" applyFill="1" applyBorder="1">
      <alignment/>
      <protection/>
    </xf>
    <xf numFmtId="3" fontId="20" fillId="0" borderId="85" xfId="20" applyNumberFormat="1" applyFont="1" applyFill="1" applyBorder="1">
      <alignment/>
      <protection/>
    </xf>
    <xf numFmtId="3" fontId="30" fillId="0" borderId="85" xfId="20" applyNumberFormat="1" applyFont="1" applyFill="1" applyBorder="1">
      <alignment/>
      <protection/>
    </xf>
    <xf numFmtId="3" fontId="41" fillId="6" borderId="85" xfId="20" applyNumberFormat="1" applyFont="1" applyFill="1" applyBorder="1">
      <alignment/>
      <protection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7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4" xfId="0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0" fontId="0" fillId="0" borderId="89" xfId="0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/>
    </xf>
    <xf numFmtId="2" fontId="0" fillId="0" borderId="91" xfId="0" applyNumberFormat="1" applyFont="1" applyFill="1" applyBorder="1" applyAlignment="1">
      <alignment horizontal="center"/>
    </xf>
    <xf numFmtId="3" fontId="0" fillId="0" borderId="0" xfId="21" applyNumberFormat="1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2" fontId="0" fillId="0" borderId="93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2" fontId="0" fillId="0" borderId="9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68" xfId="0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95" xfId="0" applyFill="1" applyBorder="1" applyAlignment="1">
      <alignment/>
    </xf>
    <xf numFmtId="0" fontId="0" fillId="0" borderId="96" xfId="0" applyFill="1" applyBorder="1" applyAlignment="1">
      <alignment/>
    </xf>
    <xf numFmtId="0" fontId="20" fillId="0" borderId="58" xfId="0" applyFont="1" applyFill="1" applyBorder="1" applyAlignment="1">
      <alignment horizontal="center"/>
    </xf>
    <xf numFmtId="0" fontId="20" fillId="0" borderId="9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0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left"/>
    </xf>
    <xf numFmtId="0" fontId="2" fillId="0" borderId="100" xfId="0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10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0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8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5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6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93" xfId="0" applyNumberForma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07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3" fontId="0" fillId="0" borderId="108" xfId="0" applyNumberFormat="1" applyFill="1" applyBorder="1" applyAlignment="1">
      <alignment/>
    </xf>
    <xf numFmtId="0" fontId="0" fillId="0" borderId="109" xfId="0" applyFill="1" applyBorder="1" applyAlignment="1">
      <alignment horizontal="center"/>
    </xf>
    <xf numFmtId="0" fontId="0" fillId="0" borderId="110" xfId="0" applyFill="1" applyBorder="1" applyAlignment="1">
      <alignment/>
    </xf>
    <xf numFmtId="4" fontId="0" fillId="0" borderId="111" xfId="0" applyNumberFormat="1" applyFill="1" applyBorder="1" applyAlignment="1">
      <alignment/>
    </xf>
    <xf numFmtId="4" fontId="0" fillId="0" borderId="112" xfId="0" applyNumberFormat="1" applyFill="1" applyBorder="1" applyAlignment="1">
      <alignment/>
    </xf>
    <xf numFmtId="4" fontId="0" fillId="0" borderId="113" xfId="0" applyNumberFormat="1" applyFill="1" applyBorder="1" applyAlignment="1">
      <alignment/>
    </xf>
    <xf numFmtId="3" fontId="0" fillId="0" borderId="114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52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115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3" fontId="0" fillId="0" borderId="94" xfId="0" applyNumberForma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07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/>
    </xf>
    <xf numFmtId="3" fontId="0" fillId="0" borderId="113" xfId="0" applyNumberFormat="1" applyFont="1" applyFill="1" applyBorder="1" applyAlignment="1">
      <alignment/>
    </xf>
    <xf numFmtId="2" fontId="0" fillId="0" borderId="113" xfId="0" applyNumberFormat="1" applyFont="1" applyFill="1" applyBorder="1" applyAlignment="1">
      <alignment/>
    </xf>
    <xf numFmtId="0" fontId="0" fillId="0" borderId="1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51" xfId="0" applyFill="1" applyBorder="1" applyAlignment="1">
      <alignment/>
    </xf>
    <xf numFmtId="3" fontId="0" fillId="0" borderId="53" xfId="0" applyNumberFormat="1" applyFill="1" applyBorder="1" applyAlignment="1">
      <alignment/>
    </xf>
    <xf numFmtId="2" fontId="0" fillId="0" borderId="51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73" fontId="20" fillId="0" borderId="12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173" fontId="20" fillId="0" borderId="14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20" fillId="0" borderId="113" xfId="0" applyNumberFormat="1" applyFont="1" applyFill="1" applyBorder="1" applyAlignment="1">
      <alignment/>
    </xf>
    <xf numFmtId="173" fontId="0" fillId="0" borderId="111" xfId="0" applyNumberFormat="1" applyFont="1" applyFill="1" applyBorder="1" applyAlignment="1">
      <alignment/>
    </xf>
    <xf numFmtId="0" fontId="0" fillId="0" borderId="111" xfId="0" applyFont="1" applyFill="1" applyBorder="1" applyAlignment="1">
      <alignment/>
    </xf>
    <xf numFmtId="173" fontId="0" fillId="0" borderId="113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173" fontId="0" fillId="0" borderId="53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12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93" xfId="0" applyNumberFormat="1" applyFont="1" applyFill="1" applyBorder="1" applyAlignment="1">
      <alignment/>
    </xf>
    <xf numFmtId="0" fontId="0" fillId="0" borderId="121" xfId="0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08" xfId="0" applyNumberFormat="1" applyFont="1" applyFill="1" applyBorder="1" applyAlignment="1">
      <alignment/>
    </xf>
    <xf numFmtId="0" fontId="0" fillId="0" borderId="122" xfId="0" applyFill="1" applyBorder="1" applyAlignment="1">
      <alignment/>
    </xf>
    <xf numFmtId="3" fontId="1" fillId="0" borderId="109" xfId="0" applyNumberFormat="1" applyFont="1" applyFill="1" applyBorder="1" applyAlignment="1">
      <alignment/>
    </xf>
    <xf numFmtId="3" fontId="1" fillId="0" borderId="113" xfId="0" applyNumberFormat="1" applyFont="1" applyFill="1" applyBorder="1" applyAlignment="1">
      <alignment/>
    </xf>
    <xf numFmtId="3" fontId="1" fillId="0" borderId="11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94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15" fillId="0" borderId="0" xfId="0" applyNumberFormat="1" applyFont="1" applyAlignment="1">
      <alignment/>
    </xf>
    <xf numFmtId="3" fontId="40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67" xfId="0" applyFont="1" applyBorder="1" applyAlignment="1">
      <alignment horizontal="center"/>
    </xf>
    <xf numFmtId="0" fontId="20" fillId="0" borderId="68" xfId="20" applyFont="1" applyBorder="1">
      <alignment/>
      <protection/>
    </xf>
    <xf numFmtId="0" fontId="0" fillId="0" borderId="1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3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55" xfId="0" applyFont="1" applyBorder="1" applyAlignment="1">
      <alignment horizontal="center"/>
    </xf>
    <xf numFmtId="3" fontId="0" fillId="0" borderId="57" xfId="0" applyNumberFormat="1" applyFont="1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1" xfId="0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3" fontId="0" fillId="0" borderId="85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/>
    </xf>
    <xf numFmtId="3" fontId="0" fillId="0" borderId="57" xfId="0" applyNumberFormat="1" applyBorder="1" applyAlignment="1">
      <alignment/>
    </xf>
    <xf numFmtId="0" fontId="0" fillId="0" borderId="124" xfId="0" applyBorder="1" applyAlignment="1">
      <alignment horizontal="center"/>
    </xf>
    <xf numFmtId="0" fontId="0" fillId="0" borderId="47" xfId="0" applyBorder="1" applyAlignment="1">
      <alignment/>
    </xf>
    <xf numFmtId="3" fontId="0" fillId="0" borderId="49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88" xfId="0" applyFont="1" applyBorder="1" applyAlignment="1">
      <alignment horizontal="center"/>
    </xf>
    <xf numFmtId="0" fontId="1" fillId="0" borderId="125" xfId="0" applyFont="1" applyBorder="1" applyAlignment="1">
      <alignment horizontal="left"/>
    </xf>
    <xf numFmtId="0" fontId="1" fillId="0" borderId="126" xfId="0" applyFont="1" applyBorder="1" applyAlignment="1">
      <alignment/>
    </xf>
    <xf numFmtId="0" fontId="1" fillId="0" borderId="127" xfId="0" applyFont="1" applyBorder="1" applyAlignment="1">
      <alignment/>
    </xf>
    <xf numFmtId="3" fontId="1" fillId="0" borderId="85" xfId="0" applyNumberFormat="1" applyFont="1" applyBorder="1" applyAlignment="1">
      <alignment/>
    </xf>
    <xf numFmtId="0" fontId="1" fillId="0" borderId="123" xfId="0" applyFont="1" applyBorder="1" applyAlignment="1">
      <alignment horizontal="center"/>
    </xf>
    <xf numFmtId="0" fontId="1" fillId="0" borderId="1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29" xfId="0" applyFont="1" applyBorder="1" applyAlignment="1">
      <alignment/>
    </xf>
    <xf numFmtId="3" fontId="1" fillId="0" borderId="42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32" xfId="0" applyFont="1" applyBorder="1" applyAlignment="1">
      <alignment/>
    </xf>
    <xf numFmtId="0" fontId="15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124" xfId="0" applyFont="1" applyFill="1" applyBorder="1" applyAlignment="1">
      <alignment horizontal="center"/>
    </xf>
    <xf numFmtId="0" fontId="0" fillId="3" borderId="12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3" borderId="55" xfId="0" applyFont="1" applyFill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1" fillId="3" borderId="7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3" borderId="70" xfId="0" applyFont="1" applyFill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3" borderId="55" xfId="0" applyNumberFormat="1" applyFont="1" applyFill="1" applyBorder="1" applyAlignment="1">
      <alignment/>
    </xf>
    <xf numFmtId="3" fontId="0" fillId="0" borderId="137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3" borderId="123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9" xfId="0" applyNumberFormat="1" applyFont="1" applyBorder="1" applyAlignment="1">
      <alignment/>
    </xf>
    <xf numFmtId="3" fontId="0" fillId="3" borderId="123" xfId="0" applyNumberFormat="1" applyFont="1" applyFill="1" applyBorder="1" applyAlignment="1">
      <alignment/>
    </xf>
    <xf numFmtId="3" fontId="0" fillId="0" borderId="121" xfId="0" applyNumberFormat="1" applyFont="1" applyBorder="1" applyAlignment="1">
      <alignment/>
    </xf>
    <xf numFmtId="0" fontId="0" fillId="0" borderId="13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/>
    </xf>
    <xf numFmtId="3" fontId="1" fillId="3" borderId="13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3" borderId="139" xfId="0" applyNumberFormat="1" applyFont="1" applyFill="1" applyBorder="1" applyAlignment="1">
      <alignment/>
    </xf>
    <xf numFmtId="3" fontId="0" fillId="0" borderId="140" xfId="0" applyNumberFormat="1" applyFont="1" applyBorder="1" applyAlignment="1">
      <alignment/>
    </xf>
    <xf numFmtId="0" fontId="45" fillId="0" borderId="99" xfId="0" applyFont="1" applyBorder="1" applyAlignment="1">
      <alignment horizontal="center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/>
    </xf>
    <xf numFmtId="3" fontId="45" fillId="3" borderId="76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141" xfId="0" applyNumberFormat="1" applyFont="1" applyBorder="1" applyAlignment="1">
      <alignment/>
    </xf>
    <xf numFmtId="3" fontId="45" fillId="3" borderId="142" xfId="0" applyNumberFormat="1" applyFont="1" applyFill="1" applyBorder="1" applyAlignment="1">
      <alignment/>
    </xf>
    <xf numFmtId="3" fontId="45" fillId="0" borderId="34" xfId="0" applyNumberFormat="1" applyFont="1" applyBorder="1" applyAlignment="1">
      <alignment/>
    </xf>
    <xf numFmtId="3" fontId="45" fillId="0" borderId="1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3" borderId="14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76" xfId="0" applyFont="1" applyBorder="1" applyAlignment="1">
      <alignment horizontal="center"/>
    </xf>
    <xf numFmtId="0" fontId="1" fillId="0" borderId="43" xfId="0" applyFont="1" applyBorder="1" applyAlignment="1">
      <alignment/>
    </xf>
    <xf numFmtId="3" fontId="1" fillId="3" borderId="76" xfId="0" applyNumberFormat="1" applyFon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141" xfId="0" applyNumberFormat="1" applyFont="1" applyBorder="1" applyAlignment="1">
      <alignment/>
    </xf>
    <xf numFmtId="3" fontId="1" fillId="0" borderId="145" xfId="0" applyNumberFormat="1" applyFont="1" applyBorder="1" applyAlignment="1">
      <alignment/>
    </xf>
    <xf numFmtId="0" fontId="0" fillId="0" borderId="144" xfId="0" applyFont="1" applyBorder="1" applyAlignment="1">
      <alignment horizontal="center"/>
    </xf>
    <xf numFmtId="0" fontId="0" fillId="0" borderId="58" xfId="0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146" xfId="0" applyNumberFormat="1" applyFont="1" applyBorder="1" applyAlignment="1">
      <alignment/>
    </xf>
    <xf numFmtId="3" fontId="0" fillId="3" borderId="144" xfId="0" applyNumberFormat="1" applyFont="1" applyFill="1" applyBorder="1" applyAlignment="1">
      <alignment/>
    </xf>
    <xf numFmtId="3" fontId="0" fillId="0" borderId="147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2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3" fontId="1" fillId="3" borderId="142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48" xfId="0" applyNumberFormat="1" applyFont="1" applyBorder="1" applyAlignment="1">
      <alignment/>
    </xf>
    <xf numFmtId="3" fontId="0" fillId="3" borderId="142" xfId="0" applyNumberFormat="1" applyFont="1" applyFill="1" applyBorder="1" applyAlignment="1">
      <alignment/>
    </xf>
    <xf numFmtId="3" fontId="0" fillId="0" borderId="143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45" fillId="3" borderId="5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9" xfId="0" applyNumberFormat="1" applyFont="1" applyBorder="1" applyAlignment="1">
      <alignment/>
    </xf>
    <xf numFmtId="3" fontId="2" fillId="3" borderId="55" xfId="0" applyNumberFormat="1" applyFont="1" applyFill="1" applyBorder="1" applyAlignment="1">
      <alignment/>
    </xf>
    <xf numFmtId="3" fontId="2" fillId="0" borderId="137" xfId="0" applyNumberFormat="1" applyFont="1" applyBorder="1" applyAlignment="1">
      <alignment/>
    </xf>
    <xf numFmtId="0" fontId="1" fillId="0" borderId="75" xfId="0" applyFont="1" applyBorder="1" applyAlignment="1">
      <alignment horizontal="center"/>
    </xf>
    <xf numFmtId="3" fontId="1" fillId="3" borderId="75" xfId="0" applyNumberFormat="1" applyFont="1" applyFill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150" xfId="0" applyNumberFormat="1" applyFont="1" applyBorder="1" applyAlignment="1">
      <alignment/>
    </xf>
    <xf numFmtId="3" fontId="0" fillId="3" borderId="75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151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152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3" fontId="1" fillId="3" borderId="5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6" xfId="0" applyNumberFormat="1" applyFont="1" applyBorder="1" applyAlignment="1">
      <alignment/>
    </xf>
    <xf numFmtId="3" fontId="2" fillId="0" borderId="93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0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2" fillId="0" borderId="154" xfId="0" applyNumberFormat="1" applyFont="1" applyBorder="1" applyAlignment="1">
      <alignment/>
    </xf>
    <xf numFmtId="3" fontId="2" fillId="0" borderId="155" xfId="0" applyNumberFormat="1" applyFont="1" applyBorder="1" applyAlignment="1">
      <alignment/>
    </xf>
    <xf numFmtId="3" fontId="2" fillId="0" borderId="156" xfId="0" applyNumberFormat="1" applyFont="1" applyBorder="1" applyAlignment="1">
      <alignment/>
    </xf>
    <xf numFmtId="3" fontId="0" fillId="0" borderId="157" xfId="0" applyNumberFormat="1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101" xfId="0" applyNumberFormat="1" applyFont="1" applyBorder="1" applyAlignment="1">
      <alignment/>
    </xf>
    <xf numFmtId="3" fontId="2" fillId="0" borderId="102" xfId="0" applyNumberFormat="1" applyFont="1" applyBorder="1" applyAlignment="1">
      <alignment/>
    </xf>
    <xf numFmtId="3" fontId="2" fillId="3" borderId="142" xfId="0" applyNumberFormat="1" applyFont="1" applyFill="1" applyBorder="1" applyAlignment="1">
      <alignment/>
    </xf>
    <xf numFmtId="3" fontId="2" fillId="0" borderId="158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152" xfId="0" applyNumberFormat="1" applyFont="1" applyBorder="1" applyAlignment="1">
      <alignment/>
    </xf>
    <xf numFmtId="3" fontId="2" fillId="0" borderId="9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" fillId="0" borderId="97" xfId="0" applyNumberFormat="1" applyFont="1" applyBorder="1" applyAlignment="1">
      <alignment/>
    </xf>
    <xf numFmtId="3" fontId="0" fillId="0" borderId="158" xfId="0" applyNumberFormat="1" applyFont="1" applyBorder="1" applyAlignment="1">
      <alignment/>
    </xf>
    <xf numFmtId="3" fontId="2" fillId="3" borderId="123" xfId="0" applyNumberFormat="1" applyFont="1" applyFill="1" applyBorder="1" applyAlignment="1">
      <alignment/>
    </xf>
    <xf numFmtId="0" fontId="0" fillId="0" borderId="130" xfId="0" applyFont="1" applyBorder="1" applyAlignment="1">
      <alignment horizontal="center"/>
    </xf>
    <xf numFmtId="0" fontId="2" fillId="0" borderId="111" xfId="0" applyFont="1" applyBorder="1" applyAlignment="1">
      <alignment/>
    </xf>
    <xf numFmtId="3" fontId="45" fillId="3" borderId="130" xfId="0" applyNumberFormat="1" applyFont="1" applyFill="1" applyBorder="1" applyAlignment="1">
      <alignment/>
    </xf>
    <xf numFmtId="3" fontId="2" fillId="0" borderId="111" xfId="0" applyNumberFormat="1" applyFont="1" applyBorder="1" applyAlignment="1">
      <alignment/>
    </xf>
    <xf numFmtId="3" fontId="2" fillId="0" borderId="113" xfId="0" applyNumberFormat="1" applyFont="1" applyBorder="1" applyAlignment="1">
      <alignment/>
    </xf>
    <xf numFmtId="3" fontId="2" fillId="0" borderId="159" xfId="0" applyNumberFormat="1" applyFont="1" applyBorder="1" applyAlignment="1">
      <alignment/>
    </xf>
    <xf numFmtId="3" fontId="2" fillId="0" borderId="112" xfId="0" applyNumberFormat="1" applyFont="1" applyBorder="1" applyAlignment="1">
      <alignment/>
    </xf>
    <xf numFmtId="3" fontId="2" fillId="0" borderId="114" xfId="0" applyNumberFormat="1" applyFont="1" applyBorder="1" applyAlignment="1">
      <alignment/>
    </xf>
    <xf numFmtId="3" fontId="2" fillId="0" borderId="119" xfId="0" applyNumberFormat="1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3" xfId="0" applyFont="1" applyBorder="1" applyAlignment="1">
      <alignment horizontal="center"/>
    </xf>
    <xf numFmtId="0" fontId="4" fillId="0" borderId="86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0" fillId="0" borderId="104" xfId="0" applyFont="1" applyBorder="1" applyAlignment="1">
      <alignment horizontal="center"/>
    </xf>
    <xf numFmtId="0" fontId="1" fillId="0" borderId="8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0" fillId="3" borderId="115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left"/>
    </xf>
    <xf numFmtId="0" fontId="1" fillId="3" borderId="4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89" xfId="0" applyFont="1" applyBorder="1" applyAlignment="1">
      <alignment/>
    </xf>
    <xf numFmtId="0" fontId="20" fillId="0" borderId="126" xfId="0" applyFont="1" applyBorder="1" applyAlignment="1">
      <alignment horizontal="center"/>
    </xf>
    <xf numFmtId="0" fontId="4" fillId="0" borderId="91" xfId="0" applyFont="1" applyBorder="1" applyAlignment="1">
      <alignment horizontal="left"/>
    </xf>
    <xf numFmtId="0" fontId="20" fillId="0" borderId="8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left"/>
    </xf>
    <xf numFmtId="0" fontId="20" fillId="0" borderId="59" xfId="0" applyFont="1" applyBorder="1" applyAlignment="1">
      <alignment/>
    </xf>
    <xf numFmtId="0" fontId="20" fillId="0" borderId="21" xfId="0" applyFont="1" applyBorder="1" applyAlignment="1">
      <alignment/>
    </xf>
    <xf numFmtId="0" fontId="4" fillId="0" borderId="108" xfId="0" applyFont="1" applyBorder="1" applyAlignment="1">
      <alignment horizontal="left"/>
    </xf>
    <xf numFmtId="0" fontId="1" fillId="3" borderId="9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0" fontId="7" fillId="3" borderId="94" xfId="0" applyFont="1" applyFill="1" applyBorder="1" applyAlignment="1">
      <alignment horizontal="left"/>
    </xf>
    <xf numFmtId="0" fontId="1" fillId="3" borderId="54" xfId="0" applyFont="1" applyFill="1" applyBorder="1" applyAlignment="1">
      <alignment/>
    </xf>
    <xf numFmtId="0" fontId="20" fillId="0" borderId="42" xfId="0" applyFont="1" applyBorder="1" applyAlignment="1">
      <alignment/>
    </xf>
    <xf numFmtId="0" fontId="20" fillId="0" borderId="9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101" xfId="0" applyFont="1" applyBorder="1" applyAlignment="1">
      <alignment horizontal="center"/>
    </xf>
    <xf numFmtId="0" fontId="4" fillId="0" borderId="156" xfId="0" applyFont="1" applyBorder="1" applyAlignment="1">
      <alignment horizontal="left"/>
    </xf>
    <xf numFmtId="0" fontId="20" fillId="0" borderId="62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104" xfId="0" applyFont="1" applyBorder="1" applyAlignment="1">
      <alignment horizontal="center"/>
    </xf>
    <xf numFmtId="0" fontId="20" fillId="0" borderId="87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6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52" xfId="0" applyNumberFormat="1" applyFont="1" applyFill="1" applyBorder="1" applyAlignment="1">
      <alignment/>
    </xf>
    <xf numFmtId="3" fontId="4" fillId="0" borderId="78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55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92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7" fillId="0" borderId="7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9" fillId="0" borderId="42" xfId="20" applyNumberFormat="1" applyFont="1" applyBorder="1" applyAlignment="1">
      <alignment horizontal="right"/>
      <protection/>
    </xf>
    <xf numFmtId="0" fontId="25" fillId="0" borderId="0" xfId="20" applyFont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>
      <alignment/>
      <protection/>
    </xf>
    <xf numFmtId="0" fontId="21" fillId="0" borderId="2" xfId="20" applyFont="1" applyBorder="1" applyAlignment="1">
      <alignment horizontal="center"/>
      <protection/>
    </xf>
    <xf numFmtId="0" fontId="20" fillId="0" borderId="7" xfId="20" applyFont="1" applyBorder="1">
      <alignment/>
      <protection/>
    </xf>
    <xf numFmtId="0" fontId="28" fillId="0" borderId="40" xfId="20" applyFont="1" applyBorder="1" applyAlignment="1">
      <alignment horizontal="center"/>
      <protection/>
    </xf>
    <xf numFmtId="0" fontId="21" fillId="0" borderId="104" xfId="20" applyFont="1" applyBorder="1" applyAlignment="1">
      <alignment horizontal="center"/>
      <protection/>
    </xf>
    <xf numFmtId="3" fontId="20" fillId="3" borderId="49" xfId="20" applyNumberFormat="1" applyFont="1" applyFill="1" applyBorder="1">
      <alignment/>
      <protection/>
    </xf>
    <xf numFmtId="0" fontId="21" fillId="3" borderId="2" xfId="20" applyFont="1" applyFill="1" applyBorder="1" applyAlignment="1">
      <alignment horizontal="center"/>
      <protection/>
    </xf>
    <xf numFmtId="4" fontId="7" fillId="0" borderId="0" xfId="20" applyNumberFormat="1" applyFont="1" applyBorder="1">
      <alignment/>
      <protection/>
    </xf>
    <xf numFmtId="3" fontId="21" fillId="0" borderId="42" xfId="20" applyNumberFormat="1" applyFont="1" applyFill="1" applyBorder="1" applyAlignment="1">
      <alignment/>
      <protection/>
    </xf>
    <xf numFmtId="0" fontId="8" fillId="0" borderId="28" xfId="20" applyFont="1" applyBorder="1">
      <alignment/>
      <protection/>
    </xf>
    <xf numFmtId="0" fontId="8" fillId="0" borderId="29" xfId="20" applyFont="1" applyBorder="1" applyAlignment="1">
      <alignment horizontal="center"/>
      <protection/>
    </xf>
    <xf numFmtId="0" fontId="8" fillId="0" borderId="21" xfId="20" applyFont="1" applyBorder="1">
      <alignment/>
      <protection/>
    </xf>
    <xf numFmtId="3" fontId="8" fillId="0" borderId="13" xfId="20" applyNumberFormat="1" applyFont="1" applyBorder="1" applyAlignment="1">
      <alignment horizontal="right"/>
      <protection/>
    </xf>
    <xf numFmtId="3" fontId="8" fillId="0" borderId="42" xfId="20" applyNumberFormat="1" applyFont="1" applyBorder="1" applyAlignment="1">
      <alignment horizontal="right"/>
      <protection/>
    </xf>
    <xf numFmtId="3" fontId="9" fillId="0" borderId="42" xfId="20" applyNumberFormat="1" applyFont="1" applyBorder="1" applyAlignment="1">
      <alignment/>
      <protection/>
    </xf>
    <xf numFmtId="0" fontId="0" fillId="0" borderId="67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3" fontId="20" fillId="0" borderId="0" xfId="20" applyNumberFormat="1" applyFont="1">
      <alignment/>
      <protection/>
    </xf>
    <xf numFmtId="0" fontId="29" fillId="0" borderId="152" xfId="20" applyFont="1" applyBorder="1" applyAlignment="1">
      <alignment horizontal="center"/>
      <protection/>
    </xf>
    <xf numFmtId="0" fontId="21" fillId="0" borderId="28" xfId="20" applyFont="1" applyBorder="1">
      <alignment/>
      <protection/>
    </xf>
    <xf numFmtId="0" fontId="21" fillId="0" borderId="29" xfId="20" applyFont="1" applyBorder="1" applyAlignment="1">
      <alignment horizontal="center"/>
      <protection/>
    </xf>
    <xf numFmtId="0" fontId="21" fillId="3" borderId="21" xfId="20" applyFont="1" applyFill="1" applyBorder="1" applyAlignment="1">
      <alignment horizontal="center"/>
      <protection/>
    </xf>
    <xf numFmtId="3" fontId="21" fillId="3" borderId="13" xfId="20" applyNumberFormat="1" applyFont="1" applyFill="1" applyBorder="1">
      <alignment/>
      <protection/>
    </xf>
    <xf numFmtId="3" fontId="20" fillId="3" borderId="42" xfId="20" applyNumberFormat="1" applyFont="1" applyFill="1" applyBorder="1">
      <alignment/>
      <protection/>
    </xf>
    <xf numFmtId="3" fontId="21" fillId="3" borderId="42" xfId="20" applyNumberFormat="1" applyFont="1" applyFill="1" applyBorder="1">
      <alignment/>
      <protection/>
    </xf>
    <xf numFmtId="3" fontId="20" fillId="3" borderId="161" xfId="20" applyNumberFormat="1" applyFont="1" applyFill="1" applyBorder="1">
      <alignment/>
      <protection/>
    </xf>
    <xf numFmtId="173" fontId="20" fillId="0" borderId="11" xfId="0" applyNumberFormat="1" applyFont="1" applyFill="1" applyBorder="1" applyAlignment="1">
      <alignment/>
    </xf>
    <xf numFmtId="173" fontId="20" fillId="0" borderId="13" xfId="0" applyNumberFormat="1" applyFont="1" applyFill="1" applyBorder="1" applyAlignment="1">
      <alignment/>
    </xf>
    <xf numFmtId="173" fontId="20" fillId="0" borderId="159" xfId="0" applyNumberFormat="1" applyFont="1" applyFill="1" applyBorder="1" applyAlignment="1">
      <alignment/>
    </xf>
    <xf numFmtId="173" fontId="0" fillId="0" borderId="66" xfId="0" applyNumberFormat="1" applyFont="1" applyFill="1" applyBorder="1" applyAlignment="1">
      <alignment/>
    </xf>
    <xf numFmtId="173" fontId="0" fillId="0" borderId="52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13" xfId="0" applyNumberFormat="1" applyFont="1" applyFill="1" applyBorder="1" applyAlignment="1">
      <alignment/>
    </xf>
    <xf numFmtId="0" fontId="20" fillId="0" borderId="69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/>
    </xf>
    <xf numFmtId="3" fontId="0" fillId="0" borderId="118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/>
    </xf>
    <xf numFmtId="3" fontId="2" fillId="0" borderId="162" xfId="0" applyNumberFormat="1" applyFont="1" applyBorder="1" applyAlignment="1">
      <alignment/>
    </xf>
    <xf numFmtId="0" fontId="7" fillId="0" borderId="0" xfId="20" applyFont="1">
      <alignment/>
      <protection/>
    </xf>
    <xf numFmtId="0" fontId="7" fillId="0" borderId="5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7" fillId="0" borderId="81" xfId="0" applyNumberFormat="1" applyFont="1" applyFill="1" applyBorder="1" applyAlignment="1">
      <alignment/>
    </xf>
    <xf numFmtId="0" fontId="24" fillId="0" borderId="58" xfId="0" applyFont="1" applyBorder="1" applyAlignment="1">
      <alignment/>
    </xf>
    <xf numFmtId="0" fontId="2" fillId="0" borderId="58" xfId="0" applyFont="1" applyBorder="1" applyAlignment="1">
      <alignment/>
    </xf>
    <xf numFmtId="3" fontId="45" fillId="3" borderId="144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98" xfId="0" applyNumberFormat="1" applyFont="1" applyBorder="1" applyAlignment="1">
      <alignment/>
    </xf>
    <xf numFmtId="3" fontId="2" fillId="3" borderId="144" xfId="0" applyNumberFormat="1" applyFont="1" applyFill="1" applyBorder="1" applyAlignment="1">
      <alignment/>
    </xf>
    <xf numFmtId="3" fontId="2" fillId="0" borderId="116" xfId="0" applyNumberFormat="1" applyFont="1" applyBorder="1" applyAlignment="1">
      <alignment/>
    </xf>
    <xf numFmtId="0" fontId="0" fillId="0" borderId="76" xfId="0" applyFont="1" applyBorder="1" applyAlignment="1">
      <alignment horizontal="center"/>
    </xf>
    <xf numFmtId="0" fontId="2" fillId="0" borderId="4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3" xfId="0" applyNumberFormat="1" applyFont="1" applyBorder="1" applyAlignment="1">
      <alignment/>
    </xf>
    <xf numFmtId="3" fontId="2" fillId="3" borderId="76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14" fontId="15" fillId="0" borderId="0" xfId="0" applyNumberFormat="1" applyFont="1" applyFill="1" applyAlignment="1">
      <alignment/>
    </xf>
    <xf numFmtId="0" fontId="18" fillId="0" borderId="0" xfId="22" applyAlignment="1">
      <alignment horizontal="center"/>
      <protection/>
    </xf>
    <xf numFmtId="0" fontId="27" fillId="0" borderId="0" xfId="22" applyFont="1" applyAlignment="1">
      <alignment horizontal="center"/>
      <protection/>
    </xf>
    <xf numFmtId="0" fontId="18" fillId="0" borderId="0" xfId="22">
      <alignment/>
      <protection/>
    </xf>
    <xf numFmtId="4" fontId="27" fillId="0" borderId="0" xfId="22" applyNumberFormat="1" applyFont="1" applyAlignment="1">
      <alignment horizontal="center"/>
      <protection/>
    </xf>
    <xf numFmtId="0" fontId="27" fillId="0" borderId="0" xfId="22" applyFont="1">
      <alignment/>
      <protection/>
    </xf>
    <xf numFmtId="0" fontId="53" fillId="0" borderId="0" xfId="22" applyFont="1" applyAlignment="1">
      <alignment horizontal="center"/>
      <protection/>
    </xf>
    <xf numFmtId="0" fontId="53" fillId="0" borderId="0" xfId="22" applyFont="1">
      <alignment/>
      <protection/>
    </xf>
    <xf numFmtId="3" fontId="8" fillId="0" borderId="0" xfId="0" applyNumberFormat="1" applyFont="1" applyFill="1" applyAlignment="1">
      <alignment/>
    </xf>
    <xf numFmtId="0" fontId="20" fillId="0" borderId="109" xfId="20" applyFont="1" applyBorder="1">
      <alignment/>
      <protection/>
    </xf>
    <xf numFmtId="0" fontId="20" fillId="0" borderId="112" xfId="20" applyFont="1" applyBorder="1" applyAlignment="1">
      <alignment horizontal="center"/>
      <protection/>
    </xf>
    <xf numFmtId="0" fontId="20" fillId="3" borderId="111" xfId="20" applyFont="1" applyFill="1" applyBorder="1" applyAlignment="1">
      <alignment horizontal="center"/>
      <protection/>
    </xf>
    <xf numFmtId="3" fontId="20" fillId="3" borderId="159" xfId="20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1" fillId="0" borderId="161" xfId="0" applyNumberFormat="1" applyFont="1" applyFill="1" applyBorder="1" applyAlignment="1">
      <alignment/>
    </xf>
    <xf numFmtId="0" fontId="1" fillId="0" borderId="8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1" xfId="0" applyFont="1" applyBorder="1" applyAlignment="1">
      <alignment/>
    </xf>
    <xf numFmtId="0" fontId="52" fillId="0" borderId="0" xfId="22" applyFont="1" applyAlignment="1">
      <alignment horizontal="left"/>
      <protection/>
    </xf>
    <xf numFmtId="0" fontId="18" fillId="0" borderId="0" xfId="22" applyFont="1" applyAlignment="1">
      <alignment horizontal="left"/>
      <protection/>
    </xf>
    <xf numFmtId="0" fontId="26" fillId="0" borderId="0" xfId="22" applyFont="1" applyAlignment="1">
      <alignment horizontal="left"/>
      <protection/>
    </xf>
    <xf numFmtId="0" fontId="26" fillId="0" borderId="0" xfId="22" applyFont="1" applyAlignment="1">
      <alignment horizontal="center"/>
      <protection/>
    </xf>
    <xf numFmtId="0" fontId="34" fillId="0" borderId="0" xfId="22" applyFont="1" applyAlignment="1">
      <alignment horizontal="center"/>
      <protection/>
    </xf>
    <xf numFmtId="0" fontId="26" fillId="0" borderId="0" xfId="22" applyFont="1">
      <alignment/>
      <protection/>
    </xf>
    <xf numFmtId="0" fontId="39" fillId="0" borderId="0" xfId="22" applyFont="1" applyAlignment="1">
      <alignment horizontal="left"/>
      <protection/>
    </xf>
    <xf numFmtId="0" fontId="54" fillId="0" borderId="0" xfId="22" applyFont="1" applyAlignment="1">
      <alignment horizontal="center"/>
      <protection/>
    </xf>
    <xf numFmtId="0" fontId="54" fillId="0" borderId="0" xfId="22" applyFont="1">
      <alignment/>
      <protection/>
    </xf>
    <xf numFmtId="3" fontId="21" fillId="0" borderId="62" xfId="20" applyNumberFormat="1" applyFont="1" applyFill="1" applyBorder="1" applyAlignment="1">
      <alignment horizontal="right"/>
      <protection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/>
    </xf>
    <xf numFmtId="3" fontId="7" fillId="0" borderId="92" xfId="0" applyNumberFormat="1" applyFont="1" applyFill="1" applyBorder="1" applyAlignment="1">
      <alignment/>
    </xf>
    <xf numFmtId="0" fontId="7" fillId="0" borderId="123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3" fontId="7" fillId="0" borderId="118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7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9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4" fontId="7" fillId="0" borderId="73" xfId="0" applyNumberFormat="1" applyFont="1" applyFill="1" applyBorder="1" applyAlignment="1">
      <alignment/>
    </xf>
    <xf numFmtId="3" fontId="7" fillId="0" borderId="164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93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3" fontId="4" fillId="0" borderId="111" xfId="0" applyNumberFormat="1" applyFont="1" applyFill="1" applyBorder="1" applyAlignment="1">
      <alignment/>
    </xf>
    <xf numFmtId="2" fontId="4" fillId="0" borderId="111" xfId="0" applyNumberFormat="1" applyFont="1" applyFill="1" applyBorder="1" applyAlignment="1">
      <alignment horizontal="center"/>
    </xf>
    <xf numFmtId="3" fontId="4" fillId="0" borderId="113" xfId="0" applyNumberFormat="1" applyFont="1" applyFill="1" applyBorder="1" applyAlignment="1">
      <alignment/>
    </xf>
    <xf numFmtId="164" fontId="4" fillId="0" borderId="111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3" fontId="4" fillId="0" borderId="165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3" fontId="4" fillId="0" borderId="94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09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59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2" fontId="4" fillId="0" borderId="69" xfId="0" applyNumberFormat="1" applyFont="1" applyFill="1" applyBorder="1" applyAlignment="1">
      <alignment horizontal="center"/>
    </xf>
    <xf numFmtId="2" fontId="4" fillId="0" borderId="118" xfId="0" applyNumberFormat="1" applyFont="1" applyFill="1" applyBorder="1" applyAlignment="1">
      <alignment horizontal="center"/>
    </xf>
    <xf numFmtId="2" fontId="4" fillId="0" borderId="119" xfId="0" applyNumberFormat="1" applyFont="1" applyFill="1" applyBorder="1" applyAlignment="1">
      <alignment horizontal="center"/>
    </xf>
    <xf numFmtId="2" fontId="4" fillId="0" borderId="16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/>
    </xf>
    <xf numFmtId="0" fontId="4" fillId="0" borderId="86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4" fontId="7" fillId="7" borderId="2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92" xfId="0" applyFont="1" applyFill="1" applyBorder="1" applyAlignment="1">
      <alignment/>
    </xf>
    <xf numFmtId="0" fontId="4" fillId="7" borderId="55" xfId="0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3" fontId="4" fillId="0" borderId="123" xfId="0" applyNumberFormat="1" applyFont="1" applyFill="1" applyBorder="1" applyAlignment="1">
      <alignment/>
    </xf>
    <xf numFmtId="3" fontId="4" fillId="0" borderId="130" xfId="0" applyNumberFormat="1" applyFont="1" applyFill="1" applyBorder="1" applyAlignment="1">
      <alignment/>
    </xf>
    <xf numFmtId="3" fontId="7" fillId="0" borderId="160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124" xfId="0" applyFont="1" applyFill="1" applyBorder="1" applyAlignment="1">
      <alignment/>
    </xf>
    <xf numFmtId="3" fontId="4" fillId="0" borderId="160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3" fontId="4" fillId="0" borderId="86" xfId="0" applyNumberFormat="1" applyFont="1" applyFill="1" applyBorder="1" applyAlignment="1">
      <alignment horizontal="right"/>
    </xf>
    <xf numFmtId="3" fontId="4" fillId="0" borderId="108" xfId="0" applyNumberFormat="1" applyFont="1" applyFill="1" applyBorder="1" applyAlignment="1">
      <alignment horizontal="right"/>
    </xf>
    <xf numFmtId="3" fontId="4" fillId="0" borderId="114" xfId="0" applyNumberFormat="1" applyFont="1" applyFill="1" applyBorder="1" applyAlignment="1">
      <alignment horizontal="right"/>
    </xf>
    <xf numFmtId="0" fontId="7" fillId="0" borderId="153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3" fontId="7" fillId="0" borderId="164" xfId="0" applyNumberFormat="1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55" fillId="0" borderId="0" xfId="20" applyFont="1">
      <alignment/>
      <protection/>
    </xf>
    <xf numFmtId="0" fontId="55" fillId="0" borderId="0" xfId="20" applyFont="1" applyAlignment="1">
      <alignment horizontal="center"/>
      <protection/>
    </xf>
    <xf numFmtId="3" fontId="55" fillId="0" borderId="0" xfId="20" applyNumberFormat="1" applyFont="1">
      <alignment/>
      <protection/>
    </xf>
    <xf numFmtId="0" fontId="56" fillId="0" borderId="0" xfId="20" applyFont="1">
      <alignment/>
      <protection/>
    </xf>
    <xf numFmtId="0" fontId="56" fillId="0" borderId="0" xfId="20" applyFont="1" applyAlignment="1">
      <alignment horizontal="center"/>
      <protection/>
    </xf>
    <xf numFmtId="3" fontId="57" fillId="0" borderId="0" xfId="20" applyNumberFormat="1" applyFont="1">
      <alignment/>
      <protection/>
    </xf>
    <xf numFmtId="0" fontId="58" fillId="0" borderId="0" xfId="20" applyFont="1">
      <alignment/>
      <protection/>
    </xf>
    <xf numFmtId="0" fontId="58" fillId="0" borderId="0" xfId="20" applyFont="1" applyAlignment="1">
      <alignment horizontal="center"/>
      <protection/>
    </xf>
    <xf numFmtId="0" fontId="57" fillId="0" borderId="0" xfId="20" applyFont="1">
      <alignment/>
      <protection/>
    </xf>
    <xf numFmtId="4" fontId="56" fillId="0" borderId="0" xfId="20" applyNumberFormat="1" applyFont="1" applyAlignment="1">
      <alignment horizontal="center"/>
      <protection/>
    </xf>
    <xf numFmtId="4" fontId="55" fillId="0" borderId="0" xfId="20" applyNumberFormat="1" applyFont="1" applyAlignment="1">
      <alignment horizontal="center"/>
      <protection/>
    </xf>
    <xf numFmtId="0" fontId="20" fillId="0" borderId="0" xfId="20" applyFont="1" applyAlignment="1">
      <alignment horizontal="right"/>
      <protection/>
    </xf>
    <xf numFmtId="0" fontId="59" fillId="0" borderId="24" xfId="22" applyFont="1" applyBorder="1" applyAlignment="1">
      <alignment horizontal="center"/>
      <protection/>
    </xf>
    <xf numFmtId="0" fontId="59" fillId="0" borderId="165" xfId="22" applyFont="1" applyBorder="1" applyAlignment="1">
      <alignment horizontal="center"/>
      <protection/>
    </xf>
    <xf numFmtId="0" fontId="60" fillId="0" borderId="0" xfId="22" applyFont="1">
      <alignment/>
      <protection/>
    </xf>
    <xf numFmtId="0" fontId="59" fillId="0" borderId="45" xfId="22" applyFont="1" applyBorder="1" applyAlignment="1">
      <alignment horizontal="center"/>
      <protection/>
    </xf>
    <xf numFmtId="0" fontId="59" fillId="0" borderId="166" xfId="22" applyFont="1" applyBorder="1" applyAlignment="1">
      <alignment horizontal="center"/>
      <protection/>
    </xf>
    <xf numFmtId="0" fontId="59" fillId="0" borderId="124" xfId="22" applyFont="1" applyBorder="1" applyAlignment="1">
      <alignment horizontal="center"/>
      <protection/>
    </xf>
    <xf numFmtId="0" fontId="59" fillId="0" borderId="152" xfId="22" applyFont="1" applyBorder="1" applyAlignment="1">
      <alignment horizontal="center"/>
      <protection/>
    </xf>
    <xf numFmtId="0" fontId="59" fillId="0" borderId="153" xfId="22" applyFont="1" applyBorder="1" applyAlignment="1">
      <alignment horizontal="center"/>
      <protection/>
    </xf>
    <xf numFmtId="0" fontId="61" fillId="0" borderId="32" xfId="22" applyFont="1" applyBorder="1" applyAlignment="1">
      <alignment horizontal="center"/>
      <protection/>
    </xf>
    <xf numFmtId="0" fontId="61" fillId="0" borderId="163" xfId="22" applyFont="1" applyBorder="1" applyAlignment="1">
      <alignment horizontal="center"/>
      <protection/>
    </xf>
    <xf numFmtId="0" fontId="61" fillId="0" borderId="76" xfId="22" applyFont="1" applyBorder="1" applyAlignment="1">
      <alignment horizontal="center"/>
      <protection/>
    </xf>
    <xf numFmtId="0" fontId="61" fillId="0" borderId="56" xfId="22" applyFont="1" applyBorder="1" applyAlignment="1">
      <alignment horizontal="center"/>
      <protection/>
    </xf>
    <xf numFmtId="0" fontId="61" fillId="0" borderId="80" xfId="22" applyFont="1" applyBorder="1" applyAlignment="1">
      <alignment horizontal="center"/>
      <protection/>
    </xf>
    <xf numFmtId="0" fontId="61" fillId="0" borderId="0" xfId="22" applyFont="1">
      <alignment/>
      <protection/>
    </xf>
    <xf numFmtId="0" fontId="59" fillId="0" borderId="10" xfId="22" applyFont="1" applyBorder="1" applyAlignment="1">
      <alignment horizontal="right"/>
      <protection/>
    </xf>
    <xf numFmtId="0" fontId="59" fillId="0" borderId="93" xfId="22" applyFont="1" applyBorder="1" applyAlignment="1">
      <alignment horizontal="left"/>
      <protection/>
    </xf>
    <xf numFmtId="3" fontId="60" fillId="0" borderId="55" xfId="22" applyNumberFormat="1" applyFont="1" applyBorder="1" applyAlignment="1">
      <alignment horizontal="right"/>
      <protection/>
    </xf>
    <xf numFmtId="3" fontId="60" fillId="0" borderId="12" xfId="22" applyNumberFormat="1" applyFont="1" applyBorder="1" applyAlignment="1">
      <alignment horizontal="right"/>
      <protection/>
    </xf>
    <xf numFmtId="3" fontId="60" fillId="0" borderId="92" xfId="22" applyNumberFormat="1" applyFont="1" applyFill="1" applyBorder="1">
      <alignment/>
      <protection/>
    </xf>
    <xf numFmtId="4" fontId="60" fillId="0" borderId="55" xfId="22" applyNumberFormat="1" applyFont="1" applyBorder="1" applyAlignment="1">
      <alignment horizontal="right"/>
      <protection/>
    </xf>
    <xf numFmtId="4" fontId="60" fillId="0" borderId="12" xfId="22" applyNumberFormat="1" applyFont="1" applyBorder="1" applyAlignment="1">
      <alignment horizontal="right"/>
      <protection/>
    </xf>
    <xf numFmtId="4" fontId="60" fillId="0" borderId="92" xfId="22" applyNumberFormat="1" applyFont="1" applyBorder="1" applyAlignment="1">
      <alignment horizontal="right"/>
      <protection/>
    </xf>
    <xf numFmtId="0" fontId="59" fillId="0" borderId="28" xfId="22" applyFont="1" applyBorder="1" applyAlignment="1">
      <alignment horizontal="right"/>
      <protection/>
    </xf>
    <xf numFmtId="0" fontId="59" fillId="0" borderId="108" xfId="22" applyFont="1" applyBorder="1" applyAlignment="1">
      <alignment horizontal="left"/>
      <protection/>
    </xf>
    <xf numFmtId="3" fontId="60" fillId="0" borderId="123" xfId="22" applyNumberFormat="1" applyFont="1" applyBorder="1" applyAlignment="1">
      <alignment horizontal="right"/>
      <protection/>
    </xf>
    <xf numFmtId="3" fontId="60" fillId="0" borderId="14" xfId="22" applyNumberFormat="1" applyFont="1" applyBorder="1" applyAlignment="1">
      <alignment horizontal="right"/>
      <protection/>
    </xf>
    <xf numFmtId="3" fontId="60" fillId="0" borderId="118" xfId="22" applyNumberFormat="1" applyFont="1" applyFill="1" applyBorder="1">
      <alignment/>
      <protection/>
    </xf>
    <xf numFmtId="4" fontId="60" fillId="0" borderId="123" xfId="22" applyNumberFormat="1" applyFont="1" applyBorder="1" applyAlignment="1">
      <alignment horizontal="right"/>
      <protection/>
    </xf>
    <xf numFmtId="4" fontId="60" fillId="0" borderId="14" xfId="22" applyNumberFormat="1" applyFont="1" applyBorder="1" applyAlignment="1">
      <alignment horizontal="right"/>
      <protection/>
    </xf>
    <xf numFmtId="4" fontId="60" fillId="0" borderId="118" xfId="22" applyNumberFormat="1" applyFont="1" applyBorder="1" applyAlignment="1">
      <alignment horizontal="right"/>
      <protection/>
    </xf>
    <xf numFmtId="0" fontId="59" fillId="0" borderId="99" xfId="22" applyFont="1" applyBorder="1" applyAlignment="1">
      <alignment horizontal="right"/>
      <protection/>
    </xf>
    <xf numFmtId="0" fontId="59" fillId="0" borderId="102" xfId="22" applyFont="1" applyBorder="1" applyAlignment="1">
      <alignment horizontal="left"/>
      <protection/>
    </xf>
    <xf numFmtId="3" fontId="60" fillId="0" borderId="142" xfId="22" applyNumberFormat="1" applyFont="1" applyBorder="1" applyAlignment="1">
      <alignment horizontal="right"/>
      <protection/>
    </xf>
    <xf numFmtId="3" fontId="60" fillId="0" borderId="22" xfId="22" applyNumberFormat="1" applyFont="1" applyBorder="1" applyAlignment="1">
      <alignment horizontal="right"/>
      <protection/>
    </xf>
    <xf numFmtId="3" fontId="60" fillId="0" borderId="157" xfId="22" applyNumberFormat="1" applyFont="1" applyFill="1" applyBorder="1">
      <alignment/>
      <protection/>
    </xf>
    <xf numFmtId="4" fontId="60" fillId="0" borderId="142" xfId="22" applyNumberFormat="1" applyFont="1" applyBorder="1" applyAlignment="1">
      <alignment horizontal="right"/>
      <protection/>
    </xf>
    <xf numFmtId="4" fontId="60" fillId="0" borderId="22" xfId="22" applyNumberFormat="1" applyFont="1" applyBorder="1" applyAlignment="1">
      <alignment horizontal="right"/>
      <protection/>
    </xf>
    <xf numFmtId="4" fontId="60" fillId="0" borderId="158" xfId="22" applyNumberFormat="1" applyFont="1" applyBorder="1" applyAlignment="1">
      <alignment horizontal="right"/>
      <protection/>
    </xf>
    <xf numFmtId="3" fontId="60" fillId="0" borderId="116" xfId="22" applyNumberFormat="1" applyFont="1" applyFill="1" applyBorder="1">
      <alignment/>
      <protection/>
    </xf>
    <xf numFmtId="3" fontId="60" fillId="0" borderId="14" xfId="22" applyNumberFormat="1" applyFont="1" applyFill="1" applyBorder="1" applyAlignment="1">
      <alignment horizontal="right"/>
      <protection/>
    </xf>
    <xf numFmtId="3" fontId="60" fillId="0" borderId="0" xfId="22" applyNumberFormat="1" applyFont="1">
      <alignment/>
      <protection/>
    </xf>
    <xf numFmtId="3" fontId="60" fillId="0" borderId="158" xfId="22" applyNumberFormat="1" applyFont="1" applyFill="1" applyBorder="1">
      <alignment/>
      <protection/>
    </xf>
    <xf numFmtId="0" fontId="60" fillId="0" borderId="45" xfId="22" applyFont="1" applyBorder="1" applyAlignment="1">
      <alignment horizontal="center"/>
      <protection/>
    </xf>
    <xf numFmtId="0" fontId="60" fillId="0" borderId="166" xfId="22" applyFont="1" applyBorder="1" applyAlignment="1">
      <alignment horizontal="center"/>
      <protection/>
    </xf>
    <xf numFmtId="3" fontId="60" fillId="0" borderId="45" xfId="22" applyNumberFormat="1" applyFont="1" applyBorder="1" applyAlignment="1">
      <alignment horizontal="right"/>
      <protection/>
    </xf>
    <xf numFmtId="3" fontId="60" fillId="0" borderId="152" xfId="22" applyNumberFormat="1" applyFont="1" applyBorder="1" applyAlignment="1">
      <alignment horizontal="right"/>
      <protection/>
    </xf>
    <xf numFmtId="3" fontId="60" fillId="0" borderId="166" xfId="22" applyNumberFormat="1" applyFont="1" applyBorder="1" applyAlignment="1">
      <alignment horizontal="right"/>
      <protection/>
    </xf>
    <xf numFmtId="4" fontId="60" fillId="0" borderId="45" xfId="22" applyNumberFormat="1" applyFont="1" applyBorder="1" applyAlignment="1">
      <alignment horizontal="right"/>
      <protection/>
    </xf>
    <xf numFmtId="4" fontId="60" fillId="0" borderId="152" xfId="22" applyNumberFormat="1" applyFont="1" applyBorder="1" applyAlignment="1">
      <alignment horizontal="right"/>
      <protection/>
    </xf>
    <xf numFmtId="4" fontId="60" fillId="0" borderId="166" xfId="22" applyNumberFormat="1" applyFont="1" applyBorder="1" applyAlignment="1">
      <alignment horizontal="right"/>
      <protection/>
    </xf>
    <xf numFmtId="0" fontId="60" fillId="0" borderId="28" xfId="22" applyFont="1" applyBorder="1" applyAlignment="1">
      <alignment horizontal="center"/>
      <protection/>
    </xf>
    <xf numFmtId="0" fontId="60" fillId="0" borderId="108" xfId="22" applyFont="1" applyBorder="1" applyAlignment="1">
      <alignment horizontal="center"/>
      <protection/>
    </xf>
    <xf numFmtId="3" fontId="60" fillId="0" borderId="28" xfId="22" applyNumberFormat="1" applyFont="1" applyBorder="1" applyAlignment="1">
      <alignment horizontal="right"/>
      <protection/>
    </xf>
    <xf numFmtId="3" fontId="60" fillId="0" borderId="108" xfId="22" applyNumberFormat="1" applyFont="1" applyBorder="1" applyAlignment="1">
      <alignment horizontal="right"/>
      <protection/>
    </xf>
    <xf numFmtId="4" fontId="60" fillId="0" borderId="28" xfId="22" applyNumberFormat="1" applyFont="1" applyBorder="1" applyAlignment="1">
      <alignment horizontal="right"/>
      <protection/>
    </xf>
    <xf numFmtId="4" fontId="60" fillId="0" borderId="108" xfId="22" applyNumberFormat="1" applyFont="1" applyBorder="1" applyAlignment="1">
      <alignment horizontal="right"/>
      <protection/>
    </xf>
    <xf numFmtId="0" fontId="60" fillId="0" borderId="6" xfId="22" applyFont="1" applyBorder="1" applyAlignment="1">
      <alignment horizontal="center"/>
      <protection/>
    </xf>
    <xf numFmtId="0" fontId="60" fillId="0" borderId="87" xfId="22" applyFont="1" applyBorder="1" applyAlignment="1">
      <alignment horizontal="center"/>
      <protection/>
    </xf>
    <xf numFmtId="3" fontId="60" fillId="0" borderId="6" xfId="22" applyNumberFormat="1" applyFont="1" applyBorder="1" applyAlignment="1">
      <alignment horizontal="right"/>
      <protection/>
    </xf>
    <xf numFmtId="3" fontId="60" fillId="0" borderId="8" xfId="22" applyNumberFormat="1" applyFont="1" applyBorder="1" applyAlignment="1">
      <alignment horizontal="right"/>
      <protection/>
    </xf>
    <xf numFmtId="3" fontId="60" fillId="0" borderId="87" xfId="22" applyNumberFormat="1" applyFont="1" applyBorder="1" applyAlignment="1">
      <alignment horizontal="right"/>
      <protection/>
    </xf>
    <xf numFmtId="4" fontId="60" fillId="0" borderId="6" xfId="22" applyNumberFormat="1" applyFont="1" applyBorder="1" applyAlignment="1">
      <alignment horizontal="right"/>
      <protection/>
    </xf>
    <xf numFmtId="4" fontId="60" fillId="0" borderId="8" xfId="22" applyNumberFormat="1" applyFont="1" applyBorder="1" applyAlignment="1">
      <alignment horizontal="right"/>
      <protection/>
    </xf>
    <xf numFmtId="4" fontId="60" fillId="0" borderId="87" xfId="22" applyNumberFormat="1" applyFont="1" applyBorder="1" applyAlignment="1">
      <alignment horizontal="right"/>
      <protection/>
    </xf>
    <xf numFmtId="0" fontId="59" fillId="0" borderId="0" xfId="22" applyFont="1" applyAlignment="1">
      <alignment horizontal="left"/>
      <protection/>
    </xf>
    <xf numFmtId="0" fontId="18" fillId="0" borderId="0" xfId="22" applyFont="1" applyAlignment="1">
      <alignment horizontal="left"/>
      <protection/>
    </xf>
    <xf numFmtId="0" fontId="24" fillId="0" borderId="0" xfId="0" applyFont="1" applyAlignment="1">
      <alignment/>
    </xf>
    <xf numFmtId="0" fontId="24" fillId="0" borderId="167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3" fontId="1" fillId="3" borderId="75" xfId="0" applyNumberFormat="1" applyFont="1" applyFill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115" xfId="0" applyNumberFormat="1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3" fontId="0" fillId="3" borderId="75" xfId="0" applyNumberFormat="1" applyFont="1" applyFill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3" fontId="0" fillId="0" borderId="8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1" fillId="0" borderId="58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3" fontId="9" fillId="0" borderId="69" xfId="0" applyNumberFormat="1" applyFont="1" applyFill="1" applyBorder="1" applyAlignment="1">
      <alignment/>
    </xf>
    <xf numFmtId="3" fontId="9" fillId="0" borderId="118" xfId="0" applyNumberFormat="1" applyFont="1" applyFill="1" applyBorder="1" applyAlignment="1">
      <alignment/>
    </xf>
    <xf numFmtId="3" fontId="9" fillId="0" borderId="119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5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5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5" xfId="0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8" xfId="0" applyBorder="1" applyAlignment="1">
      <alignment horizontal="center"/>
    </xf>
    <xf numFmtId="0" fontId="36" fillId="0" borderId="67" xfId="0" applyFont="1" applyBorder="1" applyAlignment="1">
      <alignment horizontal="left" vertical="top" wrapText="1"/>
    </xf>
    <xf numFmtId="0" fontId="36" fillId="0" borderId="55" xfId="0" applyFont="1" applyBorder="1" applyAlignment="1">
      <alignment horizontal="left" vertical="top" wrapText="1"/>
    </xf>
    <xf numFmtId="0" fontId="36" fillId="0" borderId="70" xfId="0" applyFont="1" applyBorder="1" applyAlignment="1">
      <alignment horizontal="left" vertical="top" wrapText="1"/>
    </xf>
    <xf numFmtId="0" fontId="59" fillId="0" borderId="24" xfId="22" applyFont="1" applyBorder="1" applyAlignment="1">
      <alignment horizontal="center"/>
      <protection/>
    </xf>
    <xf numFmtId="0" fontId="59" fillId="0" borderId="26" xfId="22" applyFont="1" applyBorder="1" applyAlignment="1">
      <alignment horizontal="center"/>
      <protection/>
    </xf>
    <xf numFmtId="0" fontId="59" fillId="0" borderId="165" xfId="22" applyFont="1" applyBorder="1" applyAlignment="1">
      <alignment horizontal="center"/>
      <protection/>
    </xf>
    <xf numFmtId="0" fontId="59" fillId="0" borderId="27" xfId="22" applyFont="1" applyFill="1" applyBorder="1" applyAlignment="1">
      <alignment horizontal="center"/>
      <protection/>
    </xf>
    <xf numFmtId="0" fontId="59" fillId="0" borderId="26" xfId="22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návrh CP k 23.11.03" xfId="20"/>
    <cellStyle name="normální_Normativ A,výpočet IV,16.1.03" xfId="21"/>
    <cellStyle name="normální_odpisy 04az05_240106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DD0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B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Nominální odvod fakult v letech 2002-2004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str4!$C$7</c:f>
              <c:strCache>
                <c:ptCount val="1"/>
                <c:pt idx="0">
                  <c:v>Odvod 2002</c:v>
                </c:pt>
              </c:strCache>
            </c:strRef>
          </c:tx>
          <c:spPr>
            <a:solidFill>
              <a:srgbClr val="F3DD0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F3DD0D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str4!$B$8:$B$16</c:f>
            </c:strRef>
          </c:cat>
          <c:val>
            <c:numRef>
              <c:f>str4!$C$8:$C$16</c:f>
            </c:numRef>
          </c:val>
        </c:ser>
        <c:ser>
          <c:idx val="1"/>
          <c:order val="1"/>
          <c:tx>
            <c:strRef>
              <c:f>str4!$D$7</c:f>
              <c:strCache>
                <c:ptCount val="1"/>
                <c:pt idx="0">
                  <c:v>Odvod 2003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str4!$B$8:$B$16</c:f>
            </c:strRef>
          </c:cat>
          <c:val>
            <c:numRef>
              <c:f>str4!$D$8:$D$16</c:f>
            </c:numRef>
          </c:val>
        </c:ser>
        <c:ser>
          <c:idx val="2"/>
          <c:order val="2"/>
          <c:tx>
            <c:strRef>
              <c:f>str4!$E$7</c:f>
              <c:strCache>
                <c:ptCount val="1"/>
                <c:pt idx="0">
                  <c:v>Odvod 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str4!$B$8:$B$16</c:f>
            </c:strRef>
          </c:cat>
          <c:val>
            <c:numRef>
              <c:f>str4!$E$8:$E$16</c:f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Procentní odvod fakult v letech 2002-2004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str4!$C$23</c:f>
              <c:strCache>
                <c:ptCount val="1"/>
                <c:pt idx="0">
                  <c:v>Odvod 2002</c:v>
                </c:pt>
              </c:strCache>
            </c:strRef>
          </c:tx>
          <c:spPr>
            <a:solidFill>
              <a:srgbClr val="F3DD0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F3DD0D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str4!$B$25:$B$34</c:f>
            </c:strRef>
          </c:cat>
          <c:val>
            <c:numRef>
              <c:f>str4!$C$25:$C$34</c:f>
            </c:numRef>
          </c:val>
        </c:ser>
        <c:ser>
          <c:idx val="1"/>
          <c:order val="1"/>
          <c:tx>
            <c:strRef>
              <c:f>str4!$D$23</c:f>
              <c:strCache>
                <c:ptCount val="1"/>
                <c:pt idx="0">
                  <c:v>Odvod 2003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str4!$B$25:$B$34</c:f>
            </c:strRef>
          </c:cat>
          <c:val>
            <c:numRef>
              <c:f>str4!$D$25:$D$34</c:f>
            </c:numRef>
          </c:val>
        </c:ser>
        <c:ser>
          <c:idx val="2"/>
          <c:order val="2"/>
          <c:tx>
            <c:strRef>
              <c:f>str4!$E$23</c:f>
              <c:strCache>
                <c:ptCount val="1"/>
                <c:pt idx="0">
                  <c:v>Odvod 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str4!$B$25:$B$34</c:f>
            </c:strRef>
          </c:cat>
          <c:val>
            <c:numRef>
              <c:f>str4!$E$25:$E$34</c:f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Rozdělení dotace na fakulty v letech 2002-2004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str4!$C$39</c:f>
              <c:strCache>
                <c:ptCount val="1"/>
                <c:pt idx="0">
                  <c:v>Rozdělení 2002</c:v>
                </c:pt>
              </c:strCache>
            </c:strRef>
          </c:tx>
          <c:spPr>
            <a:solidFill>
              <a:srgbClr val="F3DD0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F3DD0D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str4!$B$40:$B$48</c:f>
            </c:strRef>
          </c:cat>
          <c:val>
            <c:numRef>
              <c:f>str4!$C$40:$C$48</c:f>
            </c:numRef>
          </c:val>
        </c:ser>
        <c:ser>
          <c:idx val="1"/>
          <c:order val="1"/>
          <c:tx>
            <c:strRef>
              <c:f>str4!$D$39</c:f>
              <c:strCache>
                <c:ptCount val="1"/>
                <c:pt idx="0">
                  <c:v>Rozdělení 2003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str4!$B$40:$B$48</c:f>
            </c:strRef>
          </c:cat>
          <c:val>
            <c:numRef>
              <c:f>str4!$D$40:$D$48</c:f>
            </c:numRef>
          </c:val>
        </c:ser>
        <c:ser>
          <c:idx val="2"/>
          <c:order val="2"/>
          <c:tx>
            <c:strRef>
              <c:f>str4!$E$39</c:f>
              <c:strCache>
                <c:ptCount val="1"/>
                <c:pt idx="0">
                  <c:v>Rozdělení 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str4!$B$40:$B$48</c:f>
            </c:strRef>
          </c:cat>
          <c:val>
            <c:numRef>
              <c:f>str4!$E$40:$E$48</c:f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10</xdr:col>
      <xdr:colOff>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6200775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10</xdr:col>
      <xdr:colOff>0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0" y="3438525"/>
        <a:ext cx="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10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0" y="619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K7" sqref="K7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8" width="11.75390625" style="0" customWidth="1"/>
    <col min="9" max="10" width="12.00390625" style="0" customWidth="1"/>
    <col min="11" max="11" width="10.875" style="0" bestFit="1" customWidth="1"/>
    <col min="12" max="12" width="6.125" style="433" bestFit="1" customWidth="1"/>
    <col min="13" max="13" width="8.875" style="433" customWidth="1"/>
    <col min="14" max="14" width="6.00390625" style="433" bestFit="1" customWidth="1"/>
    <col min="15" max="15" width="8.375" style="0" bestFit="1" customWidth="1"/>
    <col min="16" max="16" width="5.375" style="0" bestFit="1" customWidth="1"/>
    <col min="17" max="18" width="6.00390625" style="0" bestFit="1" customWidth="1"/>
    <col min="19" max="19" width="7.125" style="0" bestFit="1" customWidth="1"/>
  </cols>
  <sheetData>
    <row r="1" spans="1:11" ht="12.75">
      <c r="A1" s="432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>
      <c r="A2" s="932" t="s">
        <v>0</v>
      </c>
      <c r="B2" s="434"/>
      <c r="C2" s="16"/>
      <c r="D2" s="16"/>
      <c r="E2" s="16"/>
      <c r="F2" s="16"/>
      <c r="G2" s="16"/>
      <c r="H2" s="16"/>
      <c r="I2" s="16"/>
      <c r="J2" s="16"/>
      <c r="K2" s="16"/>
    </row>
    <row r="3" spans="1:11" s="17" customFormat="1" ht="16.5" customHeight="1">
      <c r="A3" s="1242" t="s">
        <v>13</v>
      </c>
      <c r="B3" s="1243"/>
      <c r="C3" s="1243"/>
      <c r="D3" s="1243"/>
      <c r="E3" s="18"/>
      <c r="F3" s="18"/>
      <c r="G3" s="18"/>
      <c r="H3" s="18"/>
      <c r="I3" s="18"/>
      <c r="J3" s="18"/>
      <c r="K3" s="18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 t="s">
        <v>439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260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4" s="437" customFormat="1" ht="16.5" thickBot="1">
      <c r="A10" s="12" t="s">
        <v>421</v>
      </c>
      <c r="B10" s="435"/>
      <c r="C10" s="435"/>
      <c r="D10" s="435"/>
      <c r="E10" s="435"/>
      <c r="F10" s="435"/>
      <c r="G10" s="436"/>
      <c r="H10" s="435"/>
      <c r="I10" s="435"/>
      <c r="J10" s="435"/>
      <c r="K10" s="435"/>
      <c r="L10" s="433"/>
      <c r="M10" s="433"/>
      <c r="N10" s="433"/>
    </row>
    <row r="11" spans="1:11" s="437" customFormat="1" ht="12.75">
      <c r="A11" s="438"/>
      <c r="B11" s="439"/>
      <c r="C11" s="440"/>
      <c r="D11" s="441"/>
      <c r="E11" s="442"/>
      <c r="F11" s="443"/>
      <c r="G11" s="444" t="s">
        <v>261</v>
      </c>
      <c r="H11" s="435"/>
      <c r="I11" s="445"/>
      <c r="J11" s="445"/>
      <c r="K11" s="435"/>
    </row>
    <row r="12" spans="1:11" s="437" customFormat="1" ht="13.5" thickBot="1">
      <c r="A12" s="446" t="s">
        <v>244</v>
      </c>
      <c r="B12" s="447" t="s">
        <v>262</v>
      </c>
      <c r="C12" s="448"/>
      <c r="D12" s="449"/>
      <c r="E12" s="450" t="s">
        <v>263</v>
      </c>
      <c r="F12" s="451" t="s">
        <v>264</v>
      </c>
      <c r="G12" s="452" t="s">
        <v>265</v>
      </c>
      <c r="H12" s="435"/>
      <c r="I12" s="445"/>
      <c r="J12" s="445"/>
      <c r="K12" s="435"/>
    </row>
    <row r="13" spans="1:11" s="437" customFormat="1" ht="12.75">
      <c r="A13" s="453">
        <v>1</v>
      </c>
      <c r="B13" s="454" t="s">
        <v>266</v>
      </c>
      <c r="C13" s="455"/>
      <c r="D13" s="456"/>
      <c r="E13" s="457">
        <v>1379533</v>
      </c>
      <c r="F13" s="458">
        <v>1570693</v>
      </c>
      <c r="G13" s="459">
        <f>F13/E13</f>
        <v>1.1385686315586507</v>
      </c>
      <c r="H13" s="435"/>
      <c r="I13" s="460"/>
      <c r="J13" s="460"/>
      <c r="K13" s="435"/>
    </row>
    <row r="14" spans="1:11" s="437" customFormat="1" ht="13.5" thickBot="1">
      <c r="A14" s="461">
        <v>2</v>
      </c>
      <c r="B14" s="462" t="s">
        <v>267</v>
      </c>
      <c r="C14" s="463"/>
      <c r="D14" s="445"/>
      <c r="E14" s="464">
        <v>99469</v>
      </c>
      <c r="F14" s="465">
        <v>112915</v>
      </c>
      <c r="G14" s="466">
        <f>F14/E14</f>
        <v>1.1351777940866</v>
      </c>
      <c r="H14" s="435"/>
      <c r="I14" s="445"/>
      <c r="J14" s="445"/>
      <c r="K14" s="435"/>
    </row>
    <row r="15" spans="1:11" s="437" customFormat="1" ht="13.5" thickBot="1">
      <c r="A15" s="467">
        <v>3</v>
      </c>
      <c r="B15" s="468" t="s">
        <v>268</v>
      </c>
      <c r="C15" s="469"/>
      <c r="D15" s="470"/>
      <c r="E15" s="471">
        <f>SUM(E13:E14)</f>
        <v>1479002</v>
      </c>
      <c r="F15" s="472">
        <f>SUM(F13:F14)</f>
        <v>1683608</v>
      </c>
      <c r="G15" s="473">
        <f>F15/E15</f>
        <v>1.1383405837179394</v>
      </c>
      <c r="H15" s="435"/>
      <c r="I15" s="435"/>
      <c r="J15" s="435"/>
      <c r="K15" s="435"/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6.5" thickBot="1">
      <c r="A19" s="12" t="s">
        <v>422</v>
      </c>
      <c r="B19" s="16"/>
      <c r="C19" s="16"/>
      <c r="D19" s="16"/>
      <c r="E19" s="16"/>
      <c r="F19" s="16"/>
      <c r="G19" s="16"/>
      <c r="H19" s="474"/>
      <c r="I19" s="16"/>
      <c r="J19" s="16"/>
      <c r="K19" s="16"/>
    </row>
    <row r="20" spans="1:11" ht="12.75">
      <c r="A20" s="475" t="s">
        <v>147</v>
      </c>
      <c r="B20" s="476"/>
      <c r="C20" s="477" t="s">
        <v>269</v>
      </c>
      <c r="D20" s="478" t="s">
        <v>269</v>
      </c>
      <c r="E20" s="477" t="s">
        <v>270</v>
      </c>
      <c r="F20" s="479" t="s">
        <v>271</v>
      </c>
      <c r="G20" s="480" t="s">
        <v>148</v>
      </c>
      <c r="H20" s="16"/>
      <c r="I20" s="16"/>
      <c r="J20" s="16"/>
      <c r="K20" s="16"/>
    </row>
    <row r="21" spans="1:11" ht="12.75">
      <c r="A21" s="481"/>
      <c r="B21" s="482"/>
      <c r="C21" s="483" t="s">
        <v>272</v>
      </c>
      <c r="D21" s="484" t="s">
        <v>273</v>
      </c>
      <c r="E21" s="483" t="s">
        <v>274</v>
      </c>
      <c r="F21" s="485" t="s">
        <v>275</v>
      </c>
      <c r="G21" s="486" t="s">
        <v>150</v>
      </c>
      <c r="H21" s="16"/>
      <c r="I21" s="16"/>
      <c r="J21" s="16"/>
      <c r="K21" s="16"/>
    </row>
    <row r="22" spans="1:11" ht="12.75">
      <c r="A22" s="487" t="s">
        <v>152</v>
      </c>
      <c r="B22" s="488"/>
      <c r="C22" s="489">
        <v>0.1</v>
      </c>
      <c r="D22" s="490">
        <v>0.1</v>
      </c>
      <c r="E22" s="489">
        <v>0.8</v>
      </c>
      <c r="F22" s="491">
        <v>1</v>
      </c>
      <c r="G22" s="492"/>
      <c r="H22" s="493"/>
      <c r="I22" s="493"/>
      <c r="J22" s="493"/>
      <c r="K22" s="494"/>
    </row>
    <row r="23" spans="1:11" ht="13.5" thickBot="1">
      <c r="A23" s="495"/>
      <c r="B23" s="496"/>
      <c r="C23" s="497">
        <v>1</v>
      </c>
      <c r="D23" s="498">
        <v>2</v>
      </c>
      <c r="E23" s="497">
        <v>3</v>
      </c>
      <c r="F23" s="499">
        <v>4</v>
      </c>
      <c r="G23" s="500">
        <v>5</v>
      </c>
      <c r="H23" s="501"/>
      <c r="I23" s="501"/>
      <c r="J23" s="501"/>
      <c r="K23" s="502"/>
    </row>
    <row r="24" spans="1:11" ht="12.75">
      <c r="A24" s="503">
        <v>11</v>
      </c>
      <c r="B24" s="504" t="s">
        <v>138</v>
      </c>
      <c r="C24" s="505">
        <v>20.5</v>
      </c>
      <c r="D24" s="506">
        <v>20.45</v>
      </c>
      <c r="E24" s="505">
        <v>19.42</v>
      </c>
      <c r="F24" s="507">
        <v>19.63</v>
      </c>
      <c r="G24" s="508">
        <v>308331</v>
      </c>
      <c r="H24" s="509"/>
      <c r="I24" s="510"/>
      <c r="J24" s="511"/>
      <c r="K24" s="511"/>
    </row>
    <row r="25" spans="1:11" ht="12.75">
      <c r="A25" s="512">
        <v>21</v>
      </c>
      <c r="B25" s="513" t="s">
        <v>139</v>
      </c>
      <c r="C25" s="514">
        <v>16.75</v>
      </c>
      <c r="D25" s="515">
        <v>17.21</v>
      </c>
      <c r="E25" s="514">
        <v>17.23</v>
      </c>
      <c r="F25" s="516">
        <f aca="true" t="shared" si="0" ref="F25:F32">0.1*C25+0.1*D25+0.8*E25</f>
        <v>17.18</v>
      </c>
      <c r="G25" s="517">
        <v>269848</v>
      </c>
      <c r="H25" s="509"/>
      <c r="I25" s="510"/>
      <c r="J25" s="511"/>
      <c r="K25" s="511"/>
    </row>
    <row r="26" spans="1:11" ht="12.75">
      <c r="A26" s="512">
        <v>22</v>
      </c>
      <c r="B26" s="513" t="s">
        <v>140</v>
      </c>
      <c r="C26" s="514">
        <v>7.54</v>
      </c>
      <c r="D26" s="515">
        <v>7.53</v>
      </c>
      <c r="E26" s="514">
        <v>7.58</v>
      </c>
      <c r="F26" s="516">
        <f t="shared" si="0"/>
        <v>7.571</v>
      </c>
      <c r="G26" s="517">
        <v>118918</v>
      </c>
      <c r="H26" s="509"/>
      <c r="I26" s="510"/>
      <c r="J26" s="511"/>
      <c r="K26" s="511"/>
    </row>
    <row r="27" spans="1:11" ht="12.75">
      <c r="A27" s="512">
        <v>23</v>
      </c>
      <c r="B27" s="513" t="s">
        <v>141</v>
      </c>
      <c r="C27" s="514">
        <v>7.08</v>
      </c>
      <c r="D27" s="515">
        <v>6.89</v>
      </c>
      <c r="E27" s="514">
        <v>7.3</v>
      </c>
      <c r="F27" s="516">
        <f t="shared" si="0"/>
        <v>7.237</v>
      </c>
      <c r="G27" s="517">
        <v>113672</v>
      </c>
      <c r="H27" s="509"/>
      <c r="I27" s="510"/>
      <c r="J27" s="511"/>
      <c r="K27" s="511"/>
    </row>
    <row r="28" spans="1:11" ht="12.75">
      <c r="A28" s="512">
        <v>31</v>
      </c>
      <c r="B28" s="513" t="s">
        <v>142</v>
      </c>
      <c r="C28" s="514">
        <v>15.99</v>
      </c>
      <c r="D28" s="515">
        <v>15.72</v>
      </c>
      <c r="E28" s="514">
        <v>16</v>
      </c>
      <c r="F28" s="516">
        <f t="shared" si="0"/>
        <v>15.971</v>
      </c>
      <c r="G28" s="517">
        <v>250858</v>
      </c>
      <c r="H28" s="509"/>
      <c r="I28" s="510"/>
      <c r="J28" s="511"/>
      <c r="K28" s="511"/>
    </row>
    <row r="29" spans="1:11" ht="12.75">
      <c r="A29" s="512">
        <v>33</v>
      </c>
      <c r="B29" s="513" t="s">
        <v>143</v>
      </c>
      <c r="C29" s="514">
        <v>6.93</v>
      </c>
      <c r="D29" s="515">
        <v>6.97</v>
      </c>
      <c r="E29" s="514">
        <v>6.85</v>
      </c>
      <c r="F29" s="516">
        <f t="shared" si="0"/>
        <v>6.870000000000001</v>
      </c>
      <c r="G29" s="517">
        <v>107908</v>
      </c>
      <c r="H29" s="509"/>
      <c r="I29" s="510"/>
      <c r="J29" s="511"/>
      <c r="K29" s="511"/>
    </row>
    <row r="30" spans="1:11" ht="12.75">
      <c r="A30" s="512">
        <v>41</v>
      </c>
      <c r="B30" s="513" t="s">
        <v>144</v>
      </c>
      <c r="C30" s="514">
        <v>13.33</v>
      </c>
      <c r="D30" s="515">
        <v>14.16</v>
      </c>
      <c r="E30" s="514">
        <v>14.22</v>
      </c>
      <c r="F30" s="516">
        <f t="shared" si="0"/>
        <v>14.125000000000002</v>
      </c>
      <c r="G30" s="517">
        <v>221862</v>
      </c>
      <c r="H30" s="509"/>
      <c r="I30" s="510"/>
      <c r="J30" s="511"/>
      <c r="K30" s="511"/>
    </row>
    <row r="31" spans="1:11" ht="12.75">
      <c r="A31" s="512">
        <v>51</v>
      </c>
      <c r="B31" s="513" t="s">
        <v>149</v>
      </c>
      <c r="C31" s="514">
        <v>4.2</v>
      </c>
      <c r="D31" s="515">
        <v>3.41</v>
      </c>
      <c r="E31" s="514">
        <v>3.68</v>
      </c>
      <c r="F31" s="516">
        <f t="shared" si="0"/>
        <v>3.7050000000000005</v>
      </c>
      <c r="G31" s="517">
        <v>58195</v>
      </c>
      <c r="H31" s="509"/>
      <c r="I31" s="510"/>
      <c r="J31" s="511"/>
      <c r="K31" s="511"/>
    </row>
    <row r="32" spans="1:11" ht="13.5" thickBot="1">
      <c r="A32" s="518">
        <v>56</v>
      </c>
      <c r="B32" s="519" t="s">
        <v>145</v>
      </c>
      <c r="C32" s="520">
        <v>7.68</v>
      </c>
      <c r="D32" s="521">
        <v>7.66</v>
      </c>
      <c r="E32" s="520">
        <v>7.72</v>
      </c>
      <c r="F32" s="522">
        <f t="shared" si="0"/>
        <v>7.71</v>
      </c>
      <c r="G32" s="523">
        <v>121101</v>
      </c>
      <c r="H32" s="509"/>
      <c r="I32" s="510"/>
      <c r="J32" s="511"/>
      <c r="K32" s="511"/>
    </row>
    <row r="33" spans="1:11" ht="13.5" thickBot="1">
      <c r="A33" s="524" t="s">
        <v>276</v>
      </c>
      <c r="B33" s="525"/>
      <c r="C33" s="526">
        <f>SUM(C24:C32)</f>
        <v>100</v>
      </c>
      <c r="D33" s="527">
        <f>SUM(D24:D32)</f>
        <v>99.99999999999999</v>
      </c>
      <c r="E33" s="526">
        <f>SUM(E24:E32)</f>
        <v>100</v>
      </c>
      <c r="F33" s="528">
        <f>SUM(F24:F32)</f>
        <v>99.999</v>
      </c>
      <c r="G33" s="529">
        <f>SUM(G24:G32)</f>
        <v>1570693</v>
      </c>
      <c r="H33" s="530"/>
      <c r="I33" s="530"/>
      <c r="J33" s="531"/>
      <c r="K33" s="532"/>
    </row>
    <row r="34" spans="1:11" ht="12.75">
      <c r="A34" s="533"/>
      <c r="B34" s="533"/>
      <c r="C34" s="505"/>
      <c r="D34" s="505"/>
      <c r="E34" s="505"/>
      <c r="F34" s="505"/>
      <c r="G34" s="534"/>
      <c r="H34" s="16"/>
      <c r="I34" s="535"/>
      <c r="J34" s="536"/>
      <c r="K34" s="16"/>
    </row>
    <row r="35" spans="1:11" ht="12.75">
      <c r="A35" s="533"/>
      <c r="B35" s="533"/>
      <c r="C35" s="505"/>
      <c r="D35" s="505"/>
      <c r="E35" s="505"/>
      <c r="F35" s="505"/>
      <c r="G35" s="534"/>
      <c r="H35" s="16"/>
      <c r="I35" s="535"/>
      <c r="J35" s="536"/>
      <c r="K35" s="16"/>
    </row>
    <row r="36" spans="1:11" ht="12.75">
      <c r="A36" s="533"/>
      <c r="B36" s="533"/>
      <c r="C36" s="505"/>
      <c r="D36" s="505"/>
      <c r="E36" s="505"/>
      <c r="F36" s="505"/>
      <c r="G36" s="534"/>
      <c r="H36" s="16"/>
      <c r="I36" s="535"/>
      <c r="J36" s="536"/>
      <c r="K36" s="16"/>
    </row>
    <row r="37" spans="1:11" ht="12.75">
      <c r="A37" s="533"/>
      <c r="B37" s="533"/>
      <c r="C37" s="505"/>
      <c r="D37" s="505"/>
      <c r="E37" s="505"/>
      <c r="F37" s="505"/>
      <c r="G37" s="534"/>
      <c r="H37" s="16"/>
      <c r="I37" s="535"/>
      <c r="J37" s="536"/>
      <c r="K37" s="16"/>
    </row>
    <row r="38" spans="1:11" ht="12.75">
      <c r="A38" s="16"/>
      <c r="B38" s="16"/>
      <c r="C38" s="979"/>
      <c r="D38" s="16"/>
      <c r="E38" s="16"/>
      <c r="F38" s="16"/>
      <c r="G38" s="536"/>
      <c r="H38" s="16"/>
      <c r="I38" s="16"/>
      <c r="J38" s="16"/>
      <c r="K38" s="16"/>
    </row>
    <row r="39" spans="1:11" ht="12.75">
      <c r="A39" s="16"/>
      <c r="B39" s="16"/>
      <c r="C39" s="16"/>
      <c r="D39" s="16"/>
      <c r="E39" s="16"/>
      <c r="F39" s="16"/>
      <c r="G39" s="536"/>
      <c r="H39" s="16"/>
      <c r="I39" s="16"/>
      <c r="J39" s="16"/>
      <c r="K39" s="16"/>
    </row>
    <row r="40" spans="1:11" ht="15.75">
      <c r="A40" s="12" t="s">
        <v>277</v>
      </c>
      <c r="B40" s="16"/>
      <c r="C40" s="16"/>
      <c r="D40" s="16"/>
      <c r="E40" s="16"/>
      <c r="F40" s="16"/>
      <c r="G40" s="16"/>
      <c r="H40" s="474"/>
      <c r="I40" s="16"/>
      <c r="J40" s="16"/>
      <c r="K40" s="16"/>
    </row>
    <row r="41" spans="1:11" ht="13.5" thickBo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4" s="543" customFormat="1" ht="12.75">
      <c r="A42" s="537"/>
      <c r="B42" s="538"/>
      <c r="C42" s="539" t="s">
        <v>278</v>
      </c>
      <c r="D42" s="539" t="s">
        <v>166</v>
      </c>
      <c r="E42" s="540" t="s">
        <v>186</v>
      </c>
      <c r="F42" s="539" t="s">
        <v>186</v>
      </c>
      <c r="G42" s="540" t="s">
        <v>186</v>
      </c>
      <c r="H42" s="539" t="s">
        <v>167</v>
      </c>
      <c r="I42" s="540" t="s">
        <v>167</v>
      </c>
      <c r="J42" s="541" t="s">
        <v>192</v>
      </c>
      <c r="K42" s="542"/>
      <c r="L42" s="433"/>
      <c r="M42" s="433"/>
      <c r="N42" s="433"/>
    </row>
    <row r="43" spans="1:14" s="543" customFormat="1" ht="12.75">
      <c r="A43" s="544" t="s">
        <v>147</v>
      </c>
      <c r="B43" s="545"/>
      <c r="C43" s="546" t="s">
        <v>279</v>
      </c>
      <c r="D43" s="546" t="s">
        <v>185</v>
      </c>
      <c r="E43" s="547" t="s">
        <v>187</v>
      </c>
      <c r="F43" s="546" t="s">
        <v>193</v>
      </c>
      <c r="G43" s="547" t="s">
        <v>188</v>
      </c>
      <c r="H43" s="546" t="s">
        <v>189</v>
      </c>
      <c r="I43" s="547" t="s">
        <v>190</v>
      </c>
      <c r="J43" s="548" t="s">
        <v>191</v>
      </c>
      <c r="K43" s="542"/>
      <c r="L43" s="433"/>
      <c r="M43" s="433"/>
      <c r="N43" s="433"/>
    </row>
    <row r="44" spans="1:14" s="543" customFormat="1" ht="12.75">
      <c r="A44" s="544"/>
      <c r="B44" s="545"/>
      <c r="C44" s="546">
        <v>2005</v>
      </c>
      <c r="D44" s="546">
        <v>2005</v>
      </c>
      <c r="E44" s="546">
        <v>2005</v>
      </c>
      <c r="F44" s="546">
        <v>2005</v>
      </c>
      <c r="G44" s="546">
        <v>2005</v>
      </c>
      <c r="H44" s="546">
        <v>2005</v>
      </c>
      <c r="I44" s="546">
        <v>2005</v>
      </c>
      <c r="J44" s="548" t="s">
        <v>175</v>
      </c>
      <c r="K44" s="542"/>
      <c r="L44" s="433"/>
      <c r="M44" s="433"/>
      <c r="N44" s="433"/>
    </row>
    <row r="45" spans="1:14" s="543" customFormat="1" ht="12.75">
      <c r="A45" s="549"/>
      <c r="B45" s="550"/>
      <c r="C45" s="551" t="s">
        <v>173</v>
      </c>
      <c r="D45" s="551" t="s">
        <v>174</v>
      </c>
      <c r="E45" s="550"/>
      <c r="F45" s="551"/>
      <c r="G45" s="550"/>
      <c r="H45" s="551"/>
      <c r="I45" s="550"/>
      <c r="J45" s="552"/>
      <c r="K45" s="542"/>
      <c r="L45" s="433"/>
      <c r="M45" s="433"/>
      <c r="N45" s="433"/>
    </row>
    <row r="46" spans="1:14" s="543" customFormat="1" ht="12.75">
      <c r="A46" s="553" t="s">
        <v>152</v>
      </c>
      <c r="B46" s="554"/>
      <c r="C46" s="546">
        <v>1</v>
      </c>
      <c r="D46" s="546">
        <v>0.68</v>
      </c>
      <c r="E46" s="547">
        <v>0.666</v>
      </c>
      <c r="F46" s="546">
        <v>0.334</v>
      </c>
      <c r="G46" s="547">
        <v>0.175</v>
      </c>
      <c r="H46" s="546">
        <v>0.025</v>
      </c>
      <c r="I46" s="547">
        <v>0.975</v>
      </c>
      <c r="J46" s="548"/>
      <c r="K46" s="542"/>
      <c r="L46" s="433"/>
      <c r="M46" s="433"/>
      <c r="N46" s="433"/>
    </row>
    <row r="47" spans="1:14" s="543" customFormat="1" ht="12.75">
      <c r="A47" s="555"/>
      <c r="B47" s="556"/>
      <c r="C47" s="557" t="s">
        <v>176</v>
      </c>
      <c r="D47" s="557" t="s">
        <v>280</v>
      </c>
      <c r="E47" s="556" t="s">
        <v>137</v>
      </c>
      <c r="F47" s="557" t="s">
        <v>136</v>
      </c>
      <c r="G47" s="556" t="s">
        <v>177</v>
      </c>
      <c r="H47" s="557" t="s">
        <v>178</v>
      </c>
      <c r="I47" s="556" t="s">
        <v>179</v>
      </c>
      <c r="J47" s="558" t="s">
        <v>180</v>
      </c>
      <c r="K47" s="542"/>
      <c r="L47" s="433"/>
      <c r="M47" s="433"/>
      <c r="N47" s="433"/>
    </row>
    <row r="48" spans="1:14" s="543" customFormat="1" ht="12.75">
      <c r="A48" s="559">
        <v>11</v>
      </c>
      <c r="B48" s="560" t="s">
        <v>138</v>
      </c>
      <c r="C48" s="561">
        <v>22281</v>
      </c>
      <c r="D48" s="561">
        <v>91421</v>
      </c>
      <c r="E48" s="562">
        <v>61.71</v>
      </c>
      <c r="F48" s="562">
        <v>61.42</v>
      </c>
      <c r="G48" s="562">
        <v>279.42</v>
      </c>
      <c r="H48" s="562">
        <v>252</v>
      </c>
      <c r="I48" s="562">
        <v>719</v>
      </c>
      <c r="J48" s="563">
        <v>1</v>
      </c>
      <c r="K48" s="542"/>
      <c r="L48" s="433"/>
      <c r="M48" s="433"/>
      <c r="N48" s="433"/>
    </row>
    <row r="49" spans="1:14" s="543" customFormat="1" ht="12.75">
      <c r="A49" s="564">
        <v>21</v>
      </c>
      <c r="B49" s="565" t="s">
        <v>139</v>
      </c>
      <c r="C49" s="566">
        <v>11509</v>
      </c>
      <c r="D49" s="566">
        <v>43093</v>
      </c>
      <c r="E49" s="567">
        <v>27.16</v>
      </c>
      <c r="F49" s="567">
        <v>35.76</v>
      </c>
      <c r="G49" s="567">
        <v>205.28</v>
      </c>
      <c r="H49" s="567">
        <v>355</v>
      </c>
      <c r="I49" s="567">
        <v>665</v>
      </c>
      <c r="J49" s="568">
        <v>1</v>
      </c>
      <c r="K49" s="542"/>
      <c r="L49" s="433"/>
      <c r="M49" s="433"/>
      <c r="N49" s="433"/>
    </row>
    <row r="50" spans="1:14" s="543" customFormat="1" ht="12.75">
      <c r="A50" s="564">
        <v>22</v>
      </c>
      <c r="B50" s="565" t="s">
        <v>140</v>
      </c>
      <c r="C50" s="566">
        <v>666</v>
      </c>
      <c r="D50" s="566">
        <v>6721</v>
      </c>
      <c r="E50" s="567">
        <v>9.51</v>
      </c>
      <c r="F50" s="567">
        <v>21.44</v>
      </c>
      <c r="G50" s="567">
        <v>73.73</v>
      </c>
      <c r="H50" s="567">
        <v>382</v>
      </c>
      <c r="I50" s="567">
        <v>126</v>
      </c>
      <c r="J50" s="568">
        <v>1</v>
      </c>
      <c r="K50" s="542"/>
      <c r="L50" s="433"/>
      <c r="M50" s="433"/>
      <c r="N50" s="433"/>
    </row>
    <row r="51" spans="1:14" s="543" customFormat="1" ht="12.75">
      <c r="A51" s="564">
        <v>23</v>
      </c>
      <c r="B51" s="565" t="s">
        <v>141</v>
      </c>
      <c r="C51" s="566">
        <v>9211</v>
      </c>
      <c r="D51" s="566">
        <v>36487</v>
      </c>
      <c r="E51" s="567">
        <v>9.14</v>
      </c>
      <c r="F51" s="567">
        <v>8.5</v>
      </c>
      <c r="G51" s="567">
        <v>70.12</v>
      </c>
      <c r="H51" s="567">
        <v>166</v>
      </c>
      <c r="I51" s="567">
        <v>282</v>
      </c>
      <c r="J51" s="568">
        <v>1</v>
      </c>
      <c r="K51" s="542"/>
      <c r="L51" s="433"/>
      <c r="M51" s="433"/>
      <c r="N51" s="433"/>
    </row>
    <row r="52" spans="1:14" s="543" customFormat="1" ht="12.75">
      <c r="A52" s="564">
        <v>31</v>
      </c>
      <c r="B52" s="565" t="s">
        <v>142</v>
      </c>
      <c r="C52" s="566">
        <v>43916</v>
      </c>
      <c r="D52" s="566">
        <v>270756</v>
      </c>
      <c r="E52" s="567">
        <v>47.87</v>
      </c>
      <c r="F52" s="567">
        <v>81.02</v>
      </c>
      <c r="G52" s="567">
        <v>240.195</v>
      </c>
      <c r="H52" s="567">
        <v>247</v>
      </c>
      <c r="I52" s="567">
        <v>712</v>
      </c>
      <c r="J52" s="568">
        <v>1</v>
      </c>
      <c r="K52" s="542"/>
      <c r="L52" s="433"/>
      <c r="M52" s="433"/>
      <c r="N52" s="433"/>
    </row>
    <row r="53" spans="1:14" s="543" customFormat="1" ht="12.75">
      <c r="A53" s="564">
        <v>33</v>
      </c>
      <c r="B53" s="565" t="s">
        <v>143</v>
      </c>
      <c r="C53" s="566">
        <v>6684</v>
      </c>
      <c r="D53" s="566">
        <v>33248</v>
      </c>
      <c r="E53" s="567">
        <v>6.49</v>
      </c>
      <c r="F53" s="567">
        <v>13.64</v>
      </c>
      <c r="G53" s="567">
        <v>51.6</v>
      </c>
      <c r="H53" s="567">
        <v>126</v>
      </c>
      <c r="I53" s="567">
        <v>77</v>
      </c>
      <c r="J53" s="568">
        <v>1</v>
      </c>
      <c r="K53" s="542"/>
      <c r="L53" s="433"/>
      <c r="M53" s="433"/>
      <c r="N53" s="433"/>
    </row>
    <row r="54" spans="1:14" s="543" customFormat="1" ht="12.75">
      <c r="A54" s="564">
        <v>41</v>
      </c>
      <c r="B54" s="565" t="s">
        <v>144</v>
      </c>
      <c r="C54" s="566">
        <v>1780</v>
      </c>
      <c r="D54" s="566">
        <v>13576</v>
      </c>
      <c r="E54" s="567">
        <v>9.48</v>
      </c>
      <c r="F54" s="567">
        <v>48.19</v>
      </c>
      <c r="G54" s="567">
        <v>194.17</v>
      </c>
      <c r="H54" s="567">
        <v>735</v>
      </c>
      <c r="I54" s="567">
        <v>168</v>
      </c>
      <c r="J54" s="568">
        <v>1</v>
      </c>
      <c r="K54" s="542"/>
      <c r="L54" s="433"/>
      <c r="M54" s="433"/>
      <c r="N54" s="433"/>
    </row>
    <row r="55" spans="1:14" s="543" customFormat="1" ht="12.75">
      <c r="A55" s="564">
        <v>51</v>
      </c>
      <c r="B55" s="565" t="s">
        <v>149</v>
      </c>
      <c r="C55" s="566">
        <v>249</v>
      </c>
      <c r="D55" s="566">
        <v>417</v>
      </c>
      <c r="E55" s="567">
        <v>1.91</v>
      </c>
      <c r="F55" s="567">
        <v>9.25</v>
      </c>
      <c r="G55" s="567">
        <v>72.02</v>
      </c>
      <c r="H55" s="567">
        <v>61</v>
      </c>
      <c r="I55" s="567">
        <v>84</v>
      </c>
      <c r="J55" s="568">
        <v>1</v>
      </c>
      <c r="K55" s="542"/>
      <c r="L55" s="433"/>
      <c r="M55" s="433"/>
      <c r="N55" s="433"/>
    </row>
    <row r="56" spans="1:14" s="543" customFormat="1" ht="13.5" thickBot="1">
      <c r="A56" s="569">
        <v>56</v>
      </c>
      <c r="B56" s="570" t="s">
        <v>145</v>
      </c>
      <c r="C56" s="571">
        <v>3173</v>
      </c>
      <c r="D56" s="571">
        <v>21067</v>
      </c>
      <c r="E56" s="572">
        <v>9.16</v>
      </c>
      <c r="F56" s="572">
        <v>15.94</v>
      </c>
      <c r="G56" s="572">
        <v>85.35</v>
      </c>
      <c r="H56" s="572">
        <v>266</v>
      </c>
      <c r="I56" s="572">
        <v>187</v>
      </c>
      <c r="J56" s="573">
        <v>1</v>
      </c>
      <c r="K56" s="542"/>
      <c r="L56" s="433"/>
      <c r="M56" s="433"/>
      <c r="N56" s="433"/>
    </row>
    <row r="57" spans="1:11" ht="13.5" thickBot="1">
      <c r="A57" s="574" t="s">
        <v>146</v>
      </c>
      <c r="B57" s="575"/>
      <c r="C57" s="576">
        <f aca="true" t="shared" si="1" ref="C57:I57">SUM(C48:C56)</f>
        <v>99469</v>
      </c>
      <c r="D57" s="576">
        <f t="shared" si="1"/>
        <v>516786</v>
      </c>
      <c r="E57" s="577">
        <f t="shared" si="1"/>
        <v>182.43</v>
      </c>
      <c r="F57" s="578">
        <f t="shared" si="1"/>
        <v>295.15999999999997</v>
      </c>
      <c r="G57" s="577">
        <f t="shared" si="1"/>
        <v>1271.885</v>
      </c>
      <c r="H57" s="576">
        <f t="shared" si="1"/>
        <v>2590</v>
      </c>
      <c r="I57" s="579">
        <f t="shared" si="1"/>
        <v>3020</v>
      </c>
      <c r="J57" s="580"/>
      <c r="K57" s="16"/>
    </row>
    <row r="58" spans="1:11" ht="13.5" thickBo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4" ht="12.75">
      <c r="A59" s="475" t="s">
        <v>147</v>
      </c>
      <c r="B59" s="581"/>
      <c r="C59" s="582"/>
      <c r="D59" s="581"/>
      <c r="E59" s="582"/>
      <c r="F59" s="581"/>
      <c r="G59" s="582"/>
      <c r="H59" s="581"/>
      <c r="I59" s="582"/>
      <c r="J59" s="477" t="s">
        <v>155</v>
      </c>
      <c r="K59" s="950" t="s">
        <v>281</v>
      </c>
      <c r="L59" s="583"/>
      <c r="M59" s="584"/>
      <c r="N59" s="584"/>
    </row>
    <row r="60" spans="1:13" ht="13.5" thickBot="1">
      <c r="A60" s="585"/>
      <c r="B60" s="586"/>
      <c r="C60" s="587" t="s">
        <v>158</v>
      </c>
      <c r="D60" s="588" t="s">
        <v>181</v>
      </c>
      <c r="E60" s="587" t="s">
        <v>157</v>
      </c>
      <c r="F60" s="588" t="s">
        <v>182</v>
      </c>
      <c r="G60" s="587" t="s">
        <v>183</v>
      </c>
      <c r="H60" s="588" t="s">
        <v>282</v>
      </c>
      <c r="I60" s="587" t="s">
        <v>184</v>
      </c>
      <c r="J60" s="589" t="s">
        <v>283</v>
      </c>
      <c r="K60" s="951" t="s">
        <v>284</v>
      </c>
      <c r="L60" s="583"/>
      <c r="M60" s="583"/>
    </row>
    <row r="61" spans="1:13" ht="12.75">
      <c r="A61" s="503">
        <v>11</v>
      </c>
      <c r="B61" s="504" t="s">
        <v>138</v>
      </c>
      <c r="C61" s="590">
        <v>0.0972972972972973</v>
      </c>
      <c r="D61" s="590">
        <v>0.2380794701986755</v>
      </c>
      <c r="E61" s="591">
        <v>1.2743230264615792</v>
      </c>
      <c r="F61" s="942">
        <v>0.17690301207850057</v>
      </c>
      <c r="G61" s="947">
        <v>0.21286419216840277</v>
      </c>
      <c r="H61" s="545">
        <v>0.20332821297190165</v>
      </c>
      <c r="I61" s="592">
        <v>0.22399943701052588</v>
      </c>
      <c r="J61" s="591">
        <v>0.21366382499121378</v>
      </c>
      <c r="K61" s="952">
        <v>24126</v>
      </c>
      <c r="L61" s="583"/>
      <c r="M61" s="593"/>
    </row>
    <row r="62" spans="1:13" ht="12.75">
      <c r="A62" s="512">
        <v>21</v>
      </c>
      <c r="B62" s="513" t="s">
        <v>139</v>
      </c>
      <c r="C62" s="594">
        <v>0.13706563706563707</v>
      </c>
      <c r="D62" s="594">
        <v>0.22019867549668873</v>
      </c>
      <c r="E62" s="595">
        <v>0.8454872781646194</v>
      </c>
      <c r="F62" s="943">
        <v>0.08338654684917936</v>
      </c>
      <c r="G62" s="948">
        <v>0.12237115580630334</v>
      </c>
      <c r="H62" s="596">
        <v>0.1168891215377237</v>
      </c>
      <c r="I62" s="597">
        <v>0.11570439031255969</v>
      </c>
      <c r="J62" s="595">
        <v>0.11629675592514169</v>
      </c>
      <c r="K62" s="953">
        <v>13132</v>
      </c>
      <c r="L62" s="583"/>
      <c r="M62" s="593"/>
    </row>
    <row r="63" spans="1:13" ht="12.75">
      <c r="A63" s="512">
        <v>22</v>
      </c>
      <c r="B63" s="513" t="s">
        <v>140</v>
      </c>
      <c r="C63" s="594">
        <v>0.14749034749034748</v>
      </c>
      <c r="D63" s="594">
        <v>0.041721854304635764</v>
      </c>
      <c r="E63" s="595">
        <v>1.057742859769825</v>
      </c>
      <c r="F63" s="943">
        <v>0.013005383272766678</v>
      </c>
      <c r="G63" s="948">
        <v>0.02300331763185541</v>
      </c>
      <c r="H63" s="596">
        <v>0.02197280537822874</v>
      </c>
      <c r="I63" s="597">
        <v>0.0066955533884928975</v>
      </c>
      <c r="J63" s="595">
        <v>0.01433417938336082</v>
      </c>
      <c r="K63" s="953">
        <v>1619</v>
      </c>
      <c r="L63" s="583"/>
      <c r="M63" s="593"/>
    </row>
    <row r="64" spans="1:13" ht="12.75">
      <c r="A64" s="512">
        <v>23</v>
      </c>
      <c r="B64" s="513" t="s">
        <v>141</v>
      </c>
      <c r="C64" s="594">
        <v>0.06409266409266409</v>
      </c>
      <c r="D64" s="594">
        <v>0.09337748344370861</v>
      </c>
      <c r="E64" s="595">
        <v>0.7356823362653517</v>
      </c>
      <c r="F64" s="943">
        <v>0.07060369282449602</v>
      </c>
      <c r="G64" s="948">
        <v>0.0864925607395932</v>
      </c>
      <c r="H64" s="596">
        <v>0.08261783079341063</v>
      </c>
      <c r="I64" s="597">
        <v>0.09260171510721933</v>
      </c>
      <c r="J64" s="595">
        <v>0.08760977295031498</v>
      </c>
      <c r="K64" s="953">
        <v>9892</v>
      </c>
      <c r="L64" s="583"/>
      <c r="M64" s="593"/>
    </row>
    <row r="65" spans="1:13" ht="12.75">
      <c r="A65" s="512">
        <v>31</v>
      </c>
      <c r="B65" s="513" t="s">
        <v>142</v>
      </c>
      <c r="C65" s="594">
        <v>0.09536679536679536</v>
      </c>
      <c r="D65" s="594">
        <v>0.23576158940397351</v>
      </c>
      <c r="E65" s="595">
        <v>1.4181602845797303</v>
      </c>
      <c r="F65" s="943">
        <v>0.5239228616874296</v>
      </c>
      <c r="G65" s="948">
        <v>0.44690125598907143</v>
      </c>
      <c r="H65" s="596">
        <v>0.4268807864277536</v>
      </c>
      <c r="I65" s="597">
        <v>0.441504388301883</v>
      </c>
      <c r="J65" s="595">
        <v>0.4341925873648183</v>
      </c>
      <c r="K65" s="953">
        <v>49027</v>
      </c>
      <c r="L65" s="583"/>
      <c r="M65" s="593"/>
    </row>
    <row r="66" spans="1:13" ht="12.75">
      <c r="A66" s="512">
        <v>33</v>
      </c>
      <c r="B66" s="513" t="s">
        <v>143</v>
      </c>
      <c r="C66" s="594">
        <v>0.04864864864864865</v>
      </c>
      <c r="D66" s="594">
        <v>0.025496688741721854</v>
      </c>
      <c r="E66" s="595">
        <v>0.9943379326330304</v>
      </c>
      <c r="F66" s="943">
        <v>0.06433610817630508</v>
      </c>
      <c r="G66" s="948">
        <v>0.05908762352402224</v>
      </c>
      <c r="H66" s="596">
        <v>0.056440591428318705</v>
      </c>
      <c r="I66" s="597">
        <v>0.06719681508811791</v>
      </c>
      <c r="J66" s="595">
        <v>0.06181870325821831</v>
      </c>
      <c r="K66" s="953">
        <v>6980</v>
      </c>
      <c r="L66" s="583"/>
      <c r="M66" s="593"/>
    </row>
    <row r="67" spans="1:13" ht="12.75">
      <c r="A67" s="512">
        <v>41</v>
      </c>
      <c r="B67" s="513" t="s">
        <v>144</v>
      </c>
      <c r="C67" s="594">
        <v>0.28378378378378377</v>
      </c>
      <c r="D67" s="594">
        <v>0.05562913907284768</v>
      </c>
      <c r="E67" s="595">
        <v>0.6669706693980711</v>
      </c>
      <c r="F67" s="943">
        <v>0.026270061495473947</v>
      </c>
      <c r="G67" s="948">
        <v>0.0393853581098979</v>
      </c>
      <c r="H67" s="596">
        <v>0.037620956348583326</v>
      </c>
      <c r="I67" s="597">
        <v>0.017895022569845882</v>
      </c>
      <c r="J67" s="595">
        <v>0.027757989459214604</v>
      </c>
      <c r="K67" s="953">
        <v>3134</v>
      </c>
      <c r="L67" s="583"/>
      <c r="M67" s="593"/>
    </row>
    <row r="68" spans="1:13" ht="12.75">
      <c r="A68" s="512">
        <v>51</v>
      </c>
      <c r="B68" s="513" t="s">
        <v>149</v>
      </c>
      <c r="C68" s="594">
        <v>0.023552123552123553</v>
      </c>
      <c r="D68" s="594">
        <v>0.02781456953642384</v>
      </c>
      <c r="E68" s="595">
        <v>0.3499874011070914</v>
      </c>
      <c r="F68" s="943">
        <v>0.0008069104039196109</v>
      </c>
      <c r="G68" s="948">
        <v>0.00288373900198757</v>
      </c>
      <c r="H68" s="596">
        <v>0.0027545520548972065</v>
      </c>
      <c r="I68" s="597">
        <v>0.0025032924830851824</v>
      </c>
      <c r="J68" s="595">
        <v>0.0026289222689911945</v>
      </c>
      <c r="K68" s="953">
        <v>297</v>
      </c>
      <c r="L68" s="583"/>
      <c r="M68" s="593"/>
    </row>
    <row r="69" spans="1:13" ht="13.5" thickBot="1">
      <c r="A69" s="518">
        <v>56</v>
      </c>
      <c r="B69" s="519" t="s">
        <v>145</v>
      </c>
      <c r="C69" s="598">
        <v>0.10270270270270271</v>
      </c>
      <c r="D69" s="598">
        <v>0.0619205298013245</v>
      </c>
      <c r="E69" s="599">
        <v>0.7735673184706255</v>
      </c>
      <c r="F69" s="944">
        <v>0.040765423211929115</v>
      </c>
      <c r="G69" s="949">
        <v>0.053910236398939805</v>
      </c>
      <c r="H69" s="600">
        <v>0.05149514305918241</v>
      </c>
      <c r="I69" s="601">
        <v>0.03189938573827022</v>
      </c>
      <c r="J69" s="599">
        <v>0.041697264398726314</v>
      </c>
      <c r="K69" s="954">
        <v>4708</v>
      </c>
      <c r="L69" s="583"/>
      <c r="M69" s="593"/>
    </row>
    <row r="70" spans="1:14" s="437" customFormat="1" ht="13.5" thickBot="1">
      <c r="A70" s="574" t="s">
        <v>146</v>
      </c>
      <c r="B70" s="602"/>
      <c r="C70" s="603">
        <f>SUM(C61:C69)</f>
        <v>1</v>
      </c>
      <c r="D70" s="603">
        <f>SUM(D61:D69)</f>
        <v>1</v>
      </c>
      <c r="E70" s="603"/>
      <c r="F70" s="945">
        <f aca="true" t="shared" si="2" ref="F70:K70">SUM(F61:F69)</f>
        <v>1</v>
      </c>
      <c r="G70" s="603">
        <f t="shared" si="2"/>
        <v>1.0468994393700737</v>
      </c>
      <c r="H70" s="946">
        <f t="shared" si="2"/>
        <v>1</v>
      </c>
      <c r="I70" s="603">
        <f t="shared" si="2"/>
        <v>1</v>
      </c>
      <c r="J70" s="945">
        <f t="shared" si="2"/>
        <v>0.9999999999999999</v>
      </c>
      <c r="K70" s="471">
        <f t="shared" si="2"/>
        <v>112915</v>
      </c>
      <c r="L70" s="604"/>
      <c r="M70" s="605"/>
      <c r="N70" s="606"/>
    </row>
    <row r="71" spans="1:11" ht="12.75">
      <c r="A71" s="607"/>
      <c r="B71" s="607"/>
      <c r="C71" s="608"/>
      <c r="D71" s="608"/>
      <c r="E71" s="608"/>
      <c r="F71" s="608"/>
      <c r="G71" s="608"/>
      <c r="H71" s="608"/>
      <c r="I71" s="608"/>
      <c r="J71" s="608"/>
      <c r="K71" s="534"/>
    </row>
    <row r="72" spans="1:11" ht="16.5" thickBot="1">
      <c r="A72" s="12" t="s">
        <v>285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475"/>
      <c r="B73" s="581"/>
      <c r="C73" s="1236" t="s">
        <v>286</v>
      </c>
      <c r="D73" s="1237"/>
      <c r="E73" s="1238"/>
      <c r="F73" s="1239" t="s">
        <v>287</v>
      </c>
      <c r="G73" s="1240"/>
      <c r="H73" s="1241"/>
      <c r="I73" s="16"/>
      <c r="J73" s="16"/>
      <c r="K73" s="16"/>
    </row>
    <row r="74" spans="1:11" ht="13.5" thickBot="1">
      <c r="A74" s="585" t="s">
        <v>147</v>
      </c>
      <c r="B74" s="586"/>
      <c r="C74" s="609" t="s">
        <v>423</v>
      </c>
      <c r="D74" s="610" t="s">
        <v>288</v>
      </c>
      <c r="E74" s="611" t="s">
        <v>150</v>
      </c>
      <c r="F74" s="612" t="s">
        <v>423</v>
      </c>
      <c r="G74" s="613" t="s">
        <v>288</v>
      </c>
      <c r="H74" s="614" t="s">
        <v>150</v>
      </c>
      <c r="I74" s="16"/>
      <c r="J74" s="16"/>
      <c r="K74" s="16"/>
    </row>
    <row r="75" spans="1:11" ht="12.75">
      <c r="A75" s="503">
        <v>11</v>
      </c>
      <c r="B75" s="615" t="s">
        <v>138</v>
      </c>
      <c r="C75" s="616">
        <f aca="true" t="shared" si="3" ref="C75:C83">G24</f>
        <v>308331</v>
      </c>
      <c r="D75" s="617">
        <f aca="true" t="shared" si="4" ref="D75:D83">K61</f>
        <v>24126</v>
      </c>
      <c r="E75" s="618">
        <f aca="true" t="shared" si="5" ref="E75:E84">SUM(C75:D75)</f>
        <v>332457</v>
      </c>
      <c r="F75" s="616">
        <v>275079</v>
      </c>
      <c r="G75" s="617">
        <v>22281</v>
      </c>
      <c r="H75" s="618">
        <f>SUM(F75:G75)</f>
        <v>297360</v>
      </c>
      <c r="I75" s="16"/>
      <c r="J75" s="16"/>
      <c r="K75" s="16"/>
    </row>
    <row r="76" spans="1:11" ht="12.75">
      <c r="A76" s="512">
        <v>21</v>
      </c>
      <c r="B76" s="619" t="s">
        <v>139</v>
      </c>
      <c r="C76" s="620">
        <f t="shared" si="3"/>
        <v>269848</v>
      </c>
      <c r="D76" s="621">
        <f t="shared" si="4"/>
        <v>13132</v>
      </c>
      <c r="E76" s="622">
        <f t="shared" si="5"/>
        <v>282980</v>
      </c>
      <c r="F76" s="620">
        <v>221953</v>
      </c>
      <c r="G76" s="621">
        <v>11509</v>
      </c>
      <c r="H76" s="622">
        <f aca="true" t="shared" si="6" ref="H76:H83">SUM(F76:G76)</f>
        <v>233462</v>
      </c>
      <c r="I76" s="16"/>
      <c r="J76" s="16"/>
      <c r="K76" s="16"/>
    </row>
    <row r="77" spans="1:11" ht="12.75">
      <c r="A77" s="512">
        <v>22</v>
      </c>
      <c r="B77" s="619" t="s">
        <v>140</v>
      </c>
      <c r="C77" s="620">
        <f t="shared" si="3"/>
        <v>118918</v>
      </c>
      <c r="D77" s="621">
        <f t="shared" si="4"/>
        <v>1619</v>
      </c>
      <c r="E77" s="622">
        <f t="shared" si="5"/>
        <v>120537</v>
      </c>
      <c r="F77" s="620">
        <v>104596</v>
      </c>
      <c r="G77" s="621">
        <v>666</v>
      </c>
      <c r="H77" s="622">
        <f t="shared" si="6"/>
        <v>105262</v>
      </c>
      <c r="I77" s="16"/>
      <c r="J77" s="16"/>
      <c r="K77" s="16"/>
    </row>
    <row r="78" spans="1:11" ht="12.75">
      <c r="A78" s="512">
        <v>23</v>
      </c>
      <c r="B78" s="619" t="s">
        <v>141</v>
      </c>
      <c r="C78" s="620">
        <f t="shared" si="3"/>
        <v>113672</v>
      </c>
      <c r="D78" s="621">
        <f t="shared" si="4"/>
        <v>9892</v>
      </c>
      <c r="E78" s="622">
        <f t="shared" si="5"/>
        <v>123564</v>
      </c>
      <c r="F78" s="620">
        <v>87228</v>
      </c>
      <c r="G78" s="621">
        <v>9211</v>
      </c>
      <c r="H78" s="622">
        <f t="shared" si="6"/>
        <v>96439</v>
      </c>
      <c r="I78" s="16"/>
      <c r="J78" s="16"/>
      <c r="K78" s="16"/>
    </row>
    <row r="79" spans="1:11" ht="12.75">
      <c r="A79" s="512">
        <v>31</v>
      </c>
      <c r="B79" s="619" t="s">
        <v>142</v>
      </c>
      <c r="C79" s="620">
        <f t="shared" si="3"/>
        <v>250858</v>
      </c>
      <c r="D79" s="621">
        <f t="shared" si="4"/>
        <v>49027</v>
      </c>
      <c r="E79" s="622">
        <f t="shared" si="5"/>
        <v>299885</v>
      </c>
      <c r="F79" s="620">
        <v>214628</v>
      </c>
      <c r="G79" s="621">
        <v>43916</v>
      </c>
      <c r="H79" s="622">
        <f t="shared" si="6"/>
        <v>258544</v>
      </c>
      <c r="I79" s="16"/>
      <c r="J79" s="16"/>
      <c r="K79" s="16"/>
    </row>
    <row r="80" spans="1:11" ht="12.75">
      <c r="A80" s="512">
        <v>33</v>
      </c>
      <c r="B80" s="619" t="s">
        <v>143</v>
      </c>
      <c r="C80" s="620">
        <f t="shared" si="3"/>
        <v>107908</v>
      </c>
      <c r="D80" s="621">
        <f t="shared" si="4"/>
        <v>6980</v>
      </c>
      <c r="E80" s="622">
        <f t="shared" si="5"/>
        <v>114888</v>
      </c>
      <c r="F80" s="620">
        <v>91105</v>
      </c>
      <c r="G80" s="621">
        <v>6684</v>
      </c>
      <c r="H80" s="622">
        <f t="shared" si="6"/>
        <v>97789</v>
      </c>
      <c r="I80" s="16"/>
      <c r="J80" s="16"/>
      <c r="K80" s="16"/>
    </row>
    <row r="81" spans="1:11" ht="12.75">
      <c r="A81" s="512">
        <v>41</v>
      </c>
      <c r="B81" s="619" t="s">
        <v>144</v>
      </c>
      <c r="C81" s="620">
        <f t="shared" si="3"/>
        <v>221862</v>
      </c>
      <c r="D81" s="621">
        <f t="shared" si="4"/>
        <v>3134</v>
      </c>
      <c r="E81" s="622">
        <f t="shared" si="5"/>
        <v>224996</v>
      </c>
      <c r="F81" s="620">
        <v>206833</v>
      </c>
      <c r="G81" s="621">
        <v>1780</v>
      </c>
      <c r="H81" s="622">
        <f t="shared" si="6"/>
        <v>208613</v>
      </c>
      <c r="I81" s="16"/>
      <c r="J81" s="16"/>
      <c r="K81" s="16"/>
    </row>
    <row r="82" spans="1:11" ht="12.75">
      <c r="A82" s="512">
        <v>51</v>
      </c>
      <c r="B82" s="619" t="s">
        <v>149</v>
      </c>
      <c r="C82" s="620">
        <f t="shared" si="3"/>
        <v>58195</v>
      </c>
      <c r="D82" s="621">
        <f t="shared" si="4"/>
        <v>297</v>
      </c>
      <c r="E82" s="622">
        <f t="shared" si="5"/>
        <v>58492</v>
      </c>
      <c r="F82" s="620">
        <v>66314</v>
      </c>
      <c r="G82" s="621">
        <v>249</v>
      </c>
      <c r="H82" s="622">
        <f t="shared" si="6"/>
        <v>66563</v>
      </c>
      <c r="I82" s="16"/>
      <c r="J82" s="16"/>
      <c r="K82" s="16"/>
    </row>
    <row r="83" spans="1:11" ht="13.5" thickBot="1">
      <c r="A83" s="518">
        <v>56</v>
      </c>
      <c r="B83" s="623" t="s">
        <v>145</v>
      </c>
      <c r="C83" s="624">
        <f t="shared" si="3"/>
        <v>121101</v>
      </c>
      <c r="D83" s="625">
        <f t="shared" si="4"/>
        <v>4708</v>
      </c>
      <c r="E83" s="626">
        <f t="shared" si="5"/>
        <v>125809</v>
      </c>
      <c r="F83" s="624">
        <v>111797</v>
      </c>
      <c r="G83" s="625">
        <v>3173</v>
      </c>
      <c r="H83" s="626">
        <f t="shared" si="6"/>
        <v>114970</v>
      </c>
      <c r="I83" s="16"/>
      <c r="J83" s="16"/>
      <c r="K83" s="16"/>
    </row>
    <row r="84" spans="1:11" ht="13.5" thickBot="1">
      <c r="A84" s="574" t="s">
        <v>146</v>
      </c>
      <c r="B84" s="575"/>
      <c r="C84" s="627">
        <f>SUM(C75:C83)</f>
        <v>1570693</v>
      </c>
      <c r="D84" s="628">
        <f>SUM(D75:D83)</f>
        <v>112915</v>
      </c>
      <c r="E84" s="629">
        <f t="shared" si="5"/>
        <v>1683608</v>
      </c>
      <c r="F84" s="630">
        <f>SUM(F75:F83)</f>
        <v>1379533</v>
      </c>
      <c r="G84" s="576">
        <f>SUM(G75:G83)</f>
        <v>99469</v>
      </c>
      <c r="H84" s="529">
        <f>SUM(H75:H83)</f>
        <v>1479002</v>
      </c>
      <c r="I84" s="16"/>
      <c r="J84" s="16"/>
      <c r="K84" s="16"/>
    </row>
    <row r="85" spans="3:6" ht="12.75">
      <c r="C85" s="631"/>
      <c r="D85" s="631"/>
      <c r="E85" s="632"/>
      <c r="F85" s="633"/>
    </row>
    <row r="86" ht="17.25" customHeight="1"/>
    <row r="87" ht="15.75">
      <c r="A87" s="1" t="s">
        <v>289</v>
      </c>
    </row>
    <row r="88" ht="11.25" customHeight="1">
      <c r="A88" s="1"/>
    </row>
    <row r="89" spans="1:14" s="635" customFormat="1" ht="15.75" thickBot="1">
      <c r="A89" s="634" t="s">
        <v>424</v>
      </c>
      <c r="L89" s="433"/>
      <c r="M89" s="433"/>
      <c r="N89" s="433"/>
    </row>
    <row r="90" spans="1:14" s="437" customFormat="1" ht="12.75">
      <c r="A90" s="636">
        <v>5</v>
      </c>
      <c r="B90" s="637" t="s">
        <v>293</v>
      </c>
      <c r="C90" s="638"/>
      <c r="D90" s="638"/>
      <c r="E90" s="638"/>
      <c r="F90" s="638"/>
      <c r="G90" s="638"/>
      <c r="H90" s="638"/>
      <c r="I90" s="639">
        <f>'pril1-CP'!J6</f>
        <v>99000</v>
      </c>
      <c r="J90" s="640"/>
      <c r="L90" s="433"/>
      <c r="M90" s="433"/>
      <c r="N90" s="433"/>
    </row>
    <row r="91" spans="1:14" s="437" customFormat="1" ht="12.75">
      <c r="A91" s="641">
        <v>6</v>
      </c>
      <c r="B91" s="642" t="s">
        <v>294</v>
      </c>
      <c r="C91" s="642"/>
      <c r="D91" s="642"/>
      <c r="E91" s="642"/>
      <c r="F91" s="642"/>
      <c r="G91" s="642"/>
      <c r="H91" s="642"/>
      <c r="I91" s="643">
        <f>'pril1-CP'!J7</f>
        <v>38176</v>
      </c>
      <c r="J91" s="640"/>
      <c r="L91" s="433"/>
      <c r="M91" s="433"/>
      <c r="N91" s="433"/>
    </row>
    <row r="92" spans="1:14" s="437" customFormat="1" ht="12.75">
      <c r="A92" s="641">
        <v>7</v>
      </c>
      <c r="B92" s="642" t="s">
        <v>290</v>
      </c>
      <c r="C92" s="642"/>
      <c r="D92" s="642"/>
      <c r="E92" s="642"/>
      <c r="F92" s="642"/>
      <c r="G92" s="642"/>
      <c r="H92" s="642"/>
      <c r="I92" s="643">
        <f>'pril1-CP'!J8</f>
        <v>22520</v>
      </c>
      <c r="J92" s="640"/>
      <c r="L92" s="433"/>
      <c r="M92" s="433"/>
      <c r="N92" s="433"/>
    </row>
    <row r="93" spans="1:14" s="437" customFormat="1" ht="13.5" thickBot="1">
      <c r="A93" s="644">
        <v>8</v>
      </c>
      <c r="B93" s="445" t="s">
        <v>291</v>
      </c>
      <c r="C93" s="640"/>
      <c r="D93" s="640"/>
      <c r="E93" s="640"/>
      <c r="F93" s="640"/>
      <c r="G93" s="640"/>
      <c r="H93" s="640"/>
      <c r="I93" s="645">
        <f>'pril1-CP'!J19</f>
        <v>9637</v>
      </c>
      <c r="J93" s="640"/>
      <c r="L93" s="433"/>
      <c r="M93" s="433"/>
      <c r="N93" s="433"/>
    </row>
    <row r="94" spans="1:14" s="419" customFormat="1" ht="13.5" thickBot="1">
      <c r="A94" s="646">
        <v>9</v>
      </c>
      <c r="B94" s="647" t="s">
        <v>425</v>
      </c>
      <c r="C94" s="648"/>
      <c r="D94" s="648"/>
      <c r="E94" s="648"/>
      <c r="F94" s="648"/>
      <c r="G94" s="648"/>
      <c r="H94" s="648"/>
      <c r="I94" s="649">
        <f>SUM(I90:I93)</f>
        <v>169333</v>
      </c>
      <c r="J94" s="650"/>
      <c r="L94" s="651"/>
      <c r="M94" s="651"/>
      <c r="N94" s="651"/>
    </row>
    <row r="95" spans="1:14" s="654" customFormat="1" ht="13.5">
      <c r="A95" s="652"/>
      <c r="B95" s="653"/>
      <c r="I95" s="655"/>
      <c r="L95" s="433"/>
      <c r="M95" s="433"/>
      <c r="N95" s="433"/>
    </row>
    <row r="96" spans="1:14" s="635" customFormat="1" ht="15.75" thickBot="1">
      <c r="A96" s="634" t="s">
        <v>426</v>
      </c>
      <c r="L96" s="433"/>
      <c r="M96" s="433"/>
      <c r="N96" s="433"/>
    </row>
    <row r="97" spans="1:10" ht="12.75">
      <c r="A97" s="656">
        <v>10</v>
      </c>
      <c r="B97" s="657" t="s">
        <v>428</v>
      </c>
      <c r="C97" s="657"/>
      <c r="D97" s="657"/>
      <c r="E97" s="657"/>
      <c r="F97" s="657"/>
      <c r="G97" s="657"/>
      <c r="H97" s="657"/>
      <c r="I97" s="658">
        <f>'pril1-CP'!J22</f>
        <v>115713</v>
      </c>
      <c r="J97" s="659"/>
    </row>
    <row r="98" spans="1:9" ht="13.5" thickBot="1">
      <c r="A98" s="660">
        <v>11</v>
      </c>
      <c r="B98" s="661" t="s">
        <v>429</v>
      </c>
      <c r="C98" s="661"/>
      <c r="D98" s="661"/>
      <c r="E98" s="661"/>
      <c r="F98" s="661"/>
      <c r="G98" s="661"/>
      <c r="H98" s="661"/>
      <c r="I98" s="662">
        <f>'pril1-CP'!J83</f>
        <v>15700</v>
      </c>
    </row>
    <row r="99" spans="1:14" s="931" customFormat="1" ht="12.75">
      <c r="A99" s="928">
        <v>12</v>
      </c>
      <c r="B99" s="538" t="s">
        <v>427</v>
      </c>
      <c r="C99" s="538"/>
      <c r="D99" s="929"/>
      <c r="E99" s="929"/>
      <c r="F99" s="929"/>
      <c r="G99" s="929"/>
      <c r="H99" s="929"/>
      <c r="I99" s="930">
        <f>SUM(I97:I98)</f>
        <v>131413</v>
      </c>
      <c r="J99" s="543"/>
      <c r="K99" s="543"/>
      <c r="L99" s="433"/>
      <c r="M99" s="433"/>
      <c r="N99" s="433"/>
    </row>
    <row r="100" spans="1:9" ht="13.5" thickBot="1">
      <c r="A100" s="663">
        <v>13</v>
      </c>
      <c r="B100" s="664" t="s">
        <v>295</v>
      </c>
      <c r="C100" s="664"/>
      <c r="D100" s="664"/>
      <c r="E100" s="664"/>
      <c r="F100" s="664"/>
      <c r="G100" s="664"/>
      <c r="H100" s="664"/>
      <c r="I100" s="665">
        <f>'pril1-CP'!J105</f>
        <v>197048.13919999998</v>
      </c>
    </row>
    <row r="101" spans="1:14" s="419" customFormat="1" ht="13.5" thickBot="1">
      <c r="A101" s="646">
        <v>14</v>
      </c>
      <c r="B101" s="648" t="s">
        <v>292</v>
      </c>
      <c r="C101" s="648"/>
      <c r="D101" s="648"/>
      <c r="E101" s="648"/>
      <c r="F101" s="648"/>
      <c r="G101" s="648"/>
      <c r="H101" s="648"/>
      <c r="I101" s="649">
        <f>SUM(I99:I100)</f>
        <v>328461.1392</v>
      </c>
      <c r="J101" s="666"/>
      <c r="L101" s="651"/>
      <c r="M101" s="651"/>
      <c r="N101" s="651"/>
    </row>
    <row r="102" spans="1:14" s="661" customFormat="1" ht="12.75">
      <c r="A102" s="667"/>
      <c r="I102" s="668"/>
      <c r="J102" s="668"/>
      <c r="L102" s="669"/>
      <c r="M102" s="669"/>
      <c r="N102" s="669"/>
    </row>
    <row r="103" spans="1:14" s="635" customFormat="1" ht="15.75" thickBot="1">
      <c r="A103" s="993" t="s">
        <v>387</v>
      </c>
      <c r="B103" s="992"/>
      <c r="C103" s="992"/>
      <c r="D103" s="992"/>
      <c r="E103" s="992"/>
      <c r="F103" s="992"/>
      <c r="G103" s="992"/>
      <c r="H103" s="992"/>
      <c r="I103" s="992"/>
      <c r="L103" s="433"/>
      <c r="M103" s="433"/>
      <c r="N103" s="433"/>
    </row>
    <row r="104" spans="1:9" s="437" customFormat="1" ht="12.75" customHeight="1">
      <c r="A104" s="670">
        <v>15</v>
      </c>
      <c r="B104" s="671" t="s">
        <v>430</v>
      </c>
      <c r="C104" s="672"/>
      <c r="D104" s="673"/>
      <c r="E104" s="995"/>
      <c r="F104" s="995"/>
      <c r="G104" s="995"/>
      <c r="H104" s="995"/>
      <c r="I104" s="674">
        <f>F15</f>
        <v>1683608</v>
      </c>
    </row>
    <row r="105" spans="1:10" s="681" customFormat="1" ht="12.75" customHeight="1">
      <c r="A105" s="675">
        <v>16</v>
      </c>
      <c r="B105" s="676" t="s">
        <v>431</v>
      </c>
      <c r="C105" s="677"/>
      <c r="D105" s="678"/>
      <c r="E105" s="996"/>
      <c r="F105" s="996"/>
      <c r="G105" s="996"/>
      <c r="H105" s="996"/>
      <c r="I105" s="679">
        <f>I94+I101</f>
        <v>497794.1392</v>
      </c>
      <c r="J105" s="680"/>
    </row>
    <row r="106" spans="1:9" s="681" customFormat="1" ht="12.75" customHeight="1" thickBot="1">
      <c r="A106" s="682">
        <v>17</v>
      </c>
      <c r="B106" s="683" t="s">
        <v>432</v>
      </c>
      <c r="C106" s="684"/>
      <c r="D106" s="685"/>
      <c r="E106" s="997"/>
      <c r="F106" s="997"/>
      <c r="G106" s="997"/>
      <c r="H106" s="997"/>
      <c r="I106" s="994">
        <f>I104-I105</f>
        <v>1185813.8608</v>
      </c>
    </row>
    <row r="107" ht="13.5" customHeight="1"/>
    <row r="108" ht="12.75">
      <c r="I108" s="420"/>
    </row>
  </sheetData>
  <mergeCells count="3">
    <mergeCell ref="C73:E73"/>
    <mergeCell ref="F73:H73"/>
    <mergeCell ref="A3:D3"/>
  </mergeCells>
  <printOptions/>
  <pageMargins left="0.7" right="0.26" top="0.66" bottom="0.62" header="0.4921259845" footer="0.33"/>
  <pageSetup horizontalDpi="600" verticalDpi="600" orientation="landscape" paperSize="9" r:id="rId1"/>
  <headerFooter alignWithMargins="0">
    <oddFooter>&amp;C&amp;P</oddFooter>
  </headerFooter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5"/>
  <sheetViews>
    <sheetView workbookViewId="0" topLeftCell="L1">
      <selection activeCell="Z1" sqref="Z1:Z16384"/>
    </sheetView>
  </sheetViews>
  <sheetFormatPr defaultColWidth="9.00390625" defaultRowHeight="12.75"/>
  <cols>
    <col min="1" max="1" width="0" style="881" hidden="1" customWidth="1"/>
    <col min="2" max="2" width="9.375" style="881" hidden="1" customWidth="1"/>
    <col min="3" max="3" width="11.00390625" style="881" hidden="1" customWidth="1"/>
    <col min="4" max="4" width="10.625" style="881" hidden="1" customWidth="1"/>
    <col min="5" max="11" width="0" style="881" hidden="1" customWidth="1"/>
    <col min="12" max="12" width="10.625" style="881" customWidth="1"/>
    <col min="13" max="13" width="7.25390625" style="881" customWidth="1"/>
    <col min="14" max="14" width="7.75390625" style="881" customWidth="1"/>
    <col min="15" max="15" width="7.125" style="881" customWidth="1"/>
    <col min="16" max="16" width="7.25390625" style="881" customWidth="1"/>
    <col min="17" max="17" width="8.75390625" style="881" bestFit="1" customWidth="1"/>
    <col min="18" max="18" width="7.75390625" style="881" bestFit="1" customWidth="1"/>
    <col min="19" max="19" width="8.375" style="881" bestFit="1" customWidth="1"/>
    <col min="20" max="20" width="7.75390625" style="881" customWidth="1"/>
    <col min="21" max="21" width="9.375" style="881" customWidth="1"/>
    <col min="22" max="22" width="8.25390625" style="881" customWidth="1"/>
    <col min="23" max="23" width="8.625" style="881" customWidth="1"/>
    <col min="24" max="24" width="9.00390625" style="881" customWidth="1"/>
    <col min="25" max="25" width="8.375" style="881" bestFit="1" customWidth="1"/>
    <col min="26" max="26" width="8.25390625" style="881" hidden="1" customWidth="1"/>
    <col min="27" max="27" width="9.375" style="881" customWidth="1"/>
    <col min="28" max="28" width="8.625" style="881" customWidth="1"/>
    <col min="29" max="29" width="9.625" style="881" hidden="1" customWidth="1"/>
    <col min="30" max="30" width="0" style="881" hidden="1" customWidth="1"/>
    <col min="31" max="16384" width="9.125" style="881" customWidth="1"/>
  </cols>
  <sheetData>
    <row r="1" spans="1:20" s="12" customFormat="1" ht="15.75">
      <c r="A1" s="12" t="s">
        <v>205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12" t="s">
        <v>47</v>
      </c>
      <c r="Q1" s="879"/>
      <c r="R1" s="879"/>
      <c r="S1" s="879"/>
      <c r="T1" s="880"/>
    </row>
    <row r="2" spans="19:28" ht="12">
      <c r="S2" s="113"/>
      <c r="T2" s="113"/>
      <c r="AB2" s="113"/>
    </row>
    <row r="3" spans="16:24" ht="12">
      <c r="P3" s="1009"/>
      <c r="Q3" s="1008"/>
      <c r="U3" s="13"/>
      <c r="W3" s="114"/>
      <c r="X3" s="6"/>
    </row>
    <row r="4" spans="15:24" ht="12" customHeight="1" thickBot="1">
      <c r="O4" s="882"/>
      <c r="W4" s="6"/>
      <c r="X4" s="431"/>
    </row>
    <row r="5" spans="1:26" s="885" customFormat="1" ht="11.25" customHeight="1">
      <c r="A5" s="883"/>
      <c r="B5" s="14"/>
      <c r="C5" s="14"/>
      <c r="D5" s="884"/>
      <c r="E5" s="884"/>
      <c r="F5" s="884"/>
      <c r="G5" s="884"/>
      <c r="H5" s="884"/>
      <c r="I5" s="884"/>
      <c r="J5" s="884"/>
      <c r="K5" s="884"/>
      <c r="L5" s="1019"/>
      <c r="M5" s="957"/>
      <c r="N5" s="957" t="s">
        <v>160</v>
      </c>
      <c r="O5" s="1020"/>
      <c r="P5" s="957" t="s">
        <v>159</v>
      </c>
      <c r="Q5" s="957" t="s">
        <v>151</v>
      </c>
      <c r="R5" s="957" t="s">
        <v>151</v>
      </c>
      <c r="S5" s="958" t="s">
        <v>151</v>
      </c>
      <c r="T5" s="7"/>
      <c r="U5" s="1030"/>
      <c r="V5" s="1028"/>
      <c r="W5" s="1041"/>
      <c r="X5" s="1042"/>
      <c r="Y5" s="7"/>
      <c r="Z5" s="7"/>
    </row>
    <row r="6" spans="1:26" s="885" customFormat="1" ht="11.25" customHeight="1">
      <c r="A6" s="886"/>
      <c r="B6" s="10" t="s">
        <v>147</v>
      </c>
      <c r="C6" s="10" t="s">
        <v>198</v>
      </c>
      <c r="D6" s="10" t="s">
        <v>200</v>
      </c>
      <c r="E6" s="10" t="s">
        <v>199</v>
      </c>
      <c r="F6" s="7"/>
      <c r="G6" s="7"/>
      <c r="H6" s="7"/>
      <c r="I6" s="7"/>
      <c r="J6" s="7"/>
      <c r="K6" s="9"/>
      <c r="L6" s="897" t="s">
        <v>147</v>
      </c>
      <c r="M6" s="1024" t="s">
        <v>167</v>
      </c>
      <c r="N6" s="1024" t="s">
        <v>167</v>
      </c>
      <c r="O6" s="1025" t="s">
        <v>163</v>
      </c>
      <c r="P6" s="1024" t="s">
        <v>170</v>
      </c>
      <c r="Q6" s="1024" t="s">
        <v>169</v>
      </c>
      <c r="R6" s="1024" t="s">
        <v>172</v>
      </c>
      <c r="S6" s="1026" t="s">
        <v>150</v>
      </c>
      <c r="T6" s="7"/>
      <c r="U6" s="1031"/>
      <c r="V6" s="7"/>
      <c r="W6" s="1027"/>
      <c r="X6" s="1031"/>
      <c r="Y6" s="7"/>
      <c r="Z6" s="7"/>
    </row>
    <row r="7" spans="1:26" s="885" customFormat="1" ht="12" customHeight="1" thickBot="1">
      <c r="A7" s="886"/>
      <c r="B7" s="10" t="s">
        <v>147</v>
      </c>
      <c r="C7" s="10" t="s">
        <v>198</v>
      </c>
      <c r="D7" s="10" t="s">
        <v>200</v>
      </c>
      <c r="E7" s="10" t="s">
        <v>199</v>
      </c>
      <c r="F7" s="7"/>
      <c r="G7" s="7"/>
      <c r="H7" s="7"/>
      <c r="I7" s="7"/>
      <c r="J7" s="7"/>
      <c r="K7" s="9"/>
      <c r="L7" s="1021"/>
      <c r="M7" s="1022" t="s">
        <v>161</v>
      </c>
      <c r="N7" s="1022" t="s">
        <v>162</v>
      </c>
      <c r="O7" s="1022"/>
      <c r="P7" s="1022" t="s">
        <v>146</v>
      </c>
      <c r="Q7" s="1022" t="s">
        <v>168</v>
      </c>
      <c r="R7" s="1022" t="s">
        <v>171</v>
      </c>
      <c r="S7" s="1023"/>
      <c r="T7" s="9"/>
      <c r="U7" s="1032"/>
      <c r="V7" s="1037">
        <v>2004</v>
      </c>
      <c r="W7" s="1029">
        <v>2005</v>
      </c>
      <c r="X7" s="1043">
        <v>2006</v>
      </c>
      <c r="Y7" s="20"/>
      <c r="Z7" s="20"/>
    </row>
    <row r="8" spans="1:26" ht="12.75" customHeight="1">
      <c r="A8" s="888"/>
      <c r="B8" s="6" t="s">
        <v>138</v>
      </c>
      <c r="C8" s="4">
        <v>56459.62776151207</v>
      </c>
      <c r="D8" s="4">
        <v>63596.21142127317</v>
      </c>
      <c r="E8" s="4" t="e">
        <f>#REF!</f>
        <v>#REF!</v>
      </c>
      <c r="F8" s="5"/>
      <c r="G8" s="5"/>
      <c r="H8" s="5"/>
      <c r="I8" s="5"/>
      <c r="J8" s="5"/>
      <c r="K8" s="6"/>
      <c r="L8" s="897" t="s">
        <v>138</v>
      </c>
      <c r="M8" s="898">
        <v>3525</v>
      </c>
      <c r="N8" s="899">
        <v>518.78</v>
      </c>
      <c r="O8" s="898">
        <v>28084</v>
      </c>
      <c r="P8" s="1010">
        <f aca="true" t="shared" si="0" ref="P8:P16">O8/$O$17*100</f>
        <v>18.089299976811894</v>
      </c>
      <c r="Q8" s="892">
        <f>'str1-3'!G24</f>
        <v>308331</v>
      </c>
      <c r="R8" s="892">
        <f>'str1-3'!K61</f>
        <v>24126</v>
      </c>
      <c r="S8" s="1011">
        <f>SUM(Q8:R8)</f>
        <v>332457</v>
      </c>
      <c r="T8" s="5"/>
      <c r="U8" s="1052" t="s">
        <v>401</v>
      </c>
      <c r="V8" s="1053">
        <v>63180</v>
      </c>
      <c r="W8" s="1017">
        <v>72365.22</v>
      </c>
      <c r="X8" s="1054">
        <f>'pril1-CP'!J22-str4!X13</f>
        <v>100013</v>
      </c>
      <c r="Y8" s="19"/>
      <c r="Z8" s="19"/>
    </row>
    <row r="9" spans="1:26" ht="12.75" customHeight="1">
      <c r="A9" s="888"/>
      <c r="B9" s="6" t="s">
        <v>139</v>
      </c>
      <c r="C9" s="4">
        <v>38356.2348177898</v>
      </c>
      <c r="D9" s="4">
        <v>49310.223260019615</v>
      </c>
      <c r="E9" s="4" t="e">
        <f>#REF!</f>
        <v>#REF!</v>
      </c>
      <c r="F9" s="5"/>
      <c r="G9" s="5"/>
      <c r="H9" s="5"/>
      <c r="I9" s="5"/>
      <c r="J9" s="5"/>
      <c r="K9" s="6"/>
      <c r="L9" s="1012" t="s">
        <v>139</v>
      </c>
      <c r="M9" s="1013">
        <v>7286</v>
      </c>
      <c r="N9" s="1014">
        <v>330.7</v>
      </c>
      <c r="O9" s="1013">
        <v>21479</v>
      </c>
      <c r="P9" s="1015">
        <f t="shared" si="0"/>
        <v>13.834926442171438</v>
      </c>
      <c r="Q9" s="1013">
        <f>'str1-3'!G25</f>
        <v>269848</v>
      </c>
      <c r="R9" s="1013">
        <f>'str1-3'!K62</f>
        <v>13132</v>
      </c>
      <c r="S9" s="1016">
        <f aca="true" t="shared" si="1" ref="S9:S16">SUM(Q9:R9)</f>
        <v>282980</v>
      </c>
      <c r="T9" s="5"/>
      <c r="U9" s="1033" t="s">
        <v>253</v>
      </c>
      <c r="V9" s="1038">
        <v>92280</v>
      </c>
      <c r="W9" s="1018">
        <v>34618</v>
      </c>
      <c r="X9" s="1044">
        <f>'pril1-CP'!J7</f>
        <v>38176</v>
      </c>
      <c r="Y9" s="19"/>
      <c r="Z9" s="19"/>
    </row>
    <row r="10" spans="1:26" ht="12.75" customHeight="1">
      <c r="A10" s="888"/>
      <c r="B10" s="6" t="s">
        <v>140</v>
      </c>
      <c r="C10" s="4">
        <v>27874.95666032842</v>
      </c>
      <c r="D10" s="4">
        <v>33888.33518969103</v>
      </c>
      <c r="E10" s="4" t="e">
        <f>#REF!</f>
        <v>#REF!</v>
      </c>
      <c r="F10" s="5"/>
      <c r="G10" s="5"/>
      <c r="H10" s="5"/>
      <c r="I10" s="5"/>
      <c r="J10" s="5"/>
      <c r="K10" s="6"/>
      <c r="L10" s="1012" t="s">
        <v>140</v>
      </c>
      <c r="M10" s="1013">
        <v>3513</v>
      </c>
      <c r="N10" s="1014">
        <v>127.69</v>
      </c>
      <c r="O10" s="1013">
        <v>12590</v>
      </c>
      <c r="P10" s="1015">
        <f t="shared" si="0"/>
        <v>8.109396336279081</v>
      </c>
      <c r="Q10" s="1013">
        <f>'str1-3'!G26</f>
        <v>118918</v>
      </c>
      <c r="R10" s="1013">
        <f>'str1-3'!K63</f>
        <v>1619</v>
      </c>
      <c r="S10" s="1016">
        <f t="shared" si="1"/>
        <v>120537</v>
      </c>
      <c r="T10" s="5"/>
      <c r="U10" s="1033" t="s">
        <v>254</v>
      </c>
      <c r="V10" s="1038">
        <v>0</v>
      </c>
      <c r="W10" s="1018">
        <v>88000</v>
      </c>
      <c r="X10" s="1044">
        <f>'pril1-CP'!J6</f>
        <v>99000</v>
      </c>
      <c r="Y10" s="19"/>
      <c r="Z10" s="19"/>
    </row>
    <row r="11" spans="1:26" ht="12.75" customHeight="1">
      <c r="A11" s="888"/>
      <c r="B11" s="6" t="s">
        <v>141</v>
      </c>
      <c r="C11" s="4">
        <v>13727.635054604489</v>
      </c>
      <c r="D11" s="4">
        <v>17386.276616094216</v>
      </c>
      <c r="E11" s="4" t="e">
        <f>#REF!</f>
        <v>#REF!</v>
      </c>
      <c r="F11" s="5"/>
      <c r="G11" s="5"/>
      <c r="H11" s="5"/>
      <c r="I11" s="5"/>
      <c r="J11" s="5"/>
      <c r="K11" s="6"/>
      <c r="L11" s="1012" t="s">
        <v>141</v>
      </c>
      <c r="M11" s="1013">
        <v>3187</v>
      </c>
      <c r="N11" s="1014">
        <v>161.84</v>
      </c>
      <c r="O11" s="1013">
        <v>14993</v>
      </c>
      <c r="P11" s="1015">
        <f t="shared" si="0"/>
        <v>9.657202483703914</v>
      </c>
      <c r="Q11" s="1013">
        <f>'str1-3'!G27</f>
        <v>113672</v>
      </c>
      <c r="R11" s="1013">
        <f>'str1-3'!K64</f>
        <v>9892</v>
      </c>
      <c r="S11" s="1016">
        <f t="shared" si="1"/>
        <v>123564</v>
      </c>
      <c r="T11" s="5"/>
      <c r="U11" s="1033" t="s">
        <v>258</v>
      </c>
      <c r="V11" s="1038">
        <v>37547</v>
      </c>
      <c r="W11" s="1018">
        <v>19628</v>
      </c>
      <c r="X11" s="1044">
        <f>'pril1-CP'!J8</f>
        <v>22520</v>
      </c>
      <c r="Y11" s="19"/>
      <c r="Z11" s="19"/>
    </row>
    <row r="12" spans="1:26" ht="12.75" customHeight="1">
      <c r="A12" s="888"/>
      <c r="B12" s="6" t="s">
        <v>142</v>
      </c>
      <c r="C12" s="4">
        <v>71228.5349871047</v>
      </c>
      <c r="D12" s="4">
        <v>68722.8546977138</v>
      </c>
      <c r="E12" s="4" t="e">
        <f>#REF!</f>
        <v>#REF!</v>
      </c>
      <c r="F12" s="5"/>
      <c r="G12" s="5"/>
      <c r="H12" s="5"/>
      <c r="I12" s="5"/>
      <c r="J12" s="5"/>
      <c r="K12" s="6"/>
      <c r="L12" s="1012" t="s">
        <v>142</v>
      </c>
      <c r="M12" s="1013">
        <v>3205</v>
      </c>
      <c r="N12" s="1014">
        <v>662.55</v>
      </c>
      <c r="O12" s="1013">
        <v>35871</v>
      </c>
      <c r="P12" s="1015">
        <f t="shared" si="0"/>
        <v>23.10501636049777</v>
      </c>
      <c r="Q12" s="1013">
        <f>'str1-3'!G28</f>
        <v>250858</v>
      </c>
      <c r="R12" s="1013">
        <f>'str1-3'!K65</f>
        <v>49027</v>
      </c>
      <c r="S12" s="1016">
        <f t="shared" si="1"/>
        <v>299885</v>
      </c>
      <c r="T12" s="5"/>
      <c r="U12" s="1033" t="s">
        <v>255</v>
      </c>
      <c r="V12" s="1038">
        <v>19900</v>
      </c>
      <c r="W12" s="1018">
        <v>79000</v>
      </c>
      <c r="X12" s="1044">
        <f>'pril1-CP'!J19</f>
        <v>9637</v>
      </c>
      <c r="Y12" s="19"/>
      <c r="Z12" s="19"/>
    </row>
    <row r="13" spans="1:26" ht="12.75" customHeight="1">
      <c r="A13" s="888"/>
      <c r="B13" s="6" t="s">
        <v>143</v>
      </c>
      <c r="C13" s="4">
        <v>22816.52546067896</v>
      </c>
      <c r="D13" s="4">
        <v>22637.33833786951</v>
      </c>
      <c r="E13" s="4" t="e">
        <f>#REF!</f>
        <v>#REF!</v>
      </c>
      <c r="F13" s="5"/>
      <c r="G13" s="5"/>
      <c r="H13" s="5"/>
      <c r="I13" s="5"/>
      <c r="J13" s="5"/>
      <c r="K13" s="6"/>
      <c r="L13" s="1012" t="s">
        <v>143</v>
      </c>
      <c r="M13" s="1013">
        <v>1959</v>
      </c>
      <c r="N13" s="1231">
        <v>119.8</v>
      </c>
      <c r="O13" s="1230">
        <v>8823</v>
      </c>
      <c r="P13" s="1015">
        <f t="shared" si="0"/>
        <v>5.683018576250225</v>
      </c>
      <c r="Q13" s="1013">
        <f>'str1-3'!G29</f>
        <v>107908</v>
      </c>
      <c r="R13" s="1013">
        <f>'str1-3'!K66</f>
        <v>6980</v>
      </c>
      <c r="S13" s="1016">
        <f t="shared" si="1"/>
        <v>114888</v>
      </c>
      <c r="T13" s="5"/>
      <c r="U13" s="1033" t="s">
        <v>400</v>
      </c>
      <c r="V13" s="1038">
        <v>15430</v>
      </c>
      <c r="W13" s="1018">
        <v>13795.33</v>
      </c>
      <c r="X13" s="1044">
        <f>'pril1-CP'!J50</f>
        <v>15700</v>
      </c>
      <c r="Y13" s="19"/>
      <c r="Z13" s="19"/>
    </row>
    <row r="14" spans="1:26" ht="12.75" customHeight="1">
      <c r="A14" s="888"/>
      <c r="B14" s="6" t="s">
        <v>144</v>
      </c>
      <c r="C14" s="4">
        <v>41592.69488337386</v>
      </c>
      <c r="D14" s="4">
        <v>49925.39065157845</v>
      </c>
      <c r="E14" s="4" t="e">
        <f>#REF!</f>
        <v>#REF!</v>
      </c>
      <c r="F14" s="5"/>
      <c r="G14" s="5"/>
      <c r="H14" s="5"/>
      <c r="I14" s="5"/>
      <c r="J14" s="5"/>
      <c r="K14" s="6"/>
      <c r="L14" s="1012" t="s">
        <v>144</v>
      </c>
      <c r="M14" s="1013">
        <v>5278</v>
      </c>
      <c r="N14" s="1014">
        <v>277.89</v>
      </c>
      <c r="O14" s="1013">
        <v>17030</v>
      </c>
      <c r="P14" s="1015">
        <f t="shared" si="0"/>
        <v>10.969262875840569</v>
      </c>
      <c r="Q14" s="1013">
        <f>'str1-3'!G30</f>
        <v>221862</v>
      </c>
      <c r="R14" s="1013">
        <f>'str1-3'!K67</f>
        <v>3134</v>
      </c>
      <c r="S14" s="1016">
        <f t="shared" si="1"/>
        <v>224996</v>
      </c>
      <c r="T14" s="5"/>
      <c r="U14" s="1033" t="s">
        <v>256</v>
      </c>
      <c r="V14" s="1038">
        <v>13092</v>
      </c>
      <c r="W14" s="1018">
        <v>10000</v>
      </c>
      <c r="X14" s="1044">
        <f>'pril1-CP'!J83</f>
        <v>15700</v>
      </c>
      <c r="Y14" s="19"/>
      <c r="Z14" s="19"/>
    </row>
    <row r="15" spans="1:26" ht="12.75" customHeight="1">
      <c r="A15" s="888"/>
      <c r="B15" s="6" t="s">
        <v>149</v>
      </c>
      <c r="C15" s="4">
        <v>4555.823719721504</v>
      </c>
      <c r="D15" s="4">
        <v>9506.66376081841</v>
      </c>
      <c r="E15" s="4" t="e">
        <f>#REF!</f>
        <v>#REF!</v>
      </c>
      <c r="F15" s="5"/>
      <c r="G15" s="5"/>
      <c r="H15" s="5"/>
      <c r="I15" s="5"/>
      <c r="J15" s="5"/>
      <c r="K15" s="6"/>
      <c r="L15" s="1012" t="s">
        <v>149</v>
      </c>
      <c r="M15" s="1013">
        <v>1187</v>
      </c>
      <c r="N15" s="1014">
        <v>83.01</v>
      </c>
      <c r="O15" s="1013">
        <v>5238</v>
      </c>
      <c r="P15" s="1015">
        <f t="shared" si="0"/>
        <v>3.3738695797799707</v>
      </c>
      <c r="Q15" s="1013">
        <f>'str1-3'!G31</f>
        <v>58195</v>
      </c>
      <c r="R15" s="1013">
        <f>'str1-3'!K68</f>
        <v>297</v>
      </c>
      <c r="S15" s="1016">
        <f t="shared" si="1"/>
        <v>58492</v>
      </c>
      <c r="T15" s="5"/>
      <c r="U15" s="1033" t="s">
        <v>259</v>
      </c>
      <c r="V15" s="1038">
        <v>130745</v>
      </c>
      <c r="W15" s="1018">
        <v>145769.5</v>
      </c>
      <c r="X15" s="1044">
        <f>'pril1-CP'!J105</f>
        <v>197048.13919999998</v>
      </c>
      <c r="Y15" s="19"/>
      <c r="Z15" s="19"/>
    </row>
    <row r="16" spans="1:26" ht="12.75" customHeight="1" thickBot="1">
      <c r="A16" s="888"/>
      <c r="B16" s="6" t="s">
        <v>145</v>
      </c>
      <c r="C16" s="4">
        <v>29140.577846868095</v>
      </c>
      <c r="D16" s="4">
        <v>34260.75606494169</v>
      </c>
      <c r="E16" s="4" t="e">
        <f>#REF!</f>
        <v>#REF!</v>
      </c>
      <c r="F16" s="5"/>
      <c r="G16" s="5"/>
      <c r="H16" s="5"/>
      <c r="I16" s="5"/>
      <c r="J16" s="5"/>
      <c r="K16" s="6"/>
      <c r="L16" s="897" t="s">
        <v>145</v>
      </c>
      <c r="M16" s="889">
        <v>3578</v>
      </c>
      <c r="N16" s="899">
        <v>146.01</v>
      </c>
      <c r="O16" s="898">
        <v>11144</v>
      </c>
      <c r="P16" s="1010">
        <f t="shared" si="0"/>
        <v>7.1780073686651376</v>
      </c>
      <c r="Q16" s="889">
        <f>'str1-3'!G32</f>
        <v>121101</v>
      </c>
      <c r="R16" s="889">
        <f>'str1-3'!K69</f>
        <v>4708</v>
      </c>
      <c r="S16" s="1011">
        <f t="shared" si="1"/>
        <v>125809</v>
      </c>
      <c r="T16" s="5"/>
      <c r="U16" s="1055"/>
      <c r="V16" s="1056"/>
      <c r="W16" s="1057"/>
      <c r="X16" s="1058"/>
      <c r="Y16" s="19"/>
      <c r="Z16" s="19"/>
    </row>
    <row r="17" spans="1:26" ht="12.75" customHeight="1">
      <c r="A17" s="888"/>
      <c r="B17" s="6" t="s">
        <v>197</v>
      </c>
      <c r="C17" s="4">
        <f>SUM(C8:C16)</f>
        <v>305752.6111919819</v>
      </c>
      <c r="D17" s="4">
        <f>SUM(D8:D16)</f>
        <v>349234.04999999993</v>
      </c>
      <c r="E17" s="4" t="e">
        <f>SUM(E8:E16)</f>
        <v>#REF!</v>
      </c>
      <c r="F17" s="5"/>
      <c r="G17" s="5"/>
      <c r="H17" s="5"/>
      <c r="I17" s="5"/>
      <c r="J17" s="5"/>
      <c r="K17" s="6"/>
      <c r="L17" s="887" t="s">
        <v>206</v>
      </c>
      <c r="M17" s="908">
        <f aca="true" t="shared" si="2" ref="M17:S17">SUM(M8:M16)</f>
        <v>32718</v>
      </c>
      <c r="N17" s="1047">
        <f t="shared" si="2"/>
        <v>2428.2700000000004</v>
      </c>
      <c r="O17" s="908">
        <f t="shared" si="2"/>
        <v>155252</v>
      </c>
      <c r="P17" s="1047">
        <f t="shared" si="2"/>
        <v>100</v>
      </c>
      <c r="Q17" s="908">
        <f t="shared" si="2"/>
        <v>1570693</v>
      </c>
      <c r="R17" s="908">
        <f t="shared" si="2"/>
        <v>112915</v>
      </c>
      <c r="S17" s="1048">
        <f t="shared" si="2"/>
        <v>1683608</v>
      </c>
      <c r="T17" s="5"/>
      <c r="U17" s="1034" t="s">
        <v>402</v>
      </c>
      <c r="V17" s="1049">
        <f>SUM(V8:V16)</f>
        <v>372174</v>
      </c>
      <c r="W17" s="1050">
        <f>SUM(W8:W16)</f>
        <v>463176.05</v>
      </c>
      <c r="X17" s="1051">
        <f>SUM(X8:X16)</f>
        <v>497794.1392</v>
      </c>
      <c r="Y17" s="19"/>
      <c r="Z17" s="19"/>
    </row>
    <row r="18" spans="1:26" ht="12.75" customHeight="1" thickBot="1">
      <c r="A18" s="888"/>
      <c r="B18" s="6"/>
      <c r="C18" s="6"/>
      <c r="D18" s="6"/>
      <c r="E18" s="6"/>
      <c r="F18" s="6"/>
      <c r="G18" s="6"/>
      <c r="H18" s="6"/>
      <c r="I18" s="6"/>
      <c r="J18" s="6"/>
      <c r="K18" s="6"/>
      <c r="L18" s="897" t="s">
        <v>196</v>
      </c>
      <c r="M18" s="898"/>
      <c r="N18" s="899"/>
      <c r="O18" s="898"/>
      <c r="P18" s="898"/>
      <c r="Q18" s="900"/>
      <c r="R18" s="898"/>
      <c r="S18" s="901"/>
      <c r="T18" s="4"/>
      <c r="U18" s="1035" t="s">
        <v>313</v>
      </c>
      <c r="V18" s="1039"/>
      <c r="W18" s="891"/>
      <c r="X18" s="1045">
        <f>'pril1-CP'!J5</f>
        <v>169333</v>
      </c>
      <c r="Y18" s="19"/>
      <c r="Z18" s="19"/>
    </row>
    <row r="19" spans="1:26" s="903" customFormat="1" ht="12.75" customHeight="1" thickBot="1">
      <c r="A19" s="90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896" t="s">
        <v>156</v>
      </c>
      <c r="M19" s="894"/>
      <c r="N19" s="894"/>
      <c r="O19" s="894"/>
      <c r="P19" s="894"/>
      <c r="Q19" s="894">
        <f>SUM(Q17:Q18)</f>
        <v>1570693</v>
      </c>
      <c r="R19" s="894">
        <f>SUM(R17:R18)</f>
        <v>112915</v>
      </c>
      <c r="S19" s="895">
        <f>SUM(S17:S18)</f>
        <v>1683608</v>
      </c>
      <c r="T19" s="5"/>
      <c r="U19" s="1036" t="s">
        <v>398</v>
      </c>
      <c r="V19" s="1040"/>
      <c r="W19" s="893"/>
      <c r="X19" s="1046">
        <f>X17-X18</f>
        <v>328461.1392</v>
      </c>
      <c r="Y19" s="19"/>
      <c r="Z19" s="19"/>
    </row>
    <row r="20" spans="12:28" ht="12">
      <c r="L20" s="6"/>
      <c r="M20" s="4"/>
      <c r="N20" s="13"/>
      <c r="O20" s="4"/>
      <c r="P20" s="904"/>
      <c r="Q20" s="4"/>
      <c r="R20" s="13"/>
      <c r="T20" s="905"/>
      <c r="U20" s="6"/>
      <c r="V20" s="4"/>
      <c r="W20" s="6"/>
      <c r="X20" s="4"/>
      <c r="Y20" s="6"/>
      <c r="Z20" s="6"/>
      <c r="AA20" s="6"/>
      <c r="AB20" s="6"/>
    </row>
    <row r="21" spans="12:27" ht="11.25">
      <c r="L21" s="885"/>
      <c r="N21" s="906"/>
      <c r="O21" s="905"/>
      <c r="V21" s="6"/>
      <c r="W21" s="6"/>
      <c r="X21" s="1059"/>
      <c r="Y21" s="4"/>
      <c r="Z21" s="4"/>
      <c r="AA21" s="4"/>
    </row>
    <row r="22" ht="12" thickBot="1"/>
    <row r="23" spans="2:28" s="885" customFormat="1" ht="12.75">
      <c r="B23" s="10" t="s">
        <v>147</v>
      </c>
      <c r="C23" s="10" t="s">
        <v>198</v>
      </c>
      <c r="D23" s="10" t="s">
        <v>200</v>
      </c>
      <c r="E23" s="10" t="s">
        <v>199</v>
      </c>
      <c r="L23" s="883"/>
      <c r="M23" s="1244" t="s">
        <v>404</v>
      </c>
      <c r="N23" s="1245"/>
      <c r="O23" s="1245"/>
      <c r="P23" s="1245"/>
      <c r="Q23" s="1245"/>
      <c r="R23" s="1246"/>
      <c r="S23" s="1099">
        <f>X19/(S17-X18)</f>
        <v>0.2169098342110911</v>
      </c>
      <c r="T23" s="1247" t="s">
        <v>403</v>
      </c>
      <c r="U23" s="1245"/>
      <c r="V23" s="1245"/>
      <c r="W23" s="1246"/>
      <c r="X23" s="1248" t="s">
        <v>156</v>
      </c>
      <c r="Y23" s="1249"/>
      <c r="Z23" s="1249"/>
      <c r="AA23" s="1250"/>
      <c r="AB23" s="1097"/>
    </row>
    <row r="24" spans="2:28" s="885" customFormat="1" ht="11.25">
      <c r="B24" s="10"/>
      <c r="C24" s="10"/>
      <c r="D24" s="10"/>
      <c r="E24" s="10"/>
      <c r="L24" s="886" t="s">
        <v>147</v>
      </c>
      <c r="M24" s="1100" t="s">
        <v>208</v>
      </c>
      <c r="N24" s="1101" t="s">
        <v>252</v>
      </c>
      <c r="O24" s="1102" t="s">
        <v>251</v>
      </c>
      <c r="P24" s="1101" t="s">
        <v>207</v>
      </c>
      <c r="Q24" s="1102"/>
      <c r="R24" s="1103"/>
      <c r="S24" s="1109" t="s">
        <v>164</v>
      </c>
      <c r="T24" s="1101" t="s">
        <v>164</v>
      </c>
      <c r="U24" s="1101" t="s">
        <v>165</v>
      </c>
      <c r="V24" s="1104"/>
      <c r="W24" s="1110"/>
      <c r="X24" s="1118"/>
      <c r="Y24" s="1105"/>
      <c r="Z24" s="9"/>
      <c r="AA24" s="1125" t="s">
        <v>397</v>
      </c>
      <c r="AB24" s="1098" t="s">
        <v>397</v>
      </c>
    </row>
    <row r="25" spans="2:28" s="885" customFormat="1" ht="11.25">
      <c r="B25" s="6" t="s">
        <v>138</v>
      </c>
      <c r="C25" s="11" t="e">
        <f>#REF!/#REF!*100</f>
        <v>#REF!</v>
      </c>
      <c r="D25" s="11" t="e">
        <f>#REF!/#REF!*100</f>
        <v>#REF!</v>
      </c>
      <c r="E25" s="11" t="e">
        <f>#REF!</f>
        <v>#REF!</v>
      </c>
      <c r="L25" s="886"/>
      <c r="M25" s="1100" t="s">
        <v>194</v>
      </c>
      <c r="N25" s="1101" t="s">
        <v>207</v>
      </c>
      <c r="O25" s="1102" t="s">
        <v>153</v>
      </c>
      <c r="P25" s="1101" t="s">
        <v>195</v>
      </c>
      <c r="Q25" s="1102" t="s">
        <v>313</v>
      </c>
      <c r="R25" s="1103" t="s">
        <v>395</v>
      </c>
      <c r="S25" s="1109" t="s">
        <v>161</v>
      </c>
      <c r="T25" s="1101" t="s">
        <v>162</v>
      </c>
      <c r="U25" s="1101"/>
      <c r="V25" s="1104" t="s">
        <v>398</v>
      </c>
      <c r="W25" s="1103" t="s">
        <v>395</v>
      </c>
      <c r="X25" s="1109" t="s">
        <v>399</v>
      </c>
      <c r="Y25" s="1102" t="s">
        <v>395</v>
      </c>
      <c r="Z25" s="7"/>
      <c r="AA25" s="1126">
        <v>2006</v>
      </c>
      <c r="AB25" s="1098">
        <v>2005</v>
      </c>
    </row>
    <row r="26" spans="2:28" s="885" customFormat="1" ht="12" thickBot="1">
      <c r="B26" s="6" t="s">
        <v>139</v>
      </c>
      <c r="C26" s="11" t="e">
        <f>#REF!/#REF!*100</f>
        <v>#REF!</v>
      </c>
      <c r="D26" s="11" t="e">
        <f>#REF!/#REF!*100</f>
        <v>#REF!</v>
      </c>
      <c r="E26" s="11" t="e">
        <f>#REF!</f>
        <v>#REF!</v>
      </c>
      <c r="L26" s="1087" t="s">
        <v>154</v>
      </c>
      <c r="M26" s="1100" t="s">
        <v>150</v>
      </c>
      <c r="N26" s="1101" t="s">
        <v>195</v>
      </c>
      <c r="O26" s="1106">
        <v>233330</v>
      </c>
      <c r="P26" s="1107" t="s">
        <v>259</v>
      </c>
      <c r="Q26" s="1102" t="s">
        <v>150</v>
      </c>
      <c r="R26" s="1103" t="s">
        <v>396</v>
      </c>
      <c r="S26" s="1111">
        <v>0.2</v>
      </c>
      <c r="T26" s="1108">
        <v>0.4</v>
      </c>
      <c r="U26" s="1108">
        <v>0.4</v>
      </c>
      <c r="V26" s="1104" t="s">
        <v>150</v>
      </c>
      <c r="W26" s="1103" t="s">
        <v>396</v>
      </c>
      <c r="X26" s="1109" t="s">
        <v>150</v>
      </c>
      <c r="Y26" s="1102" t="s">
        <v>396</v>
      </c>
      <c r="Z26" s="7"/>
      <c r="AA26" s="1126" t="s">
        <v>150</v>
      </c>
      <c r="AB26" s="1098" t="s">
        <v>150</v>
      </c>
    </row>
    <row r="27" spans="2:30" ht="12.75" customHeight="1">
      <c r="B27" s="6" t="s">
        <v>140</v>
      </c>
      <c r="C27" s="11" t="e">
        <f>#REF!/#REF!*100</f>
        <v>#REF!</v>
      </c>
      <c r="D27" s="11" t="e">
        <f>#REF!/#REF!*100</f>
        <v>#REF!</v>
      </c>
      <c r="E27" s="11" t="e">
        <f>#REF!</f>
        <v>#REF!</v>
      </c>
      <c r="L27" s="883" t="s">
        <v>138</v>
      </c>
      <c r="M27" s="1082">
        <f>S8/$S$17*$M$36</f>
        <v>19549.231768915328</v>
      </c>
      <c r="N27" s="1066">
        <f>S8/$S$17*$N$36</f>
        <v>7538.499717273854</v>
      </c>
      <c r="O27" s="1064">
        <f>S8/$S$17*$O$36</f>
        <v>1902.98935916199</v>
      </c>
      <c r="P27" s="1066">
        <f>S8/$S$17*$P$36</f>
        <v>4446.956559959325</v>
      </c>
      <c r="Q27" s="1064">
        <f>SUM(M27:P27)</f>
        <v>33437.6774053105</v>
      </c>
      <c r="R27" s="1092">
        <f>Q27/S8*100</f>
        <v>10.057745033285657</v>
      </c>
      <c r="S27" s="1112">
        <f>$S$23*$S$26*($S$17-$Q$36)*M8/$M$17</f>
        <v>7077.605695213645</v>
      </c>
      <c r="T27" s="1066">
        <f>$S$23*$T$26*($S$17-$Q$36)*N8/$N$17</f>
        <v>28069.213027245893</v>
      </c>
      <c r="U27" s="1066">
        <f>$S$23*$U$26*($S$17-$Q$36)*O8/$O$17</f>
        <v>23766.528310856676</v>
      </c>
      <c r="V27" s="1088">
        <f aca="true" t="shared" si="3" ref="V27:V35">SUM(S27:U27)</f>
        <v>58913.34703331621</v>
      </c>
      <c r="W27" s="1092">
        <f>V27/S8*100</f>
        <v>17.720591545167107</v>
      </c>
      <c r="X27" s="1112">
        <f>Q27+V27</f>
        <v>92351.02443862671</v>
      </c>
      <c r="Y27" s="1065">
        <f>X27/S8*100</f>
        <v>27.778336578452766</v>
      </c>
      <c r="Z27" s="1067">
        <f>S8-X27</f>
        <v>240105.97556137329</v>
      </c>
      <c r="AA27" s="1233">
        <v>240106</v>
      </c>
      <c r="AB27" s="1122">
        <v>210365</v>
      </c>
      <c r="AC27" s="1232">
        <f aca="true" t="shared" si="4" ref="AC27:AC35">S8-X27</f>
        <v>240105.97556137329</v>
      </c>
      <c r="AD27" s="881">
        <v>240106</v>
      </c>
    </row>
    <row r="28" spans="2:30" ht="12.75" customHeight="1">
      <c r="B28" s="6" t="s">
        <v>141</v>
      </c>
      <c r="C28" s="11" t="e">
        <f>#REF!/#REF!*100</f>
        <v>#REF!</v>
      </c>
      <c r="D28" s="11" t="e">
        <f>#REF!/#REF!*100</f>
        <v>#REF!</v>
      </c>
      <c r="E28" s="11" t="e">
        <f>#REF!</f>
        <v>#REF!</v>
      </c>
      <c r="L28" s="1080" t="s">
        <v>139</v>
      </c>
      <c r="M28" s="1083">
        <f aca="true" t="shared" si="5" ref="M28:M35">S9/$S$17*$M$36</f>
        <v>16639.871038864156</v>
      </c>
      <c r="N28" s="1013">
        <f aca="true" t="shared" si="6" ref="N28:N35">S9/$S$17*$N$36</f>
        <v>6416.603199794727</v>
      </c>
      <c r="O28" s="1061">
        <f aca="true" t="shared" si="7" ref="O28:O35">S9/$S$17*$O$36</f>
        <v>1619.7821939548874</v>
      </c>
      <c r="P28" s="1013">
        <f aca="true" t="shared" si="8" ref="P28:P35">S9/$S$17*$P$36</f>
        <v>3785.1504625779876</v>
      </c>
      <c r="Q28" s="1061">
        <f aca="true" t="shared" si="9" ref="Q28:Q35">SUM(M28:P28)</f>
        <v>28461.40689519176</v>
      </c>
      <c r="R28" s="1093">
        <f aca="true" t="shared" si="10" ref="R28:R35">Q28/S9*100</f>
        <v>10.057745033285661</v>
      </c>
      <c r="S28" s="1113">
        <f aca="true" t="shared" si="11" ref="S28:S35">$S$23*$S$26*($S$17-$Q$36)*M9/$M$17</f>
        <v>14629.059601511095</v>
      </c>
      <c r="T28" s="1013">
        <f aca="true" t="shared" si="12" ref="T28:T35">$S$23*$T$26*($S$17-$Q$36)*N9/$N$17</f>
        <v>17892.919441979677</v>
      </c>
      <c r="U28" s="1013">
        <f aca="true" t="shared" si="13" ref="U28:U35">$S$23*$U$26*($S$17-$Q$36)*O9/$O$17</f>
        <v>18176.942799775334</v>
      </c>
      <c r="V28" s="1089">
        <f t="shared" si="3"/>
        <v>50698.9218432661</v>
      </c>
      <c r="W28" s="1093">
        <f aca="true" t="shared" si="14" ref="W28:W35">V28/S9*100</f>
        <v>17.916079526208957</v>
      </c>
      <c r="X28" s="1113">
        <f aca="true" t="shared" si="15" ref="X28:X35">Q28+V28</f>
        <v>79160.32873845786</v>
      </c>
      <c r="Y28" s="1062">
        <f aca="true" t="shared" si="16" ref="Y28:Y36">X28/S9*100</f>
        <v>27.973824559494613</v>
      </c>
      <c r="Z28" s="1063">
        <f aca="true" t="shared" si="17" ref="Z28:Z35">S9-X28</f>
        <v>203819.67126154213</v>
      </c>
      <c r="AA28" s="1234">
        <v>203820</v>
      </c>
      <c r="AB28" s="1123">
        <v>165757</v>
      </c>
      <c r="AC28" s="1232">
        <f t="shared" si="4"/>
        <v>203819.67126154213</v>
      </c>
      <c r="AD28" s="881">
        <v>203820</v>
      </c>
    </row>
    <row r="29" spans="2:30" ht="12.75" customHeight="1">
      <c r="B29" s="6" t="s">
        <v>142</v>
      </c>
      <c r="C29" s="11" t="e">
        <f>#REF!/#REF!*100</f>
        <v>#REF!</v>
      </c>
      <c r="D29" s="11" t="e">
        <f>#REF!/#REF!*100</f>
        <v>#REF!</v>
      </c>
      <c r="E29" s="11" t="e">
        <f>#REF!</f>
        <v>#REF!</v>
      </c>
      <c r="L29" s="1080" t="s">
        <v>140</v>
      </c>
      <c r="M29" s="1083">
        <f t="shared" si="5"/>
        <v>7087.851210020384</v>
      </c>
      <c r="N29" s="1013">
        <f t="shared" si="6"/>
        <v>2733.1899777145272</v>
      </c>
      <c r="O29" s="1061">
        <f t="shared" si="7"/>
        <v>689.9557788986509</v>
      </c>
      <c r="P29" s="1013">
        <f t="shared" si="8"/>
        <v>1612.3071641379704</v>
      </c>
      <c r="Q29" s="1061">
        <f t="shared" si="9"/>
        <v>12123.304130771532</v>
      </c>
      <c r="R29" s="1093">
        <f t="shared" si="10"/>
        <v>10.057745033285656</v>
      </c>
      <c r="S29" s="1113">
        <f t="shared" si="11"/>
        <v>7053.511718378874</v>
      </c>
      <c r="T29" s="1013">
        <f t="shared" si="12"/>
        <v>6908.820331256079</v>
      </c>
      <c r="U29" s="1013">
        <f t="shared" si="13"/>
        <v>10654.486235354136</v>
      </c>
      <c r="V29" s="1089">
        <f t="shared" si="3"/>
        <v>24616.818284989087</v>
      </c>
      <c r="W29" s="1093">
        <f t="shared" si="14"/>
        <v>20.422623995112776</v>
      </c>
      <c r="X29" s="1113">
        <f t="shared" si="15"/>
        <v>36740.12241576062</v>
      </c>
      <c r="Y29" s="1062">
        <f t="shared" si="16"/>
        <v>30.480369028398435</v>
      </c>
      <c r="Z29" s="1063">
        <f t="shared" si="17"/>
        <v>83796.87758423938</v>
      </c>
      <c r="AA29" s="1234">
        <v>83797</v>
      </c>
      <c r="AB29" s="1123">
        <v>70833</v>
      </c>
      <c r="AC29" s="1232">
        <f t="shared" si="4"/>
        <v>83796.87758423938</v>
      </c>
      <c r="AD29" s="881">
        <v>83797</v>
      </c>
    </row>
    <row r="30" spans="2:30" ht="12.75" customHeight="1">
      <c r="B30" s="6" t="s">
        <v>143</v>
      </c>
      <c r="C30" s="11" t="e">
        <f>#REF!/#REF!*100</f>
        <v>#REF!</v>
      </c>
      <c r="D30" s="11" t="e">
        <f>#REF!/#REF!*100</f>
        <v>#REF!</v>
      </c>
      <c r="E30" s="11" t="e">
        <f>#REF!</f>
        <v>#REF!</v>
      </c>
      <c r="L30" s="1080" t="s">
        <v>141</v>
      </c>
      <c r="M30" s="1083">
        <f t="shared" si="5"/>
        <v>7265.845731310376</v>
      </c>
      <c r="N30" s="1013">
        <f t="shared" si="6"/>
        <v>2801.82754180308</v>
      </c>
      <c r="O30" s="1061">
        <f t="shared" si="7"/>
        <v>707.2823768953343</v>
      </c>
      <c r="P30" s="1013">
        <f t="shared" si="8"/>
        <v>1652.7964229202996</v>
      </c>
      <c r="Q30" s="1061">
        <f t="shared" si="9"/>
        <v>12427.75207292909</v>
      </c>
      <c r="R30" s="1093">
        <f t="shared" si="10"/>
        <v>10.057745033285657</v>
      </c>
      <c r="S30" s="1113">
        <f t="shared" si="11"/>
        <v>6398.958681034294</v>
      </c>
      <c r="T30" s="1013">
        <f t="shared" si="12"/>
        <v>8756.546968521294</v>
      </c>
      <c r="U30" s="1013">
        <f t="shared" si="13"/>
        <v>12688.06291712983</v>
      </c>
      <c r="V30" s="1089">
        <f t="shared" si="3"/>
        <v>27843.56856668542</v>
      </c>
      <c r="W30" s="1093">
        <f t="shared" si="14"/>
        <v>22.533722254609287</v>
      </c>
      <c r="X30" s="1113">
        <f t="shared" si="15"/>
        <v>40271.32063961451</v>
      </c>
      <c r="Y30" s="1062">
        <f t="shared" si="16"/>
        <v>32.59146728789494</v>
      </c>
      <c r="Z30" s="1063">
        <f t="shared" si="17"/>
        <v>83292.67936038549</v>
      </c>
      <c r="AA30" s="1234">
        <v>83293</v>
      </c>
      <c r="AB30" s="1123">
        <v>68248</v>
      </c>
      <c r="AC30" s="1232">
        <f t="shared" si="4"/>
        <v>83292.67936038549</v>
      </c>
      <c r="AD30" s="881">
        <v>83293</v>
      </c>
    </row>
    <row r="31" spans="2:30" ht="12.75" customHeight="1">
      <c r="B31" s="6" t="s">
        <v>144</v>
      </c>
      <c r="C31" s="11" t="e">
        <f>#REF!/#REF!*100</f>
        <v>#REF!</v>
      </c>
      <c r="D31" s="11" t="e">
        <f>#REF!/#REF!*100</f>
        <v>#REF!</v>
      </c>
      <c r="E31" s="11" t="e">
        <f>#REF!</f>
        <v>#REF!</v>
      </c>
      <c r="L31" s="1080" t="s">
        <v>142</v>
      </c>
      <c r="M31" s="1083">
        <f t="shared" si="5"/>
        <v>17633.923692450975</v>
      </c>
      <c r="N31" s="1013">
        <f t="shared" si="6"/>
        <v>6799.9259685152365</v>
      </c>
      <c r="O31" s="1061">
        <f t="shared" si="7"/>
        <v>1716.5466931732326</v>
      </c>
      <c r="P31" s="1013">
        <f t="shared" si="8"/>
        <v>4011.272338929252</v>
      </c>
      <c r="Q31" s="1061">
        <f t="shared" si="9"/>
        <v>30161.668693068696</v>
      </c>
      <c r="R31" s="1093">
        <f t="shared" si="10"/>
        <v>10.057745033285657</v>
      </c>
      <c r="S31" s="1113">
        <f t="shared" si="11"/>
        <v>6435.099646286449</v>
      </c>
      <c r="T31" s="1013">
        <f t="shared" si="12"/>
        <v>35848.06101083652</v>
      </c>
      <c r="U31" s="1013">
        <f t="shared" si="13"/>
        <v>30356.39998001495</v>
      </c>
      <c r="V31" s="1089">
        <f t="shared" si="3"/>
        <v>72639.56063713793</v>
      </c>
      <c r="W31" s="1093">
        <f t="shared" si="14"/>
        <v>24.222472160040656</v>
      </c>
      <c r="X31" s="1113">
        <f t="shared" si="15"/>
        <v>102801.22933020662</v>
      </c>
      <c r="Y31" s="1062">
        <f t="shared" si="16"/>
        <v>34.280217193326315</v>
      </c>
      <c r="Z31" s="1063">
        <f t="shared" si="17"/>
        <v>197083.77066979336</v>
      </c>
      <c r="AA31" s="1234">
        <v>197084</v>
      </c>
      <c r="AB31" s="1123">
        <v>175346</v>
      </c>
      <c r="AC31" s="1232">
        <f t="shared" si="4"/>
        <v>197083.77066979336</v>
      </c>
      <c r="AD31" s="881">
        <v>197084</v>
      </c>
    </row>
    <row r="32" spans="2:30" ht="12.75" customHeight="1">
      <c r="B32" s="6" t="s">
        <v>149</v>
      </c>
      <c r="C32" s="11" t="e">
        <f>#REF!/#REF!*100</f>
        <v>#REF!</v>
      </c>
      <c r="D32" s="11" t="e">
        <f>#REF!/#REF!*100</f>
        <v>#REF!</v>
      </c>
      <c r="E32" s="11" t="e">
        <f>#REF!</f>
        <v>#REF!</v>
      </c>
      <c r="L32" s="1080" t="s">
        <v>143</v>
      </c>
      <c r="M32" s="1083">
        <f t="shared" si="5"/>
        <v>6755.677093480193</v>
      </c>
      <c r="N32" s="1013">
        <f t="shared" si="6"/>
        <v>2605.098269906059</v>
      </c>
      <c r="O32" s="1061">
        <f t="shared" si="7"/>
        <v>657.6208095946325</v>
      </c>
      <c r="P32" s="1013">
        <f t="shared" si="8"/>
        <v>1536.745940860343</v>
      </c>
      <c r="Q32" s="1061">
        <f t="shared" si="9"/>
        <v>11555.142113841228</v>
      </c>
      <c r="R32" s="1093">
        <f t="shared" si="10"/>
        <v>10.05774503328566</v>
      </c>
      <c r="S32" s="1113">
        <f t="shared" si="11"/>
        <v>3933.3417182761787</v>
      </c>
      <c r="T32" s="1013">
        <f t="shared" si="12"/>
        <v>6481.92243468148</v>
      </c>
      <c r="U32" s="1013">
        <f t="shared" si="13"/>
        <v>7466.603022599646</v>
      </c>
      <c r="V32" s="1089">
        <f t="shared" si="3"/>
        <v>17881.8671755573</v>
      </c>
      <c r="W32" s="1093">
        <f t="shared" si="14"/>
        <v>15.564608292909007</v>
      </c>
      <c r="X32" s="1113">
        <f t="shared" si="15"/>
        <v>29437.009289398527</v>
      </c>
      <c r="Y32" s="1062">
        <f t="shared" si="16"/>
        <v>25.622353326194663</v>
      </c>
      <c r="Z32" s="1063">
        <f t="shared" si="17"/>
        <v>85450.99071060147</v>
      </c>
      <c r="AA32" s="1234">
        <v>85451</v>
      </c>
      <c r="AB32" s="1123">
        <v>69415</v>
      </c>
      <c r="AC32" s="1232">
        <f t="shared" si="4"/>
        <v>85450.99071060147</v>
      </c>
      <c r="AD32" s="881">
        <v>85451</v>
      </c>
    </row>
    <row r="33" spans="2:30" ht="12.75" customHeight="1">
      <c r="B33" s="6" t="s">
        <v>145</v>
      </c>
      <c r="C33" s="11" t="e">
        <f>#REF!/#REF!*100</f>
        <v>#REF!</v>
      </c>
      <c r="D33" s="11" t="e">
        <f>#REF!/#REF!*100</f>
        <v>#REF!</v>
      </c>
      <c r="E33" s="11" t="e">
        <f>#REF!</f>
        <v>#REF!</v>
      </c>
      <c r="L33" s="1080" t="s">
        <v>144</v>
      </c>
      <c r="M33" s="1083">
        <f t="shared" si="5"/>
        <v>13230.279257404336</v>
      </c>
      <c r="N33" s="1013">
        <f t="shared" si="6"/>
        <v>5101.809504350181</v>
      </c>
      <c r="O33" s="1061">
        <f t="shared" si="7"/>
        <v>1287.8808202384403</v>
      </c>
      <c r="P33" s="1013">
        <f t="shared" si="8"/>
        <v>3009.5544330984408</v>
      </c>
      <c r="Q33" s="1061">
        <f t="shared" si="9"/>
        <v>22629.524015091396</v>
      </c>
      <c r="R33" s="1093">
        <f t="shared" si="10"/>
        <v>10.057745033285656</v>
      </c>
      <c r="S33" s="1113">
        <f t="shared" si="11"/>
        <v>10597.334144492941</v>
      </c>
      <c r="T33" s="1013">
        <f t="shared" si="12"/>
        <v>15035.571163385948</v>
      </c>
      <c r="U33" s="1013">
        <f t="shared" si="13"/>
        <v>14411.906321531445</v>
      </c>
      <c r="V33" s="1089">
        <f t="shared" si="3"/>
        <v>40044.81162941034</v>
      </c>
      <c r="W33" s="1093">
        <f t="shared" si="14"/>
        <v>17.798010466590668</v>
      </c>
      <c r="X33" s="1113">
        <f t="shared" si="15"/>
        <v>62674.335644501734</v>
      </c>
      <c r="Y33" s="1062">
        <f t="shared" si="16"/>
        <v>27.855755499876324</v>
      </c>
      <c r="Z33" s="1063">
        <f t="shared" si="17"/>
        <v>162321.66435549827</v>
      </c>
      <c r="AA33" s="1234">
        <v>162321</v>
      </c>
      <c r="AB33" s="1123">
        <v>146547</v>
      </c>
      <c r="AC33" s="1232">
        <f t="shared" si="4"/>
        <v>162321.66435549827</v>
      </c>
      <c r="AD33" s="881">
        <v>162321</v>
      </c>
    </row>
    <row r="34" spans="2:30" ht="12.75" customHeight="1">
      <c r="B34" s="6" t="s">
        <v>197</v>
      </c>
      <c r="C34" s="11" t="e">
        <f>#REF!/#REF!*100</f>
        <v>#REF!</v>
      </c>
      <c r="D34" s="11" t="e">
        <f>#REF!/#REF!*100</f>
        <v>#REF!</v>
      </c>
      <c r="E34" s="11" t="e">
        <f>#REF!</f>
        <v>#REF!</v>
      </c>
      <c r="L34" s="1080" t="s">
        <v>149</v>
      </c>
      <c r="M34" s="1083">
        <f t="shared" si="5"/>
        <v>3439.4633430109625</v>
      </c>
      <c r="N34" s="1013">
        <f t="shared" si="6"/>
        <v>1326.3126523513788</v>
      </c>
      <c r="O34" s="1061">
        <f t="shared" si="7"/>
        <v>334.8091741070368</v>
      </c>
      <c r="P34" s="1013">
        <f t="shared" si="8"/>
        <v>782.3910554000695</v>
      </c>
      <c r="Q34" s="1061">
        <f t="shared" si="9"/>
        <v>5882.976224869447</v>
      </c>
      <c r="R34" s="1093">
        <f t="shared" si="10"/>
        <v>10.057745033285657</v>
      </c>
      <c r="S34" s="1113">
        <f t="shared" si="11"/>
        <v>2383.2958752393183</v>
      </c>
      <c r="T34" s="1013">
        <f t="shared" si="12"/>
        <v>4491.355436585223</v>
      </c>
      <c r="U34" s="1013">
        <f t="shared" si="13"/>
        <v>4432.740182747018</v>
      </c>
      <c r="V34" s="1089">
        <f t="shared" si="3"/>
        <v>11307.391494571559</v>
      </c>
      <c r="W34" s="1093">
        <f t="shared" si="14"/>
        <v>19.331517976084864</v>
      </c>
      <c r="X34" s="1113">
        <f t="shared" si="15"/>
        <v>17190.367719441005</v>
      </c>
      <c r="Y34" s="1062">
        <f t="shared" si="16"/>
        <v>29.38926300937052</v>
      </c>
      <c r="Z34" s="1063">
        <f t="shared" si="17"/>
        <v>41301.632280558995</v>
      </c>
      <c r="AA34" s="1234">
        <v>41302</v>
      </c>
      <c r="AB34" s="1123">
        <v>45146</v>
      </c>
      <c r="AC34" s="1232">
        <f t="shared" si="4"/>
        <v>41301.632280558995</v>
      </c>
      <c r="AD34" s="881">
        <v>41302</v>
      </c>
    </row>
    <row r="35" spans="12:30" ht="12.75" customHeight="1" thickBot="1">
      <c r="L35" s="1081" t="s">
        <v>145</v>
      </c>
      <c r="M35" s="1084">
        <f t="shared" si="5"/>
        <v>7397.85686454329</v>
      </c>
      <c r="N35" s="1070">
        <f t="shared" si="6"/>
        <v>2852.7331682909557</v>
      </c>
      <c r="O35" s="1068">
        <f t="shared" si="7"/>
        <v>720.1327939757948</v>
      </c>
      <c r="P35" s="1070">
        <f t="shared" si="8"/>
        <v>1682.825622116312</v>
      </c>
      <c r="Q35" s="1068">
        <f t="shared" si="9"/>
        <v>12653.548448926353</v>
      </c>
      <c r="R35" s="1094">
        <f t="shared" si="10"/>
        <v>10.057745033285657</v>
      </c>
      <c r="S35" s="1114">
        <f t="shared" si="11"/>
        <v>7184.020759567211</v>
      </c>
      <c r="T35" s="1070">
        <f t="shared" si="12"/>
        <v>7900.045865507871</v>
      </c>
      <c r="U35" s="1070">
        <f t="shared" si="13"/>
        <v>9430.785909990984</v>
      </c>
      <c r="V35" s="1090">
        <f t="shared" si="3"/>
        <v>24514.852535066064</v>
      </c>
      <c r="W35" s="1094">
        <f t="shared" si="14"/>
        <v>19.485770123811545</v>
      </c>
      <c r="X35" s="1114">
        <f t="shared" si="15"/>
        <v>37168.40098399242</v>
      </c>
      <c r="Y35" s="1069">
        <f t="shared" si="16"/>
        <v>29.5435151570972</v>
      </c>
      <c r="Z35" s="1071">
        <f t="shared" si="17"/>
        <v>88640.59901600759</v>
      </c>
      <c r="AA35" s="1235">
        <v>88640</v>
      </c>
      <c r="AB35" s="1124">
        <v>78401</v>
      </c>
      <c r="AC35" s="1232">
        <f t="shared" si="4"/>
        <v>88640.59901600759</v>
      </c>
      <c r="AD35" s="881">
        <v>88640</v>
      </c>
    </row>
    <row r="36" spans="12:30" ht="12.75" customHeight="1">
      <c r="L36" s="1079" t="s">
        <v>206</v>
      </c>
      <c r="M36" s="1085">
        <f>'pril1-CP'!J6</f>
        <v>99000</v>
      </c>
      <c r="N36" s="1091">
        <f>'pril1-CP'!J7</f>
        <v>38176</v>
      </c>
      <c r="O36" s="1072">
        <f>'pril1-CP'!J19</f>
        <v>9637</v>
      </c>
      <c r="P36" s="1091">
        <f>'pril1-CP'!J8</f>
        <v>22520</v>
      </c>
      <c r="Q36" s="1072">
        <f>SUM(Q27:Q35)</f>
        <v>169333.00000000003</v>
      </c>
      <c r="R36" s="1095">
        <f>Q36/S17*100</f>
        <v>10.057745033285661</v>
      </c>
      <c r="S36" s="1115">
        <f>SUM(S27:S35)</f>
        <v>65692.22784</v>
      </c>
      <c r="T36" s="908">
        <f>SUM(T27:T35)</f>
        <v>131384.45567999998</v>
      </c>
      <c r="U36" s="908">
        <f>SUM(U27:U35)</f>
        <v>131384.45568</v>
      </c>
      <c r="V36" s="1096">
        <f>SUM(V27:V35)</f>
        <v>328461.1392000001</v>
      </c>
      <c r="W36" s="1095">
        <f>V36/S17*100</f>
        <v>19.5093596134017</v>
      </c>
      <c r="X36" s="1119">
        <f>SUM(X27:X35)</f>
        <v>497794.1392000001</v>
      </c>
      <c r="Y36" s="1073">
        <f t="shared" si="16"/>
        <v>29.56710464668736</v>
      </c>
      <c r="Z36" s="1074">
        <f>SUM(Z27:Z35)</f>
        <v>1185813.8608</v>
      </c>
      <c r="AA36" s="1127">
        <f>SUM(AA27:AA35)</f>
        <v>1185814</v>
      </c>
      <c r="AB36" s="1075">
        <f>SUM(AB27:AB35)</f>
        <v>1030058</v>
      </c>
      <c r="AC36" s="1075">
        <f>SUM(AC27:AC35)</f>
        <v>1185813.8608</v>
      </c>
      <c r="AD36" s="1075">
        <f>SUM(AD27:AD35)</f>
        <v>1185814</v>
      </c>
    </row>
    <row r="37" spans="12:28" ht="12.75" customHeight="1" thickBot="1">
      <c r="L37" s="888" t="s">
        <v>399</v>
      </c>
      <c r="M37" s="888"/>
      <c r="N37" s="6"/>
      <c r="O37" s="6"/>
      <c r="P37" s="6"/>
      <c r="Q37" s="6"/>
      <c r="R37" s="1060"/>
      <c r="S37" s="888"/>
      <c r="T37" s="6"/>
      <c r="U37" s="6"/>
      <c r="V37" s="6"/>
      <c r="W37" s="1116"/>
      <c r="X37" s="1120"/>
      <c r="Y37" s="6"/>
      <c r="Z37" s="6"/>
      <c r="AA37" s="1128">
        <v>497794</v>
      </c>
      <c r="AB37" s="1060">
        <v>448944</v>
      </c>
    </row>
    <row r="38" spans="2:28" ht="12.75" customHeight="1" thickBot="1">
      <c r="B38" s="10" t="s">
        <v>147</v>
      </c>
      <c r="C38" s="10" t="s">
        <v>202</v>
      </c>
      <c r="D38" s="10" t="s">
        <v>203</v>
      </c>
      <c r="E38" s="10" t="s">
        <v>204</v>
      </c>
      <c r="L38" s="1076" t="s">
        <v>317</v>
      </c>
      <c r="M38" s="1076"/>
      <c r="N38" s="1077"/>
      <c r="O38" s="1077"/>
      <c r="P38" s="1077"/>
      <c r="Q38" s="1077"/>
      <c r="R38" s="1086"/>
      <c r="S38" s="1076"/>
      <c r="T38" s="1077"/>
      <c r="U38" s="1077"/>
      <c r="V38" s="1077"/>
      <c r="W38" s="1117"/>
      <c r="X38" s="1121"/>
      <c r="Y38" s="1077"/>
      <c r="Z38" s="1077"/>
      <c r="AA38" s="959">
        <f>SUM(AA36:AA37)</f>
        <v>1683608</v>
      </c>
      <c r="AB38" s="1078">
        <f>SUM(AB36:AB37)</f>
        <v>1479002</v>
      </c>
    </row>
    <row r="39" spans="2:21" ht="11.25">
      <c r="B39" s="10" t="s">
        <v>147</v>
      </c>
      <c r="C39" s="10" t="s">
        <v>202</v>
      </c>
      <c r="D39" s="10" t="s">
        <v>203</v>
      </c>
      <c r="E39" s="10" t="s">
        <v>204</v>
      </c>
      <c r="U39" s="987"/>
    </row>
    <row r="40" spans="2:5" ht="11.25">
      <c r="B40" s="6" t="s">
        <v>138</v>
      </c>
      <c r="C40" s="4" t="e">
        <f>#REF!-#REF!</f>
        <v>#REF!</v>
      </c>
      <c r="D40" s="4" t="e">
        <f>#REF!-#REF!</f>
        <v>#REF!</v>
      </c>
      <c r="E40" s="4" t="e">
        <f>#REF!</f>
        <v>#REF!</v>
      </c>
    </row>
    <row r="41" spans="2:5" ht="11.25">
      <c r="B41" s="6" t="s">
        <v>139</v>
      </c>
      <c r="C41" s="4" t="e">
        <f>#REF!-#REF!</f>
        <v>#REF!</v>
      </c>
      <c r="D41" s="4" t="e">
        <f>#REF!-#REF!</f>
        <v>#REF!</v>
      </c>
      <c r="E41" s="4" t="e">
        <f>#REF!</f>
        <v>#REF!</v>
      </c>
    </row>
    <row r="42" spans="2:5" ht="11.25">
      <c r="B42" s="6" t="s">
        <v>140</v>
      </c>
      <c r="C42" s="4" t="e">
        <f>#REF!-#REF!</f>
        <v>#REF!</v>
      </c>
      <c r="D42" s="4" t="e">
        <f>#REF!-#REF!</f>
        <v>#REF!</v>
      </c>
      <c r="E42" s="4" t="e">
        <f>#REF!</f>
        <v>#REF!</v>
      </c>
    </row>
    <row r="43" spans="2:5" ht="11.25">
      <c r="B43" s="6" t="s">
        <v>141</v>
      </c>
      <c r="C43" s="4" t="e">
        <f>#REF!-#REF!</f>
        <v>#REF!</v>
      </c>
      <c r="D43" s="4" t="e">
        <f>#REF!-#REF!</f>
        <v>#REF!</v>
      </c>
      <c r="E43" s="4" t="e">
        <f>#REF!</f>
        <v>#REF!</v>
      </c>
    </row>
    <row r="44" spans="2:5" ht="11.25">
      <c r="B44" s="6" t="s">
        <v>142</v>
      </c>
      <c r="C44" s="4" t="e">
        <f>#REF!-#REF!</f>
        <v>#REF!</v>
      </c>
      <c r="D44" s="4" t="e">
        <f>#REF!-#REF!</f>
        <v>#REF!</v>
      </c>
      <c r="E44" s="4" t="e">
        <f>#REF!</f>
        <v>#REF!</v>
      </c>
    </row>
    <row r="45" spans="2:5" ht="11.25">
      <c r="B45" s="6" t="s">
        <v>143</v>
      </c>
      <c r="C45" s="4" t="e">
        <f>#REF!-#REF!</f>
        <v>#REF!</v>
      </c>
      <c r="D45" s="4" t="e">
        <f>#REF!-#REF!</f>
        <v>#REF!</v>
      </c>
      <c r="E45" s="4" t="e">
        <f>#REF!</f>
        <v>#REF!</v>
      </c>
    </row>
    <row r="46" spans="2:5" ht="11.25">
      <c r="B46" s="6" t="s">
        <v>144</v>
      </c>
      <c r="C46" s="4" t="e">
        <f>#REF!-#REF!</f>
        <v>#REF!</v>
      </c>
      <c r="D46" s="4" t="e">
        <f>#REF!-#REF!</f>
        <v>#REF!</v>
      </c>
      <c r="E46" s="4" t="e">
        <f>#REF!</f>
        <v>#REF!</v>
      </c>
    </row>
    <row r="47" spans="2:5" ht="11.25">
      <c r="B47" s="6" t="s">
        <v>149</v>
      </c>
      <c r="C47" s="4" t="e">
        <f>#REF!-#REF!</f>
        <v>#REF!</v>
      </c>
      <c r="D47" s="4" t="e">
        <f>#REF!-#REF!</f>
        <v>#REF!</v>
      </c>
      <c r="E47" s="4" t="e">
        <f>#REF!</f>
        <v>#REF!</v>
      </c>
    </row>
    <row r="48" spans="2:5" ht="11.25">
      <c r="B48" s="6" t="s">
        <v>145</v>
      </c>
      <c r="C48" s="4" t="e">
        <f>#REF!-#REF!</f>
        <v>#REF!</v>
      </c>
      <c r="D48" s="4" t="e">
        <f>#REF!-#REF!</f>
        <v>#REF!</v>
      </c>
      <c r="E48" s="4" t="e">
        <f>#REF!</f>
        <v>#REF!</v>
      </c>
    </row>
    <row r="49" spans="2:5" ht="11.25">
      <c r="B49" s="6" t="s">
        <v>197</v>
      </c>
      <c r="C49" s="4" t="e">
        <f>SUM(C40:C48)</f>
        <v>#REF!</v>
      </c>
      <c r="D49" s="4" t="e">
        <f>SUM(D40:D48)</f>
        <v>#REF!</v>
      </c>
      <c r="E49" s="4" t="e">
        <f>SUM(E40:E48)</f>
        <v>#REF!</v>
      </c>
    </row>
    <row r="52" ht="15.75">
      <c r="M52" s="12"/>
    </row>
    <row r="56" ht="11.25">
      <c r="O56" s="890"/>
    </row>
    <row r="57" ht="11.25">
      <c r="O57" s="890"/>
    </row>
    <row r="58" ht="11.25">
      <c r="O58" s="890"/>
    </row>
    <row r="59" ht="11.25">
      <c r="O59" s="890"/>
    </row>
    <row r="60" ht="11.25">
      <c r="O60" s="890"/>
    </row>
    <row r="61" ht="11.25">
      <c r="O61" s="890"/>
    </row>
    <row r="62" ht="11.25">
      <c r="O62" s="890"/>
    </row>
    <row r="63" spans="13:15" s="12" customFormat="1" ht="15.75">
      <c r="M63" s="881"/>
      <c r="O63" s="879"/>
    </row>
    <row r="64" ht="11.25">
      <c r="O64" s="890"/>
    </row>
    <row r="65" ht="11.25">
      <c r="O65" s="890"/>
    </row>
    <row r="66" ht="11.25" customHeight="1">
      <c r="O66" s="890"/>
    </row>
    <row r="67" ht="11.25" customHeight="1">
      <c r="O67" s="890"/>
    </row>
    <row r="68" ht="12" customHeight="1">
      <c r="O68" s="890"/>
    </row>
    <row r="69" ht="11.25" customHeight="1">
      <c r="O69" s="890"/>
    </row>
    <row r="70" ht="11.25">
      <c r="O70" s="890"/>
    </row>
    <row r="71" ht="11.25">
      <c r="O71" s="890"/>
    </row>
    <row r="72" ht="11.25">
      <c r="O72" s="890"/>
    </row>
    <row r="73" spans="13:15" ht="11.25">
      <c r="M73" s="10"/>
      <c r="O73" s="890"/>
    </row>
    <row r="74" spans="13:15" ht="11.25">
      <c r="M74" s="113"/>
      <c r="O74" s="890"/>
    </row>
    <row r="75" spans="13:15" ht="11.25">
      <c r="M75" s="113"/>
      <c r="O75" s="890"/>
    </row>
    <row r="76" spans="13:15" ht="11.25">
      <c r="M76" s="113"/>
      <c r="O76" s="890"/>
    </row>
    <row r="77" spans="13:15" ht="11.25">
      <c r="M77" s="907"/>
      <c r="O77" s="890"/>
    </row>
    <row r="78" spans="13:15" ht="11.25">
      <c r="M78" s="907"/>
      <c r="O78" s="890"/>
    </row>
    <row r="79" spans="13:15" ht="11.25">
      <c r="M79" s="907"/>
      <c r="O79" s="890"/>
    </row>
    <row r="80" spans="13:15" ht="11.25">
      <c r="M80" s="907"/>
      <c r="O80" s="890"/>
    </row>
    <row r="81" spans="13:15" ht="11.25">
      <c r="M81" s="907"/>
      <c r="O81" s="890"/>
    </row>
    <row r="82" spans="13:15" ht="11.25">
      <c r="M82" s="907"/>
      <c r="O82" s="890"/>
    </row>
    <row r="83" spans="13:15" ht="11.25">
      <c r="M83" s="907"/>
      <c r="O83" s="890"/>
    </row>
    <row r="84" spans="12:15" ht="12.75">
      <c r="L84" s="909"/>
      <c r="M84" s="907"/>
      <c r="N84" s="10"/>
      <c r="O84" s="890"/>
    </row>
    <row r="85" spans="12:20" ht="11.25">
      <c r="L85" s="6"/>
      <c r="M85" s="907"/>
      <c r="N85" s="113"/>
      <c r="O85" s="890"/>
      <c r="T85" s="890"/>
    </row>
    <row r="86" spans="12:15" ht="11.25">
      <c r="L86" s="6"/>
      <c r="M86" s="907"/>
      <c r="O86" s="890"/>
    </row>
    <row r="87" spans="12:15" ht="11.25">
      <c r="L87" s="10"/>
      <c r="M87" s="907"/>
      <c r="O87" s="890"/>
    </row>
    <row r="88" spans="12:19" ht="11.25">
      <c r="L88" s="904"/>
      <c r="N88" s="907"/>
      <c r="O88" s="890"/>
      <c r="R88" s="905"/>
      <c r="S88" s="907"/>
    </row>
    <row r="89" spans="12:19" ht="11.25">
      <c r="L89" s="904"/>
      <c r="N89" s="907"/>
      <c r="O89" s="890"/>
      <c r="R89" s="905"/>
      <c r="S89" s="907"/>
    </row>
    <row r="90" spans="12:19" ht="11.25">
      <c r="L90" s="904"/>
      <c r="N90" s="907"/>
      <c r="O90" s="890"/>
      <c r="R90" s="905"/>
      <c r="S90" s="907"/>
    </row>
    <row r="91" spans="12:19" ht="11.25">
      <c r="L91" s="904"/>
      <c r="N91" s="907"/>
      <c r="O91" s="890"/>
      <c r="R91" s="905"/>
      <c r="S91" s="907"/>
    </row>
    <row r="92" spans="12:19" ht="11.25">
      <c r="L92" s="904"/>
      <c r="N92" s="907"/>
      <c r="O92" s="890"/>
      <c r="R92" s="905"/>
      <c r="S92" s="907"/>
    </row>
    <row r="93" spans="12:19" ht="11.25">
      <c r="L93" s="904"/>
      <c r="N93" s="907"/>
      <c r="O93" s="890"/>
      <c r="R93" s="905"/>
      <c r="S93" s="907"/>
    </row>
    <row r="94" spans="12:19" ht="11.25">
      <c r="L94" s="904"/>
      <c r="N94" s="907"/>
      <c r="O94" s="890"/>
      <c r="R94" s="905"/>
      <c r="S94" s="907"/>
    </row>
    <row r="95" spans="12:19" ht="11.25">
      <c r="L95" s="904"/>
      <c r="N95" s="907"/>
      <c r="O95" s="890"/>
      <c r="P95" s="6"/>
      <c r="Q95" s="6"/>
      <c r="R95" s="905"/>
      <c r="S95" s="907"/>
    </row>
    <row r="96" spans="12:19" ht="11.25">
      <c r="L96" s="904"/>
      <c r="N96" s="907"/>
      <c r="O96" s="890"/>
      <c r="R96" s="905"/>
      <c r="S96" s="907"/>
    </row>
    <row r="97" spans="12:19" ht="11.25">
      <c r="L97" s="904"/>
      <c r="N97" s="907"/>
      <c r="O97" s="890"/>
      <c r="R97" s="905"/>
      <c r="S97" s="907"/>
    </row>
    <row r="98" spans="14:15" ht="11.25">
      <c r="N98" s="907"/>
      <c r="O98" s="890"/>
    </row>
    <row r="99" ht="11.25">
      <c r="O99" s="890"/>
    </row>
    <row r="100" ht="11.25">
      <c r="O100" s="890"/>
    </row>
    <row r="101" ht="11.25">
      <c r="O101" s="890"/>
    </row>
    <row r="102" ht="11.25">
      <c r="O102" s="890"/>
    </row>
    <row r="103" ht="11.25">
      <c r="O103" s="890"/>
    </row>
    <row r="104" ht="11.25">
      <c r="O104" s="890"/>
    </row>
    <row r="105" ht="11.25">
      <c r="O105" s="890"/>
    </row>
    <row r="106" ht="11.25">
      <c r="O106" s="890"/>
    </row>
    <row r="107" ht="11.25">
      <c r="O107" s="890"/>
    </row>
    <row r="108" ht="11.25">
      <c r="O108" s="890"/>
    </row>
    <row r="109" ht="11.25">
      <c r="O109" s="890"/>
    </row>
    <row r="110" ht="11.25">
      <c r="O110" s="890"/>
    </row>
    <row r="111" ht="11.25">
      <c r="O111" s="890"/>
    </row>
    <row r="112" ht="11.25">
      <c r="O112" s="890"/>
    </row>
    <row r="113" ht="11.25">
      <c r="O113" s="890"/>
    </row>
    <row r="114" ht="11.25">
      <c r="O114" s="890"/>
    </row>
    <row r="115" ht="11.25">
      <c r="O115" s="890"/>
    </row>
    <row r="116" ht="11.25">
      <c r="O116" s="890"/>
    </row>
    <row r="117" ht="11.25">
      <c r="O117" s="890"/>
    </row>
    <row r="118" ht="11.25">
      <c r="O118" s="890"/>
    </row>
    <row r="119" ht="11.25">
      <c r="O119" s="890"/>
    </row>
    <row r="120" ht="11.25">
      <c r="O120" s="890"/>
    </row>
    <row r="121" ht="11.25">
      <c r="O121" s="890"/>
    </row>
    <row r="122" ht="11.25">
      <c r="O122" s="890"/>
    </row>
    <row r="123" ht="11.25">
      <c r="O123" s="890"/>
    </row>
    <row r="124" ht="11.25">
      <c r="O124" s="890"/>
    </row>
    <row r="125" ht="11.25">
      <c r="O125" s="890"/>
    </row>
    <row r="126" ht="11.25">
      <c r="O126" s="890"/>
    </row>
    <row r="127" ht="11.25">
      <c r="O127" s="890"/>
    </row>
    <row r="128" ht="11.25">
      <c r="O128" s="890"/>
    </row>
    <row r="129" ht="11.25">
      <c r="O129" s="890"/>
    </row>
    <row r="130" ht="11.25">
      <c r="O130" s="890"/>
    </row>
    <row r="131" ht="11.25">
      <c r="O131" s="890"/>
    </row>
    <row r="132" ht="11.25">
      <c r="O132" s="890"/>
    </row>
    <row r="133" ht="11.25">
      <c r="O133" s="890"/>
    </row>
    <row r="134" ht="11.25">
      <c r="O134" s="890"/>
    </row>
    <row r="135" ht="11.25">
      <c r="O135" s="890"/>
    </row>
    <row r="136" ht="11.25">
      <c r="O136" s="890"/>
    </row>
    <row r="137" ht="11.25">
      <c r="O137" s="890"/>
    </row>
    <row r="138" ht="11.25">
      <c r="O138" s="890"/>
    </row>
    <row r="139" ht="11.25">
      <c r="O139" s="890"/>
    </row>
    <row r="140" ht="11.25">
      <c r="O140" s="890"/>
    </row>
    <row r="141" ht="11.25">
      <c r="O141" s="890"/>
    </row>
    <row r="142" ht="11.25">
      <c r="O142" s="890"/>
    </row>
    <row r="143" ht="11.25">
      <c r="O143" s="890"/>
    </row>
    <row r="144" ht="11.25">
      <c r="O144" s="890"/>
    </row>
    <row r="145" ht="11.25">
      <c r="O145" s="890"/>
    </row>
    <row r="146" ht="11.25">
      <c r="O146" s="890"/>
    </row>
    <row r="147" ht="11.25">
      <c r="O147" s="890"/>
    </row>
    <row r="148" ht="11.25">
      <c r="O148" s="890"/>
    </row>
    <row r="149" ht="11.25">
      <c r="O149" s="890"/>
    </row>
    <row r="150" ht="11.25">
      <c r="O150" s="890"/>
    </row>
    <row r="151" ht="11.25">
      <c r="O151" s="890"/>
    </row>
    <row r="152" ht="11.25">
      <c r="O152" s="890"/>
    </row>
    <row r="153" ht="11.25">
      <c r="O153" s="890"/>
    </row>
    <row r="154" ht="11.25">
      <c r="O154" s="890"/>
    </row>
    <row r="155" ht="11.25">
      <c r="O155" s="890"/>
    </row>
    <row r="156" ht="11.25">
      <c r="O156" s="890"/>
    </row>
    <row r="157" ht="11.25">
      <c r="O157" s="890"/>
    </row>
    <row r="158" ht="11.25">
      <c r="O158" s="890"/>
    </row>
    <row r="159" ht="11.25">
      <c r="O159" s="890"/>
    </row>
    <row r="160" ht="11.25">
      <c r="O160" s="890"/>
    </row>
    <row r="161" ht="11.25">
      <c r="O161" s="890"/>
    </row>
    <row r="162" ht="11.25">
      <c r="O162" s="890"/>
    </row>
    <row r="163" ht="11.25">
      <c r="O163" s="890"/>
    </row>
    <row r="164" ht="11.25">
      <c r="O164" s="890"/>
    </row>
    <row r="165" ht="11.25">
      <c r="O165" s="890"/>
    </row>
    <row r="166" ht="11.25">
      <c r="O166" s="890"/>
    </row>
    <row r="167" ht="11.25">
      <c r="O167" s="890"/>
    </row>
    <row r="168" ht="11.25">
      <c r="O168" s="890"/>
    </row>
    <row r="169" ht="11.25">
      <c r="O169" s="890"/>
    </row>
    <row r="170" ht="11.25">
      <c r="O170" s="890"/>
    </row>
    <row r="171" ht="11.25">
      <c r="O171" s="890"/>
    </row>
    <row r="172" ht="11.25">
      <c r="O172" s="890"/>
    </row>
    <row r="173" ht="11.25">
      <c r="O173" s="890"/>
    </row>
    <row r="174" ht="11.25">
      <c r="O174" s="890"/>
    </row>
    <row r="175" ht="11.25">
      <c r="O175" s="890"/>
    </row>
    <row r="176" ht="11.25">
      <c r="O176" s="890"/>
    </row>
    <row r="177" ht="11.25">
      <c r="O177" s="890"/>
    </row>
    <row r="178" ht="11.25">
      <c r="O178" s="890"/>
    </row>
    <row r="179" ht="11.25">
      <c r="O179" s="890"/>
    </row>
    <row r="180" ht="11.25">
      <c r="O180" s="890"/>
    </row>
    <row r="181" ht="11.25">
      <c r="O181" s="890"/>
    </row>
    <row r="182" ht="11.25">
      <c r="O182" s="890"/>
    </row>
    <row r="183" ht="11.25">
      <c r="O183" s="890"/>
    </row>
    <row r="184" ht="11.25">
      <c r="O184" s="890"/>
    </row>
    <row r="185" ht="11.25">
      <c r="O185" s="890"/>
    </row>
    <row r="186" ht="11.25">
      <c r="O186" s="890"/>
    </row>
    <row r="187" ht="11.25">
      <c r="O187" s="890"/>
    </row>
    <row r="188" ht="11.25">
      <c r="O188" s="890"/>
    </row>
    <row r="189" ht="11.25">
      <c r="O189" s="890"/>
    </row>
    <row r="190" ht="11.25">
      <c r="O190" s="890"/>
    </row>
    <row r="191" ht="11.25">
      <c r="O191" s="890"/>
    </row>
    <row r="192" ht="11.25">
      <c r="O192" s="890"/>
    </row>
    <row r="193" ht="11.25">
      <c r="O193" s="890"/>
    </row>
    <row r="194" ht="11.25">
      <c r="O194" s="890"/>
    </row>
    <row r="195" ht="11.25">
      <c r="O195" s="890"/>
    </row>
  </sheetData>
  <mergeCells count="3">
    <mergeCell ref="M23:R23"/>
    <mergeCell ref="T23:W23"/>
    <mergeCell ref="X23:AA23"/>
  </mergeCells>
  <printOptions/>
  <pageMargins left="0.58" right="0.25" top="0.56" bottom="0.43" header="0.31" footer="0.32"/>
  <pageSetup horizontalDpi="600" verticalDpi="600" orientation="landscape" paperSize="9" r:id="rId4"/>
  <headerFooter alignWithMargins="0">
    <oddFooter>&amp;C4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31">
      <selection activeCell="E73" sqref="E73"/>
    </sheetView>
  </sheetViews>
  <sheetFormatPr defaultColWidth="9.00390625" defaultRowHeight="12.75"/>
  <cols>
    <col min="1" max="1" width="4.625" style="437" customWidth="1"/>
    <col min="2" max="2" width="5.00390625" style="437" customWidth="1"/>
    <col min="3" max="3" width="17.25390625" style="437" customWidth="1"/>
    <col min="4" max="4" width="11.25390625" style="437" customWidth="1"/>
    <col min="5" max="5" width="10.75390625" style="437" customWidth="1"/>
    <col min="6" max="6" width="10.25390625" style="437" customWidth="1"/>
    <col min="7" max="7" width="10.75390625" style="437" customWidth="1"/>
    <col min="8" max="8" width="9.875" style="437" customWidth="1"/>
    <col min="9" max="9" width="9.25390625" style="437" customWidth="1"/>
    <col min="10" max="10" width="10.375" style="437" customWidth="1"/>
    <col min="11" max="11" width="9.625" style="437" customWidth="1"/>
    <col min="12" max="12" width="9.875" style="437" customWidth="1"/>
    <col min="13" max="16384" width="9.125" style="437" customWidth="1"/>
  </cols>
  <sheetData>
    <row r="1" spans="1:2" ht="12.75">
      <c r="A1" s="681" t="s">
        <v>420</v>
      </c>
      <c r="B1" s="681"/>
    </row>
    <row r="2" spans="1:3" ht="12.75">
      <c r="A2" s="681"/>
      <c r="B2" s="681"/>
      <c r="C2" s="686"/>
    </row>
    <row r="3" spans="1:2" ht="13.5" thickBot="1">
      <c r="A3" s="681" t="s">
        <v>415</v>
      </c>
      <c r="B3" s="681"/>
    </row>
    <row r="4" spans="1:9" ht="12.75">
      <c r="A4" s="687"/>
      <c r="B4" s="688"/>
      <c r="C4" s="638"/>
      <c r="D4" s="1259" t="s">
        <v>264</v>
      </c>
      <c r="E4" s="1260"/>
      <c r="F4" s="1260"/>
      <c r="G4" s="1251" t="s">
        <v>263</v>
      </c>
      <c r="H4" s="1252"/>
      <c r="I4" s="1253"/>
    </row>
    <row r="5" spans="1:9" ht="12.75">
      <c r="A5" s="689"/>
      <c r="B5" s="690"/>
      <c r="C5" s="640"/>
      <c r="D5" s="691"/>
      <c r="E5" s="1261" t="s">
        <v>298</v>
      </c>
      <c r="F5" s="1254"/>
      <c r="G5" s="692" t="s">
        <v>297</v>
      </c>
      <c r="H5" s="1262" t="s">
        <v>298</v>
      </c>
      <c r="I5" s="1263"/>
    </row>
    <row r="6" spans="1:9" ht="12.75">
      <c r="A6" s="689"/>
      <c r="B6" s="690" t="s">
        <v>299</v>
      </c>
      <c r="C6" s="640"/>
      <c r="D6" s="693" t="s">
        <v>437</v>
      </c>
      <c r="E6" s="8" t="s">
        <v>300</v>
      </c>
      <c r="F6" s="694" t="s">
        <v>301</v>
      </c>
      <c r="G6" s="695" t="s">
        <v>166</v>
      </c>
      <c r="H6" s="8" t="s">
        <v>300</v>
      </c>
      <c r="I6" s="696" t="s">
        <v>301</v>
      </c>
    </row>
    <row r="7" spans="1:9" ht="13.5" thickBot="1">
      <c r="A7" s="697" t="s">
        <v>302</v>
      </c>
      <c r="B7" s="698" t="s">
        <v>303</v>
      </c>
      <c r="C7" s="699"/>
      <c r="D7" s="700" t="s">
        <v>150</v>
      </c>
      <c r="E7" s="701" t="s">
        <v>171</v>
      </c>
      <c r="F7" s="702" t="s">
        <v>150</v>
      </c>
      <c r="G7" s="703" t="s">
        <v>150</v>
      </c>
      <c r="H7" s="701" t="s">
        <v>171</v>
      </c>
      <c r="I7" s="704" t="s">
        <v>150</v>
      </c>
    </row>
    <row r="8" spans="1:12" ht="12.75">
      <c r="A8" s="705">
        <v>18</v>
      </c>
      <c r="B8" s="706">
        <v>11</v>
      </c>
      <c r="C8" s="640" t="s">
        <v>138</v>
      </c>
      <c r="D8" s="708">
        <f>str4!AA27</f>
        <v>240106</v>
      </c>
      <c r="E8" s="707">
        <f>'str1-3'!D75</f>
        <v>24126</v>
      </c>
      <c r="F8" s="709">
        <f>D8-E8</f>
        <v>215980</v>
      </c>
      <c r="G8" s="708">
        <f aca="true" t="shared" si="0" ref="G8:G16">SUM(H8:I8)</f>
        <v>210365</v>
      </c>
      <c r="H8" s="707">
        <v>22281</v>
      </c>
      <c r="I8" s="709">
        <v>188084</v>
      </c>
      <c r="J8" s="710"/>
      <c r="K8" s="711"/>
      <c r="L8" s="712"/>
    </row>
    <row r="9" spans="1:12" ht="12.75">
      <c r="A9" s="713">
        <v>19</v>
      </c>
      <c r="B9" s="714">
        <v>21</v>
      </c>
      <c r="C9" s="642" t="s">
        <v>139</v>
      </c>
      <c r="D9" s="718">
        <f>str4!AA28</f>
        <v>203820</v>
      </c>
      <c r="E9" s="716">
        <f>'str1-3'!D76</f>
        <v>13132</v>
      </c>
      <c r="F9" s="719">
        <f>D9-E9</f>
        <v>190688</v>
      </c>
      <c r="G9" s="718">
        <f t="shared" si="0"/>
        <v>165757</v>
      </c>
      <c r="H9" s="716">
        <v>11509</v>
      </c>
      <c r="I9" s="719">
        <v>154248</v>
      </c>
      <c r="J9" s="710"/>
      <c r="K9" s="711"/>
      <c r="L9" s="712"/>
    </row>
    <row r="10" spans="1:12" ht="12.75">
      <c r="A10" s="713">
        <v>20</v>
      </c>
      <c r="B10" s="714">
        <v>22</v>
      </c>
      <c r="C10" s="642" t="s">
        <v>140</v>
      </c>
      <c r="D10" s="718">
        <f>str4!AA29</f>
        <v>83797</v>
      </c>
      <c r="E10" s="716">
        <f>'str1-3'!D77</f>
        <v>1619</v>
      </c>
      <c r="F10" s="719">
        <f aca="true" t="shared" si="1" ref="F10:F16">D10-E10</f>
        <v>82178</v>
      </c>
      <c r="G10" s="718">
        <f t="shared" si="0"/>
        <v>70833</v>
      </c>
      <c r="H10" s="716">
        <v>666</v>
      </c>
      <c r="I10" s="719">
        <v>70167</v>
      </c>
      <c r="J10" s="710"/>
      <c r="K10" s="711"/>
      <c r="L10" s="712"/>
    </row>
    <row r="11" spans="1:12" ht="12.75">
      <c r="A11" s="713">
        <v>21</v>
      </c>
      <c r="B11" s="714">
        <v>23</v>
      </c>
      <c r="C11" s="642" t="s">
        <v>141</v>
      </c>
      <c r="D11" s="718">
        <f>str4!AA30</f>
        <v>83293</v>
      </c>
      <c r="E11" s="716">
        <f>'str1-3'!D78</f>
        <v>9892</v>
      </c>
      <c r="F11" s="719">
        <f t="shared" si="1"/>
        <v>73401</v>
      </c>
      <c r="G11" s="718">
        <f t="shared" si="0"/>
        <v>68248</v>
      </c>
      <c r="H11" s="716">
        <v>9211</v>
      </c>
      <c r="I11" s="719">
        <v>59037</v>
      </c>
      <c r="J11" s="710"/>
      <c r="K11" s="711"/>
      <c r="L11" s="712"/>
    </row>
    <row r="12" spans="1:12" ht="12.75">
      <c r="A12" s="713">
        <v>22</v>
      </c>
      <c r="B12" s="714">
        <v>31</v>
      </c>
      <c r="C12" s="642" t="s">
        <v>142</v>
      </c>
      <c r="D12" s="718">
        <f>str4!AA31</f>
        <v>197084</v>
      </c>
      <c r="E12" s="716">
        <f>'str1-3'!D79</f>
        <v>49027</v>
      </c>
      <c r="F12" s="719">
        <f t="shared" si="1"/>
        <v>148057</v>
      </c>
      <c r="G12" s="718">
        <f t="shared" si="0"/>
        <v>175346</v>
      </c>
      <c r="H12" s="716">
        <v>43916</v>
      </c>
      <c r="I12" s="719">
        <v>131430</v>
      </c>
      <c r="J12" s="710"/>
      <c r="K12" s="711"/>
      <c r="L12" s="712"/>
    </row>
    <row r="13" spans="1:12" ht="12.75">
      <c r="A13" s="713">
        <v>23</v>
      </c>
      <c r="B13" s="714">
        <v>33</v>
      </c>
      <c r="C13" s="642" t="s">
        <v>143</v>
      </c>
      <c r="D13" s="718">
        <f>str4!AA32</f>
        <v>85451</v>
      </c>
      <c r="E13" s="716">
        <f>'str1-3'!D80</f>
        <v>6980</v>
      </c>
      <c r="F13" s="719">
        <f t="shared" si="1"/>
        <v>78471</v>
      </c>
      <c r="G13" s="718">
        <f t="shared" si="0"/>
        <v>69415</v>
      </c>
      <c r="H13" s="716">
        <v>6684</v>
      </c>
      <c r="I13" s="719">
        <v>62731</v>
      </c>
      <c r="J13" s="710"/>
      <c r="K13" s="711"/>
      <c r="L13" s="712"/>
    </row>
    <row r="14" spans="1:12" ht="12.75">
      <c r="A14" s="713">
        <v>24</v>
      </c>
      <c r="B14" s="714">
        <v>41</v>
      </c>
      <c r="C14" s="642" t="s">
        <v>144</v>
      </c>
      <c r="D14" s="718">
        <f>str4!AA33</f>
        <v>162321</v>
      </c>
      <c r="E14" s="716">
        <f>'str1-3'!D81</f>
        <v>3134</v>
      </c>
      <c r="F14" s="719">
        <f t="shared" si="1"/>
        <v>159187</v>
      </c>
      <c r="G14" s="718">
        <f t="shared" si="0"/>
        <v>146547</v>
      </c>
      <c r="H14" s="716">
        <v>1780</v>
      </c>
      <c r="I14" s="719">
        <v>144767</v>
      </c>
      <c r="J14" s="710"/>
      <c r="K14" s="711"/>
      <c r="L14" s="712"/>
    </row>
    <row r="15" spans="1:12" ht="12.75">
      <c r="A15" s="713">
        <v>25</v>
      </c>
      <c r="B15" s="714">
        <v>51</v>
      </c>
      <c r="C15" s="642" t="s">
        <v>149</v>
      </c>
      <c r="D15" s="718">
        <f>str4!AA34</f>
        <v>41302</v>
      </c>
      <c r="E15" s="716">
        <f>'str1-3'!D82</f>
        <v>297</v>
      </c>
      <c r="F15" s="719">
        <f t="shared" si="1"/>
        <v>41005</v>
      </c>
      <c r="G15" s="718">
        <f t="shared" si="0"/>
        <v>45146</v>
      </c>
      <c r="H15" s="716">
        <v>249</v>
      </c>
      <c r="I15" s="719">
        <v>44897</v>
      </c>
      <c r="J15" s="710"/>
      <c r="K15" s="711"/>
      <c r="L15" s="712"/>
    </row>
    <row r="16" spans="1:12" ht="12.75">
      <c r="A16" s="720">
        <v>26</v>
      </c>
      <c r="B16" s="721">
        <v>56</v>
      </c>
      <c r="C16" s="722" t="s">
        <v>145</v>
      </c>
      <c r="D16" s="725">
        <f>str4!AA35</f>
        <v>88640</v>
      </c>
      <c r="E16" s="724">
        <f>'str1-3'!D83</f>
        <v>4708</v>
      </c>
      <c r="F16" s="726">
        <f t="shared" si="1"/>
        <v>83932</v>
      </c>
      <c r="G16" s="725">
        <f t="shared" si="0"/>
        <v>78401</v>
      </c>
      <c r="H16" s="724">
        <v>3173</v>
      </c>
      <c r="I16" s="726">
        <v>75228</v>
      </c>
      <c r="J16" s="710"/>
      <c r="K16" s="711"/>
      <c r="L16" s="712"/>
    </row>
    <row r="17" spans="1:12" s="681" customFormat="1" ht="12.75">
      <c r="A17" s="727">
        <v>27</v>
      </c>
      <c r="B17" s="728" t="s">
        <v>304</v>
      </c>
      <c r="C17" s="729"/>
      <c r="D17" s="730">
        <f aca="true" t="shared" si="2" ref="D17:I17">SUM(D8:D16)</f>
        <v>1185814</v>
      </c>
      <c r="E17" s="731">
        <f t="shared" si="2"/>
        <v>112915</v>
      </c>
      <c r="F17" s="732">
        <f t="shared" si="2"/>
        <v>1072899</v>
      </c>
      <c r="G17" s="733">
        <f t="shared" si="2"/>
        <v>1030058</v>
      </c>
      <c r="H17" s="734">
        <f t="shared" si="2"/>
        <v>99469</v>
      </c>
      <c r="I17" s="735">
        <f t="shared" si="2"/>
        <v>930589</v>
      </c>
      <c r="J17" s="710"/>
      <c r="K17" s="737"/>
      <c r="L17" s="737"/>
    </row>
    <row r="18" spans="1:12" ht="12.75">
      <c r="A18" s="705">
        <v>28</v>
      </c>
      <c r="B18" s="706">
        <v>81</v>
      </c>
      <c r="C18" s="640" t="s">
        <v>38</v>
      </c>
      <c r="D18" s="738">
        <f>SUM(E18:F18)</f>
        <v>0</v>
      </c>
      <c r="E18" s="707"/>
      <c r="F18" s="709">
        <v>0</v>
      </c>
      <c r="G18" s="708">
        <f aca="true" t="shared" si="3" ref="G18:G27">SUM(H18:I18)</f>
        <v>0</v>
      </c>
      <c r="H18" s="707"/>
      <c r="I18" s="709">
        <v>0</v>
      </c>
      <c r="J18" s="739"/>
      <c r="K18" s="739"/>
      <c r="L18" s="739"/>
    </row>
    <row r="19" spans="1:9" ht="12.75">
      <c r="A19" s="713">
        <v>29</v>
      </c>
      <c r="B19" s="714">
        <v>82</v>
      </c>
      <c r="C19" s="642" t="s">
        <v>305</v>
      </c>
      <c r="D19" s="715">
        <f>SUM(E19:F19)</f>
        <v>0</v>
      </c>
      <c r="E19" s="716"/>
      <c r="F19" s="719">
        <v>0</v>
      </c>
      <c r="G19" s="718">
        <f t="shared" si="3"/>
        <v>0</v>
      </c>
      <c r="H19" s="716"/>
      <c r="I19" s="719">
        <v>0</v>
      </c>
    </row>
    <row r="20" spans="1:9" ht="12.75">
      <c r="A20" s="713">
        <v>30</v>
      </c>
      <c r="B20" s="714">
        <v>83</v>
      </c>
      <c r="C20" s="642" t="s">
        <v>306</v>
      </c>
      <c r="D20" s="715">
        <f aca="true" t="shared" si="4" ref="D20:D27">SUM(E20:F20)</f>
        <v>3500</v>
      </c>
      <c r="E20" s="716"/>
      <c r="F20" s="719">
        <f>'pril1-CP'!J97</f>
        <v>3500</v>
      </c>
      <c r="G20" s="718">
        <f t="shared" si="3"/>
        <v>1700</v>
      </c>
      <c r="H20" s="716"/>
      <c r="I20" s="719">
        <v>1700</v>
      </c>
    </row>
    <row r="21" spans="1:9" ht="12.75">
      <c r="A21" s="713">
        <v>31</v>
      </c>
      <c r="B21" s="714">
        <v>84</v>
      </c>
      <c r="C21" s="642" t="s">
        <v>307</v>
      </c>
      <c r="D21" s="715">
        <f t="shared" si="4"/>
        <v>1709.9999999999998</v>
      </c>
      <c r="E21" s="716"/>
      <c r="F21" s="719">
        <f>'pril1-CP'!J98</f>
        <v>1709.9999999999998</v>
      </c>
      <c r="G21" s="718">
        <f t="shared" si="3"/>
        <v>1500</v>
      </c>
      <c r="H21" s="716"/>
      <c r="I21" s="719">
        <v>1500</v>
      </c>
    </row>
    <row r="22" spans="1:9" ht="12.75">
      <c r="A22" s="713">
        <v>32</v>
      </c>
      <c r="B22" s="714">
        <v>91</v>
      </c>
      <c r="C22" s="642" t="s">
        <v>308</v>
      </c>
      <c r="D22" s="715">
        <f t="shared" si="4"/>
        <v>0</v>
      </c>
      <c r="E22" s="716"/>
      <c r="F22" s="719">
        <v>0</v>
      </c>
      <c r="G22" s="718">
        <f t="shared" si="3"/>
        <v>500</v>
      </c>
      <c r="H22" s="716"/>
      <c r="I22" s="719">
        <v>500</v>
      </c>
    </row>
    <row r="23" spans="1:9" ht="12.75">
      <c r="A23" s="713">
        <v>33</v>
      </c>
      <c r="B23" s="714">
        <v>92</v>
      </c>
      <c r="C23" s="642" t="s">
        <v>41</v>
      </c>
      <c r="D23" s="715">
        <f t="shared" si="4"/>
        <v>88369.2882</v>
      </c>
      <c r="E23" s="716"/>
      <c r="F23" s="719">
        <f>'pril1-CP'!J100</f>
        <v>88369.2882</v>
      </c>
      <c r="G23" s="718">
        <f t="shared" si="3"/>
        <v>53991</v>
      </c>
      <c r="H23" s="716"/>
      <c r="I23" s="719">
        <v>53991</v>
      </c>
    </row>
    <row r="24" spans="1:9" ht="12.75">
      <c r="A24" s="713">
        <v>34</v>
      </c>
      <c r="B24" s="714">
        <v>94</v>
      </c>
      <c r="C24" s="642" t="s">
        <v>309</v>
      </c>
      <c r="D24" s="715">
        <f t="shared" si="4"/>
        <v>0</v>
      </c>
      <c r="E24" s="716"/>
      <c r="F24" s="719">
        <f>0</f>
        <v>0</v>
      </c>
      <c r="G24" s="718">
        <f t="shared" si="3"/>
        <v>0</v>
      </c>
      <c r="H24" s="716"/>
      <c r="I24" s="719">
        <v>0</v>
      </c>
    </row>
    <row r="25" spans="1:9" ht="12.75">
      <c r="A25" s="713">
        <v>35</v>
      </c>
      <c r="B25" s="714">
        <v>96</v>
      </c>
      <c r="C25" s="642" t="s">
        <v>310</v>
      </c>
      <c r="D25" s="715">
        <f t="shared" si="4"/>
        <v>21961.2792</v>
      </c>
      <c r="E25" s="716"/>
      <c r="F25" s="719">
        <f>'pril1-CP'!J102</f>
        <v>21961.2792</v>
      </c>
      <c r="G25" s="718">
        <f t="shared" si="3"/>
        <v>19264</v>
      </c>
      <c r="H25" s="716"/>
      <c r="I25" s="719">
        <v>19264</v>
      </c>
    </row>
    <row r="26" spans="1:9" ht="12.75">
      <c r="A26" s="713">
        <v>36</v>
      </c>
      <c r="B26" s="714">
        <v>97</v>
      </c>
      <c r="C26" s="642" t="s">
        <v>311</v>
      </c>
      <c r="D26" s="715">
        <f t="shared" si="4"/>
        <v>7379.789999999999</v>
      </c>
      <c r="E26" s="716"/>
      <c r="F26" s="719">
        <f>'pril1-CP'!J103</f>
        <v>7379.789999999999</v>
      </c>
      <c r="G26" s="718">
        <f t="shared" si="3"/>
        <v>6474</v>
      </c>
      <c r="H26" s="716"/>
      <c r="I26" s="719">
        <v>6474</v>
      </c>
    </row>
    <row r="27" spans="1:9" ht="12.75">
      <c r="A27" s="795">
        <v>37</v>
      </c>
      <c r="B27" s="721">
        <v>99</v>
      </c>
      <c r="C27" s="722" t="s">
        <v>129</v>
      </c>
      <c r="D27" s="723">
        <f t="shared" si="4"/>
        <v>74127.78179999998</v>
      </c>
      <c r="E27" s="724"/>
      <c r="F27" s="726">
        <f>'pril1-CP'!J104</f>
        <v>74127.78179999998</v>
      </c>
      <c r="G27" s="725">
        <f t="shared" si="3"/>
        <v>60124</v>
      </c>
      <c r="H27" s="724"/>
      <c r="I27" s="726">
        <v>60124</v>
      </c>
    </row>
    <row r="28" spans="1:10" s="681" customFormat="1" ht="12.75">
      <c r="A28" s="740">
        <f aca="true" t="shared" si="5" ref="A28:A33">A27+1</f>
        <v>38</v>
      </c>
      <c r="B28" s="741" t="s">
        <v>312</v>
      </c>
      <c r="C28" s="741"/>
      <c r="D28" s="742">
        <f>SUM(D18:D27)</f>
        <v>197048.13919999998</v>
      </c>
      <c r="E28" s="743"/>
      <c r="F28" s="744">
        <f>SUM(F18:F27)</f>
        <v>197048.13919999998</v>
      </c>
      <c r="G28" s="742">
        <f>SUM(G18:G27)</f>
        <v>143553</v>
      </c>
      <c r="H28" s="743"/>
      <c r="I28" s="745">
        <f>SUM(I18:I27)</f>
        <v>143553</v>
      </c>
      <c r="J28" s="736"/>
    </row>
    <row r="29" spans="1:9" ht="12.75">
      <c r="A29" s="746">
        <f t="shared" si="5"/>
        <v>39</v>
      </c>
      <c r="B29" s="747" t="s">
        <v>313</v>
      </c>
      <c r="C29" s="747"/>
      <c r="D29" s="738">
        <f>SUM(E29:F29)</f>
        <v>169333</v>
      </c>
      <c r="E29" s="748"/>
      <c r="F29" s="749">
        <f>'pril1-CP'!J5</f>
        <v>169333</v>
      </c>
      <c r="G29" s="750">
        <f>SUM(H29:I29)</f>
        <v>208145</v>
      </c>
      <c r="H29" s="748"/>
      <c r="I29" s="751">
        <v>208145</v>
      </c>
    </row>
    <row r="30" spans="1:9" ht="12.75">
      <c r="A30" s="641">
        <f t="shared" si="5"/>
        <v>40</v>
      </c>
      <c r="B30" s="752" t="s">
        <v>314</v>
      </c>
      <c r="C30" s="752"/>
      <c r="D30" s="715">
        <f>SUM(E30:F30)</f>
        <v>115713</v>
      </c>
      <c r="E30" s="716"/>
      <c r="F30" s="717">
        <f>'pril1-CP'!J22</f>
        <v>115713</v>
      </c>
      <c r="G30" s="718">
        <f>SUM(H30:I30)</f>
        <v>87245</v>
      </c>
      <c r="H30" s="716"/>
      <c r="I30" s="719">
        <v>87245</v>
      </c>
    </row>
    <row r="31" spans="1:10" ht="12.75">
      <c r="A31" s="753">
        <f t="shared" si="5"/>
        <v>41</v>
      </c>
      <c r="B31" s="754" t="s">
        <v>315</v>
      </c>
      <c r="C31" s="754"/>
      <c r="D31" s="755">
        <f>SUM(E31:F31)</f>
        <v>15700</v>
      </c>
      <c r="E31" s="756"/>
      <c r="F31" s="757">
        <f>'pril1-CP'!J83</f>
        <v>15700</v>
      </c>
      <c r="G31" s="758">
        <f>SUM(H31:I31)</f>
        <v>10000</v>
      </c>
      <c r="H31" s="756"/>
      <c r="I31" s="759">
        <v>10000</v>
      </c>
      <c r="J31" s="463"/>
    </row>
    <row r="32" spans="1:10" ht="13.5" thickBot="1">
      <c r="A32" s="760">
        <f t="shared" si="5"/>
        <v>42</v>
      </c>
      <c r="B32" s="761" t="s">
        <v>316</v>
      </c>
      <c r="C32" s="761"/>
      <c r="D32" s="762">
        <f>SUM(D28:D31)</f>
        <v>497794.1392</v>
      </c>
      <c r="E32" s="763"/>
      <c r="F32" s="764">
        <f>SUM(F28:F31)</f>
        <v>497794.1392</v>
      </c>
      <c r="G32" s="765">
        <f>SUM(G28:G31)</f>
        <v>448943</v>
      </c>
      <c r="H32" s="763"/>
      <c r="I32" s="766">
        <f>SUM(I28:I31)</f>
        <v>448943</v>
      </c>
      <c r="J32" s="739"/>
    </row>
    <row r="33" spans="1:9" ht="13.5" thickBot="1">
      <c r="A33" s="767">
        <f t="shared" si="5"/>
        <v>43</v>
      </c>
      <c r="B33" s="602" t="s">
        <v>317</v>
      </c>
      <c r="C33" s="602"/>
      <c r="D33" s="768">
        <f aca="true" t="shared" si="6" ref="D33:I33">D17+D32</f>
        <v>1683608.1392</v>
      </c>
      <c r="E33" s="769">
        <f t="shared" si="6"/>
        <v>112915</v>
      </c>
      <c r="F33" s="770">
        <f t="shared" si="6"/>
        <v>1570693.1392</v>
      </c>
      <c r="G33" s="771">
        <f t="shared" si="6"/>
        <v>1479001</v>
      </c>
      <c r="H33" s="772">
        <f t="shared" si="6"/>
        <v>99469</v>
      </c>
      <c r="I33" s="773">
        <f t="shared" si="6"/>
        <v>1379532</v>
      </c>
    </row>
    <row r="34" spans="4:10" ht="12.75">
      <c r="D34" s="710"/>
      <c r="E34" s="710"/>
      <c r="F34" s="710"/>
      <c r="G34" s="710"/>
      <c r="H34" s="710"/>
      <c r="I34" s="710"/>
      <c r="J34" s="739"/>
    </row>
    <row r="35" spans="1:9" ht="14.25">
      <c r="A35" s="774"/>
      <c r="D35" s="739"/>
      <c r="E35" s="739"/>
      <c r="F35" s="739"/>
      <c r="G35" s="739"/>
      <c r="H35" s="739"/>
      <c r="I35" s="739"/>
    </row>
    <row r="36" spans="1:9" ht="14.25">
      <c r="A36" s="774"/>
      <c r="D36" s="739"/>
      <c r="E36" s="739"/>
      <c r="G36" s="739"/>
      <c r="H36" s="739"/>
      <c r="I36" s="739"/>
    </row>
    <row r="37" spans="1:9" ht="14.25">
      <c r="A37" s="774"/>
      <c r="D37" s="739"/>
      <c r="E37" s="739"/>
      <c r="G37" s="739"/>
      <c r="H37" s="739"/>
      <c r="I37" s="739"/>
    </row>
    <row r="38" ht="11.25" customHeight="1"/>
    <row r="39" ht="17.25" customHeight="1" thickBot="1">
      <c r="A39" s="681" t="s">
        <v>414</v>
      </c>
    </row>
    <row r="40" spans="1:12" ht="12.75" customHeight="1">
      <c r="A40" s="687"/>
      <c r="B40" s="688"/>
      <c r="C40" s="638"/>
      <c r="D40" s="1259" t="s">
        <v>264</v>
      </c>
      <c r="E40" s="1260"/>
      <c r="F40" s="1260"/>
      <c r="G40" s="688"/>
      <c r="H40" s="638"/>
      <c r="I40" s="775"/>
      <c r="J40" s="1251" t="s">
        <v>263</v>
      </c>
      <c r="K40" s="1252"/>
      <c r="L40" s="1253"/>
    </row>
    <row r="41" spans="1:12" ht="13.5" customHeight="1">
      <c r="A41" s="689"/>
      <c r="B41" s="690"/>
      <c r="C41" s="640"/>
      <c r="D41" s="691"/>
      <c r="E41" s="1254" t="s">
        <v>298</v>
      </c>
      <c r="F41" s="1254"/>
      <c r="G41" s="690"/>
      <c r="H41" s="640"/>
      <c r="I41" s="776"/>
      <c r="J41" s="692" t="s">
        <v>296</v>
      </c>
      <c r="K41" s="1254" t="s">
        <v>298</v>
      </c>
      <c r="L41" s="1255"/>
    </row>
    <row r="42" spans="1:12" ht="13.5" customHeight="1">
      <c r="A42" s="689"/>
      <c r="B42" s="690" t="s">
        <v>299</v>
      </c>
      <c r="C42" s="640"/>
      <c r="D42" s="693" t="s">
        <v>437</v>
      </c>
      <c r="E42" s="8" t="s">
        <v>172</v>
      </c>
      <c r="F42" s="777" t="s">
        <v>301</v>
      </c>
      <c r="G42" s="1256" t="s">
        <v>318</v>
      </c>
      <c r="H42" s="1257"/>
      <c r="I42" s="1258"/>
      <c r="J42" s="695" t="s">
        <v>166</v>
      </c>
      <c r="K42" s="8" t="s">
        <v>172</v>
      </c>
      <c r="L42" s="778" t="s">
        <v>301</v>
      </c>
    </row>
    <row r="43" spans="1:12" ht="15" customHeight="1" thickBot="1">
      <c r="A43" s="697" t="s">
        <v>302</v>
      </c>
      <c r="B43" s="698" t="s">
        <v>303</v>
      </c>
      <c r="C43" s="699"/>
      <c r="D43" s="700" t="s">
        <v>150</v>
      </c>
      <c r="E43" s="701" t="s">
        <v>171</v>
      </c>
      <c r="F43" s="779" t="s">
        <v>150</v>
      </c>
      <c r="G43" s="780" t="s">
        <v>416</v>
      </c>
      <c r="H43" s="1208" t="s">
        <v>417</v>
      </c>
      <c r="I43" s="781" t="s">
        <v>256</v>
      </c>
      <c r="J43" s="703" t="s">
        <v>150</v>
      </c>
      <c r="K43" s="701" t="s">
        <v>171</v>
      </c>
      <c r="L43" s="782" t="s">
        <v>150</v>
      </c>
    </row>
    <row r="44" spans="1:12" ht="12.75">
      <c r="A44" s="644">
        <v>44</v>
      </c>
      <c r="B44" s="8">
        <v>11</v>
      </c>
      <c r="C44" s="640" t="s">
        <v>138</v>
      </c>
      <c r="D44" s="783">
        <f aca="true" t="shared" si="7" ref="D44:D52">SUM(E44:F44)</f>
        <v>240106</v>
      </c>
      <c r="E44" s="707">
        <f aca="true" t="shared" si="8" ref="E44:E52">E8</f>
        <v>24126</v>
      </c>
      <c r="F44" s="784">
        <f aca="true" t="shared" si="9" ref="F44:F52">SUM(G44:I44)</f>
        <v>215980</v>
      </c>
      <c r="G44" s="785">
        <f aca="true" t="shared" si="10" ref="G44:G52">F8</f>
        <v>215980</v>
      </c>
      <c r="H44" s="786">
        <v>0</v>
      </c>
      <c r="I44" s="787">
        <v>0</v>
      </c>
      <c r="J44" s="708">
        <f aca="true" t="shared" si="11" ref="J44:J52">SUM(K44:L44)</f>
        <v>210365</v>
      </c>
      <c r="K44" s="707">
        <f>H8</f>
        <v>22281</v>
      </c>
      <c r="L44" s="788">
        <f>I8</f>
        <v>188084</v>
      </c>
    </row>
    <row r="45" spans="1:12" ht="12.75">
      <c r="A45" s="641">
        <v>45</v>
      </c>
      <c r="B45" s="789">
        <v>21</v>
      </c>
      <c r="C45" s="642" t="s">
        <v>139</v>
      </c>
      <c r="D45" s="715">
        <f t="shared" si="7"/>
        <v>203820</v>
      </c>
      <c r="E45" s="716">
        <f t="shared" si="8"/>
        <v>13132</v>
      </c>
      <c r="F45" s="790">
        <f t="shared" si="9"/>
        <v>190688</v>
      </c>
      <c r="G45" s="791">
        <f t="shared" si="10"/>
        <v>190688</v>
      </c>
      <c r="H45" s="792">
        <v>0</v>
      </c>
      <c r="I45" s="793">
        <v>0</v>
      </c>
      <c r="J45" s="718">
        <f t="shared" si="11"/>
        <v>165757</v>
      </c>
      <c r="K45" s="790">
        <f>H9</f>
        <v>11509</v>
      </c>
      <c r="L45" s="794">
        <f>I9</f>
        <v>154248</v>
      </c>
    </row>
    <row r="46" spans="1:12" ht="12.75">
      <c r="A46" s="641">
        <v>46</v>
      </c>
      <c r="B46" s="789">
        <v>22</v>
      </c>
      <c r="C46" s="642" t="s">
        <v>140</v>
      </c>
      <c r="D46" s="715">
        <f t="shared" si="7"/>
        <v>83797</v>
      </c>
      <c r="E46" s="716">
        <f t="shared" si="8"/>
        <v>1619</v>
      </c>
      <c r="F46" s="790">
        <f t="shared" si="9"/>
        <v>82178</v>
      </c>
      <c r="G46" s="791">
        <f t="shared" si="10"/>
        <v>82178</v>
      </c>
      <c r="H46" s="792">
        <v>0</v>
      </c>
      <c r="I46" s="793">
        <v>0</v>
      </c>
      <c r="J46" s="718">
        <f t="shared" si="11"/>
        <v>70833</v>
      </c>
      <c r="K46" s="790">
        <f aca="true" t="shared" si="12" ref="K46:K52">H10</f>
        <v>666</v>
      </c>
      <c r="L46" s="794">
        <f aca="true" t="shared" si="13" ref="L46:L52">I10</f>
        <v>70167</v>
      </c>
    </row>
    <row r="47" spans="1:12" ht="12.75">
      <c r="A47" s="641">
        <v>47</v>
      </c>
      <c r="B47" s="789">
        <v>23</v>
      </c>
      <c r="C47" s="642" t="s">
        <v>141</v>
      </c>
      <c r="D47" s="715">
        <f t="shared" si="7"/>
        <v>83293</v>
      </c>
      <c r="E47" s="716">
        <f t="shared" si="8"/>
        <v>9892</v>
      </c>
      <c r="F47" s="790">
        <f t="shared" si="9"/>
        <v>73401</v>
      </c>
      <c r="G47" s="791">
        <f t="shared" si="10"/>
        <v>73401</v>
      </c>
      <c r="H47" s="792">
        <v>0</v>
      </c>
      <c r="I47" s="793">
        <v>0</v>
      </c>
      <c r="J47" s="718">
        <f t="shared" si="11"/>
        <v>68248</v>
      </c>
      <c r="K47" s="790">
        <f t="shared" si="12"/>
        <v>9211</v>
      </c>
      <c r="L47" s="794">
        <f t="shared" si="13"/>
        <v>59037</v>
      </c>
    </row>
    <row r="48" spans="1:12" ht="12.75">
      <c r="A48" s="641">
        <v>48</v>
      </c>
      <c r="B48" s="789">
        <v>31</v>
      </c>
      <c r="C48" s="642" t="s">
        <v>142</v>
      </c>
      <c r="D48" s="715">
        <f t="shared" si="7"/>
        <v>197084</v>
      </c>
      <c r="E48" s="716">
        <f t="shared" si="8"/>
        <v>49027</v>
      </c>
      <c r="F48" s="790">
        <f t="shared" si="9"/>
        <v>148057</v>
      </c>
      <c r="G48" s="791">
        <f t="shared" si="10"/>
        <v>148057</v>
      </c>
      <c r="H48" s="792">
        <v>0</v>
      </c>
      <c r="I48" s="793">
        <v>0</v>
      </c>
      <c r="J48" s="718">
        <f t="shared" si="11"/>
        <v>175346</v>
      </c>
      <c r="K48" s="790">
        <f t="shared" si="12"/>
        <v>43916</v>
      </c>
      <c r="L48" s="794">
        <f t="shared" si="13"/>
        <v>131430</v>
      </c>
    </row>
    <row r="49" spans="1:12" ht="12.75">
      <c r="A49" s="641">
        <v>49</v>
      </c>
      <c r="B49" s="789">
        <v>33</v>
      </c>
      <c r="C49" s="642" t="s">
        <v>143</v>
      </c>
      <c r="D49" s="715">
        <f t="shared" si="7"/>
        <v>89951</v>
      </c>
      <c r="E49" s="716">
        <f t="shared" si="8"/>
        <v>6980</v>
      </c>
      <c r="F49" s="790">
        <f t="shared" si="9"/>
        <v>82971</v>
      </c>
      <c r="G49" s="791">
        <f t="shared" si="10"/>
        <v>78471</v>
      </c>
      <c r="H49" s="792">
        <f>'pril1-CP'!J67</f>
        <v>4500</v>
      </c>
      <c r="I49" s="793">
        <v>0</v>
      </c>
      <c r="J49" s="718">
        <f t="shared" si="11"/>
        <v>73015</v>
      </c>
      <c r="K49" s="790">
        <f t="shared" si="12"/>
        <v>6684</v>
      </c>
      <c r="L49" s="794">
        <f>I13+3600</f>
        <v>66331</v>
      </c>
    </row>
    <row r="50" spans="1:12" ht="12.75">
      <c r="A50" s="641">
        <v>50</v>
      </c>
      <c r="B50" s="789">
        <v>41</v>
      </c>
      <c r="C50" s="642" t="s">
        <v>144</v>
      </c>
      <c r="D50" s="715">
        <f t="shared" si="7"/>
        <v>162321</v>
      </c>
      <c r="E50" s="716">
        <f t="shared" si="8"/>
        <v>3134</v>
      </c>
      <c r="F50" s="790">
        <f t="shared" si="9"/>
        <v>159187</v>
      </c>
      <c r="G50" s="791">
        <f t="shared" si="10"/>
        <v>159187</v>
      </c>
      <c r="H50" s="792">
        <v>0</v>
      </c>
      <c r="I50" s="793">
        <v>0</v>
      </c>
      <c r="J50" s="718">
        <f t="shared" si="11"/>
        <v>146547</v>
      </c>
      <c r="K50" s="790">
        <f t="shared" si="12"/>
        <v>1780</v>
      </c>
      <c r="L50" s="794">
        <f t="shared" si="13"/>
        <v>144767</v>
      </c>
    </row>
    <row r="51" spans="1:12" ht="12.75">
      <c r="A51" s="641">
        <v>51</v>
      </c>
      <c r="B51" s="789">
        <v>51</v>
      </c>
      <c r="C51" s="642" t="s">
        <v>149</v>
      </c>
      <c r="D51" s="715">
        <f t="shared" si="7"/>
        <v>60122</v>
      </c>
      <c r="E51" s="716">
        <f t="shared" si="8"/>
        <v>297</v>
      </c>
      <c r="F51" s="790">
        <f t="shared" si="9"/>
        <v>59825</v>
      </c>
      <c r="G51" s="791">
        <f t="shared" si="10"/>
        <v>41005</v>
      </c>
      <c r="H51" s="792">
        <f>'pril1-CP'!J80</f>
        <v>18820</v>
      </c>
      <c r="I51" s="793">
        <v>0</v>
      </c>
      <c r="J51" s="718">
        <f t="shared" si="11"/>
        <v>45146</v>
      </c>
      <c r="K51" s="790">
        <f t="shared" si="12"/>
        <v>249</v>
      </c>
      <c r="L51" s="794">
        <f t="shared" si="13"/>
        <v>44897</v>
      </c>
    </row>
    <row r="52" spans="1:12" ht="12.75">
      <c r="A52" s="795">
        <v>52</v>
      </c>
      <c r="B52" s="796">
        <v>56</v>
      </c>
      <c r="C52" s="722" t="s">
        <v>145</v>
      </c>
      <c r="D52" s="723">
        <f t="shared" si="7"/>
        <v>88640</v>
      </c>
      <c r="E52" s="724">
        <f t="shared" si="8"/>
        <v>4708</v>
      </c>
      <c r="F52" s="797">
        <f t="shared" si="9"/>
        <v>83932</v>
      </c>
      <c r="G52" s="798">
        <f t="shared" si="10"/>
        <v>83932</v>
      </c>
      <c r="H52" s="799">
        <v>0</v>
      </c>
      <c r="I52" s="800">
        <v>0</v>
      </c>
      <c r="J52" s="725">
        <f t="shared" si="11"/>
        <v>78401</v>
      </c>
      <c r="K52" s="797">
        <f t="shared" si="12"/>
        <v>3173</v>
      </c>
      <c r="L52" s="801">
        <f t="shared" si="13"/>
        <v>75228</v>
      </c>
    </row>
    <row r="53" spans="1:13" ht="12.75">
      <c r="A53" s="753">
        <v>53</v>
      </c>
      <c r="B53" s="802" t="s">
        <v>304</v>
      </c>
      <c r="C53" s="803"/>
      <c r="D53" s="733">
        <f aca="true" t="shared" si="14" ref="D53:L53">SUM(D44:D52)</f>
        <v>1209134</v>
      </c>
      <c r="E53" s="804">
        <f t="shared" si="14"/>
        <v>112915</v>
      </c>
      <c r="F53" s="805">
        <f t="shared" si="14"/>
        <v>1096219</v>
      </c>
      <c r="G53" s="806">
        <f t="shared" si="14"/>
        <v>1072899</v>
      </c>
      <c r="H53" s="807">
        <f t="shared" si="14"/>
        <v>23320</v>
      </c>
      <c r="I53" s="808">
        <f t="shared" si="14"/>
        <v>0</v>
      </c>
      <c r="J53" s="809">
        <f t="shared" si="14"/>
        <v>1033658</v>
      </c>
      <c r="K53" s="804">
        <f t="shared" si="14"/>
        <v>99469</v>
      </c>
      <c r="L53" s="810">
        <f t="shared" si="14"/>
        <v>934189</v>
      </c>
      <c r="M53" s="811"/>
    </row>
    <row r="54" spans="1:12" ht="12.75">
      <c r="A54" s="705">
        <v>54</v>
      </c>
      <c r="B54" s="706">
        <v>81</v>
      </c>
      <c r="C54" s="640" t="s">
        <v>38</v>
      </c>
      <c r="D54" s="783">
        <f>SUM(E54:F54)</f>
        <v>0</v>
      </c>
      <c r="E54" s="763">
        <v>0</v>
      </c>
      <c r="F54" s="812">
        <f aca="true" t="shared" si="15" ref="F54:F63">SUM(G54:I54)</f>
        <v>0</v>
      </c>
      <c r="G54" s="785">
        <f>'pril1-CP'!J95</f>
        <v>0</v>
      </c>
      <c r="H54" s="786">
        <f>'pril1-CP'!J9</f>
        <v>0</v>
      </c>
      <c r="I54" s="787">
        <v>0</v>
      </c>
      <c r="J54" s="708">
        <f aca="true" t="shared" si="16" ref="J54:J63">SUM(K54:L54)</f>
        <v>0</v>
      </c>
      <c r="K54" s="763"/>
      <c r="L54" s="813"/>
    </row>
    <row r="55" spans="1:12" ht="14.25">
      <c r="A55" s="641">
        <v>55</v>
      </c>
      <c r="B55" s="714">
        <v>82</v>
      </c>
      <c r="C55" s="642" t="s">
        <v>8</v>
      </c>
      <c r="D55" s="715"/>
      <c r="E55" s="814"/>
      <c r="F55" s="815">
        <f t="shared" si="15"/>
        <v>0</v>
      </c>
      <c r="G55" s="955">
        <f>'pril1-CP'!J96</f>
        <v>0</v>
      </c>
      <c r="H55" s="792">
        <f>'pril1-CP'!J10</f>
        <v>0</v>
      </c>
      <c r="I55" s="793"/>
      <c r="J55" s="718">
        <f t="shared" si="16"/>
        <v>0</v>
      </c>
      <c r="K55" s="814"/>
      <c r="L55" s="816"/>
    </row>
    <row r="56" spans="1:12" ht="12.75">
      <c r="A56" s="641">
        <v>56</v>
      </c>
      <c r="B56" s="714">
        <v>83</v>
      </c>
      <c r="C56" s="642" t="s">
        <v>306</v>
      </c>
      <c r="D56" s="715">
        <f aca="true" t="shared" si="17" ref="D56:D63">SUM(E56:F56)</f>
        <v>3895</v>
      </c>
      <c r="E56" s="814"/>
      <c r="F56" s="815">
        <f t="shared" si="15"/>
        <v>3895</v>
      </c>
      <c r="G56" s="955">
        <f>'pril1-CP'!J97</f>
        <v>3500</v>
      </c>
      <c r="H56" s="792">
        <f>'pril1-CP'!J11</f>
        <v>395</v>
      </c>
      <c r="I56" s="793"/>
      <c r="J56" s="718">
        <f t="shared" si="16"/>
        <v>2000</v>
      </c>
      <c r="K56" s="814"/>
      <c r="L56" s="816">
        <v>2000</v>
      </c>
    </row>
    <row r="57" spans="1:12" ht="12.75">
      <c r="A57" s="641">
        <v>57</v>
      </c>
      <c r="B57" s="714">
        <v>84</v>
      </c>
      <c r="C57" s="642" t="s">
        <v>307</v>
      </c>
      <c r="D57" s="715">
        <f t="shared" si="17"/>
        <v>1739.9999999999998</v>
      </c>
      <c r="E57" s="814"/>
      <c r="F57" s="815">
        <f t="shared" si="15"/>
        <v>1739.9999999999998</v>
      </c>
      <c r="G57" s="955">
        <f>'pril1-CP'!J98</f>
        <v>1709.9999999999998</v>
      </c>
      <c r="H57" s="792">
        <f>'pril1-CP'!J12</f>
        <v>30</v>
      </c>
      <c r="I57" s="793"/>
      <c r="J57" s="718">
        <f t="shared" si="16"/>
        <v>1614</v>
      </c>
      <c r="K57" s="814"/>
      <c r="L57" s="816">
        <v>1614</v>
      </c>
    </row>
    <row r="58" spans="1:12" ht="12.75">
      <c r="A58" s="641">
        <v>58</v>
      </c>
      <c r="B58" s="714">
        <v>91</v>
      </c>
      <c r="C58" s="642" t="s">
        <v>308</v>
      </c>
      <c r="D58" s="715">
        <f t="shared" si="17"/>
        <v>0</v>
      </c>
      <c r="E58" s="716">
        <f aca="true" t="shared" si="18" ref="E58:E63">E22</f>
        <v>0</v>
      </c>
      <c r="F58" s="790">
        <f t="shared" si="15"/>
        <v>0</v>
      </c>
      <c r="G58" s="955">
        <f>'pril1-CP'!J99</f>
        <v>0</v>
      </c>
      <c r="H58" s="792">
        <f>'pril1-CP'!J13</f>
        <v>0</v>
      </c>
      <c r="I58" s="793">
        <v>0</v>
      </c>
      <c r="J58" s="718">
        <f t="shared" si="16"/>
        <v>500</v>
      </c>
      <c r="K58" s="716"/>
      <c r="L58" s="794">
        <v>500</v>
      </c>
    </row>
    <row r="59" spans="1:12" ht="12.75">
      <c r="A59" s="641">
        <v>59</v>
      </c>
      <c r="B59" s="714">
        <v>92</v>
      </c>
      <c r="C59" s="642" t="s">
        <v>41</v>
      </c>
      <c r="D59" s="715">
        <f t="shared" si="17"/>
        <v>135191.2882</v>
      </c>
      <c r="E59" s="716">
        <f t="shared" si="18"/>
        <v>0</v>
      </c>
      <c r="F59" s="790">
        <f t="shared" si="15"/>
        <v>135191.2882</v>
      </c>
      <c r="G59" s="955">
        <f>'pril1-CP'!J100</f>
        <v>88369.2882</v>
      </c>
      <c r="H59" s="792">
        <f>'pril1-CP'!J14+'pril1-CP'!J76</f>
        <v>46822</v>
      </c>
      <c r="I59" s="793">
        <v>0</v>
      </c>
      <c r="J59" s="718">
        <f t="shared" si="16"/>
        <v>95485</v>
      </c>
      <c r="K59" s="716"/>
      <c r="L59" s="794">
        <v>95485</v>
      </c>
    </row>
    <row r="60" spans="1:12" ht="12.75">
      <c r="A60" s="641">
        <v>60</v>
      </c>
      <c r="B60" s="714">
        <v>94</v>
      </c>
      <c r="C60" s="642" t="s">
        <v>309</v>
      </c>
      <c r="D60" s="715">
        <f t="shared" si="17"/>
        <v>0</v>
      </c>
      <c r="E60" s="716">
        <f t="shared" si="18"/>
        <v>0</v>
      </c>
      <c r="F60" s="790">
        <f t="shared" si="15"/>
        <v>0</v>
      </c>
      <c r="G60" s="955">
        <f>'pril1-CP'!J101</f>
        <v>0</v>
      </c>
      <c r="H60" s="792">
        <f>'pril1-CP'!J15</f>
        <v>0</v>
      </c>
      <c r="I60" s="793">
        <v>0</v>
      </c>
      <c r="J60" s="718">
        <f t="shared" si="16"/>
        <v>0</v>
      </c>
      <c r="K60" s="716"/>
      <c r="L60" s="794">
        <v>0</v>
      </c>
    </row>
    <row r="61" spans="1:12" ht="12.75">
      <c r="A61" s="641">
        <v>61</v>
      </c>
      <c r="B61" s="714">
        <v>96</v>
      </c>
      <c r="C61" s="642" t="s">
        <v>310</v>
      </c>
      <c r="D61" s="715">
        <f t="shared" si="17"/>
        <v>22003.2792</v>
      </c>
      <c r="E61" s="716">
        <f t="shared" si="18"/>
        <v>0</v>
      </c>
      <c r="F61" s="790">
        <f t="shared" si="15"/>
        <v>22003.2792</v>
      </c>
      <c r="G61" s="955">
        <f>'pril1-CP'!J102</f>
        <v>21961.2792</v>
      </c>
      <c r="H61" s="792">
        <f>'pril1-CP'!J16</f>
        <v>42</v>
      </c>
      <c r="I61" s="793">
        <v>0</v>
      </c>
      <c r="J61" s="718">
        <f t="shared" si="16"/>
        <v>19324</v>
      </c>
      <c r="K61" s="716"/>
      <c r="L61" s="794">
        <v>19324</v>
      </c>
    </row>
    <row r="62" spans="1:12" ht="12.75">
      <c r="A62" s="641">
        <v>62</v>
      </c>
      <c r="B62" s="714">
        <v>97</v>
      </c>
      <c r="C62" s="642" t="s">
        <v>311</v>
      </c>
      <c r="D62" s="715">
        <f t="shared" si="17"/>
        <v>7443.789999999999</v>
      </c>
      <c r="E62" s="716">
        <f t="shared" si="18"/>
        <v>0</v>
      </c>
      <c r="F62" s="790">
        <f t="shared" si="15"/>
        <v>7443.789999999999</v>
      </c>
      <c r="G62" s="955">
        <f>'pril1-CP'!J103</f>
        <v>7379.789999999999</v>
      </c>
      <c r="H62" s="792">
        <f>'pril1-CP'!J17</f>
        <v>64</v>
      </c>
      <c r="I62" s="793">
        <v>0</v>
      </c>
      <c r="J62" s="718">
        <f t="shared" si="16"/>
        <v>6537</v>
      </c>
      <c r="K62" s="716"/>
      <c r="L62" s="794">
        <v>6537</v>
      </c>
    </row>
    <row r="63" spans="1:12" ht="14.25">
      <c r="A63" s="795">
        <v>63</v>
      </c>
      <c r="B63" s="721">
        <v>99</v>
      </c>
      <c r="C63" s="722" t="s">
        <v>9</v>
      </c>
      <c r="D63" s="755">
        <f t="shared" si="17"/>
        <v>167024.7818</v>
      </c>
      <c r="E63" s="756">
        <f t="shared" si="18"/>
        <v>0</v>
      </c>
      <c r="F63" s="817">
        <f t="shared" si="15"/>
        <v>167024.7818</v>
      </c>
      <c r="G63" s="798">
        <f>'pril1-CP'!J104</f>
        <v>74127.78179999998</v>
      </c>
      <c r="H63" s="799">
        <f>'pril1-CP'!J18+'pril1-CP'!J66+'pril1-CP'!J19</f>
        <v>77197</v>
      </c>
      <c r="I63" s="808">
        <f>'pril1-CP'!J83</f>
        <v>15700</v>
      </c>
      <c r="J63" s="758">
        <f t="shared" si="16"/>
        <v>210367</v>
      </c>
      <c r="K63" s="756"/>
      <c r="L63" s="819">
        <v>210367</v>
      </c>
    </row>
    <row r="64" spans="1:13" ht="12.75">
      <c r="A64" s="969">
        <v>64</v>
      </c>
      <c r="B64" s="970" t="s">
        <v>11</v>
      </c>
      <c r="C64" s="970"/>
      <c r="D64" s="730">
        <f aca="true" t="shared" si="19" ref="D64:J64">SUM(D54:D63)</f>
        <v>337298.1392</v>
      </c>
      <c r="E64" s="971">
        <f t="shared" si="19"/>
        <v>0</v>
      </c>
      <c r="F64" s="972">
        <f t="shared" si="19"/>
        <v>337298.1392</v>
      </c>
      <c r="G64" s="971">
        <f t="shared" si="19"/>
        <v>197048.13919999998</v>
      </c>
      <c r="H64" s="973">
        <f t="shared" si="19"/>
        <v>124550</v>
      </c>
      <c r="I64" s="974">
        <f t="shared" si="19"/>
        <v>15700</v>
      </c>
      <c r="J64" s="975">
        <f t="shared" si="19"/>
        <v>335827</v>
      </c>
      <c r="K64" s="976">
        <f>SUM(K58:K63)</f>
        <v>0</v>
      </c>
      <c r="L64" s="977">
        <f>SUM(L54:L63)</f>
        <v>335827</v>
      </c>
      <c r="M64" s="811"/>
    </row>
    <row r="65" spans="1:12" ht="13.5">
      <c r="A65" s="746">
        <v>65</v>
      </c>
      <c r="B65" s="960" t="s">
        <v>10</v>
      </c>
      <c r="C65" s="961"/>
      <c r="D65" s="962">
        <f>SUM(E65:F65)</f>
        <v>38176</v>
      </c>
      <c r="E65" s="963"/>
      <c r="F65" s="964">
        <f>SUM(G65:I65)</f>
        <v>38176</v>
      </c>
      <c r="G65" s="965"/>
      <c r="H65" s="818">
        <f>'pril1-CP'!J7</f>
        <v>38176</v>
      </c>
      <c r="I65" s="966"/>
      <c r="J65" s="967">
        <f>SUM(K65:L65)</f>
        <v>21517</v>
      </c>
      <c r="K65" s="963"/>
      <c r="L65" s="968">
        <v>21517</v>
      </c>
    </row>
    <row r="66" spans="1:12" ht="13.5" thickBot="1">
      <c r="A66" s="821">
        <v>66</v>
      </c>
      <c r="B66" s="822" t="s">
        <v>319</v>
      </c>
      <c r="C66" s="822"/>
      <c r="D66" s="823">
        <f>SUM(E66:F66)</f>
        <v>99000</v>
      </c>
      <c r="E66" s="824">
        <v>0</v>
      </c>
      <c r="F66" s="825">
        <f>SUM(G66:I66)</f>
        <v>99000</v>
      </c>
      <c r="G66" s="826"/>
      <c r="H66" s="827">
        <f>'pril1-CP'!J6</f>
        <v>99000</v>
      </c>
      <c r="I66" s="828">
        <v>0</v>
      </c>
      <c r="J66" s="820">
        <f>SUM(K66:L66)</f>
        <v>88000</v>
      </c>
      <c r="K66" s="824">
        <v>0</v>
      </c>
      <c r="L66" s="829">
        <v>88000</v>
      </c>
    </row>
    <row r="67" spans="1:12" s="1221" customFormat="1" ht="18" customHeight="1" thickBot="1">
      <c r="A67" s="1209">
        <v>67</v>
      </c>
      <c r="B67" s="1210" t="s">
        <v>12</v>
      </c>
      <c r="C67" s="1211"/>
      <c r="D67" s="1212">
        <f>D53+D64+D65+D66</f>
        <v>1683608.1392</v>
      </c>
      <c r="E67" s="1213">
        <f>E53+E64</f>
        <v>112915</v>
      </c>
      <c r="F67" s="1214">
        <f>F53+F64+F65+F66</f>
        <v>1570693.1392</v>
      </c>
      <c r="G67" s="1215">
        <f>G53+G64+G65+G66</f>
        <v>1269947.1392</v>
      </c>
      <c r="H67" s="1216">
        <f>H53+H64+H65+H66</f>
        <v>285046</v>
      </c>
      <c r="I67" s="1217">
        <f>I53+I64+G65+G66</f>
        <v>15700</v>
      </c>
      <c r="J67" s="1218">
        <f>J53+SUM(J64:J66)</f>
        <v>1479002</v>
      </c>
      <c r="K67" s="1219">
        <f>SUM(K64:K66)+K53</f>
        <v>99469</v>
      </c>
      <c r="L67" s="1220">
        <f>SUM(L64:L66)+L53</f>
        <v>1379533</v>
      </c>
    </row>
    <row r="68" spans="1:12" s="2" customFormat="1" ht="12.75">
      <c r="A68" s="1222" t="s">
        <v>436</v>
      </c>
      <c r="B68" s="9"/>
      <c r="C68" s="1225"/>
      <c r="D68" s="1226"/>
      <c r="E68" s="1226"/>
      <c r="F68" s="1226"/>
      <c r="G68" s="1227"/>
      <c r="H68" s="1227"/>
      <c r="I68" s="1227"/>
      <c r="J68" s="1228"/>
      <c r="K68" s="1228"/>
      <c r="L68" s="1228"/>
    </row>
    <row r="69" spans="1:12" s="1223" customFormat="1" ht="11.25">
      <c r="A69" s="1222" t="s">
        <v>434</v>
      </c>
      <c r="D69" s="1224"/>
      <c r="E69" s="1224"/>
      <c r="G69" s="1224"/>
      <c r="H69" s="1224"/>
      <c r="I69" s="1224"/>
      <c r="L69" s="1224"/>
    </row>
    <row r="70" spans="1:9" s="1223" customFormat="1" ht="11.25">
      <c r="A70" s="1222" t="s">
        <v>435</v>
      </c>
      <c r="D70" s="1224"/>
      <c r="E70" s="1224"/>
      <c r="G70" s="1224"/>
      <c r="H70" s="1224"/>
      <c r="I70" s="1224"/>
    </row>
    <row r="71" spans="1:9" s="831" customFormat="1" ht="11.25" customHeight="1">
      <c r="A71" s="830"/>
      <c r="D71" s="978"/>
      <c r="E71" s="978"/>
      <c r="G71" s="832"/>
      <c r="H71" s="832"/>
      <c r="I71" s="832"/>
    </row>
    <row r="72" s="606" customFormat="1" ht="12">
      <c r="A72" s="1207" t="s">
        <v>320</v>
      </c>
    </row>
    <row r="73" spans="1:3" s="606" customFormat="1" ht="12">
      <c r="A73" s="606" t="s">
        <v>321</v>
      </c>
      <c r="C73" s="606" t="s">
        <v>2</v>
      </c>
    </row>
    <row r="74" spans="1:3" s="606" customFormat="1" ht="12">
      <c r="A74" s="606" t="s">
        <v>322</v>
      </c>
      <c r="C74" s="606" t="s">
        <v>3</v>
      </c>
    </row>
    <row r="75" spans="1:3" s="606" customFormat="1" ht="12">
      <c r="A75" s="606" t="s">
        <v>323</v>
      </c>
      <c r="C75" s="606" t="s">
        <v>4</v>
      </c>
    </row>
    <row r="76" spans="1:3" s="606" customFormat="1" ht="12">
      <c r="A76" s="606" t="s">
        <v>418</v>
      </c>
      <c r="C76" s="606" t="s">
        <v>419</v>
      </c>
    </row>
    <row r="77" ht="12.75">
      <c r="C77" s="686"/>
    </row>
    <row r="78" spans="1:8" ht="12.75">
      <c r="A78" s="606" t="s">
        <v>413</v>
      </c>
      <c r="H78" s="437" t="s">
        <v>412</v>
      </c>
    </row>
  </sheetData>
  <mergeCells count="9">
    <mergeCell ref="D4:F4"/>
    <mergeCell ref="E5:F5"/>
    <mergeCell ref="G4:I4"/>
    <mergeCell ref="H5:I5"/>
    <mergeCell ref="J40:L40"/>
    <mergeCell ref="E41:F41"/>
    <mergeCell ref="K41:L41"/>
    <mergeCell ref="G42:I42"/>
    <mergeCell ref="D40:F40"/>
  </mergeCells>
  <printOptions/>
  <pageMargins left="0.57" right="0.3" top="0.55" bottom="0.34" header="0.42" footer="0.19"/>
  <pageSetup horizontalDpi="1200" verticalDpi="1200" orientation="landscape" paperSize="9" r:id="rId1"/>
  <headerFooter alignWithMargins="0">
    <oddFooter>&amp;C&amp;P+4
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selection activeCell="C46" sqref="C46"/>
    </sheetView>
  </sheetViews>
  <sheetFormatPr defaultColWidth="9.00390625" defaultRowHeight="12.75"/>
  <cols>
    <col min="1" max="1" width="4.375" style="23" customWidth="1"/>
    <col min="2" max="2" width="3.875" style="22" customWidth="1"/>
    <col min="3" max="3" width="53.125" style="23" customWidth="1"/>
    <col min="4" max="4" width="7.625" style="24" hidden="1" customWidth="1"/>
    <col min="5" max="5" width="7.875" style="24" hidden="1" customWidth="1"/>
    <col min="6" max="6" width="8.375" style="24" hidden="1" customWidth="1"/>
    <col min="7" max="7" width="11.00390625" style="25" customWidth="1"/>
    <col min="8" max="8" width="7.375" style="25" hidden="1" customWidth="1"/>
    <col min="9" max="9" width="8.875" style="26" hidden="1" customWidth="1"/>
    <col min="10" max="10" width="12.00390625" style="26" customWidth="1"/>
    <col min="11" max="11" width="8.375" style="25" customWidth="1"/>
    <col min="12" max="12" width="7.00390625" style="24" hidden="1" customWidth="1"/>
    <col min="13" max="13" width="6.625" style="24" hidden="1" customWidth="1"/>
    <col min="14" max="14" width="6.25390625" style="23" hidden="1" customWidth="1"/>
    <col min="15" max="16384" width="9.125" style="23" customWidth="1"/>
  </cols>
  <sheetData>
    <row r="1" ht="15.75">
      <c r="B1" s="21" t="s">
        <v>407</v>
      </c>
    </row>
    <row r="2" spans="2:13" s="27" customFormat="1" ht="13.5" thickBot="1">
      <c r="B2" s="28"/>
      <c r="G2" s="29"/>
      <c r="H2" s="29"/>
      <c r="J2" s="1140" t="s">
        <v>173</v>
      </c>
      <c r="L2" s="24"/>
      <c r="M2" s="30" t="s">
        <v>49</v>
      </c>
    </row>
    <row r="3" spans="1:14" ht="12.75" customHeight="1">
      <c r="A3" s="31"/>
      <c r="B3" s="32"/>
      <c r="C3" s="33"/>
      <c r="D3" s="32" t="s">
        <v>201</v>
      </c>
      <c r="E3" s="32" t="s">
        <v>201</v>
      </c>
      <c r="F3" s="32" t="s">
        <v>201</v>
      </c>
      <c r="G3" s="115" t="s">
        <v>201</v>
      </c>
      <c r="H3" s="115" t="s">
        <v>50</v>
      </c>
      <c r="I3" s="116" t="s">
        <v>209</v>
      </c>
      <c r="J3" s="116" t="s">
        <v>201</v>
      </c>
      <c r="K3" s="23"/>
      <c r="L3" s="34">
        <v>1</v>
      </c>
      <c r="N3" s="34">
        <v>0.85</v>
      </c>
    </row>
    <row r="4" spans="1:11" ht="12.75" customHeight="1" thickBot="1">
      <c r="A4" s="35"/>
      <c r="B4" s="36" t="s">
        <v>210</v>
      </c>
      <c r="C4" s="37" t="s">
        <v>211</v>
      </c>
      <c r="D4" s="36">
        <v>2002</v>
      </c>
      <c r="E4" s="36">
        <v>2003</v>
      </c>
      <c r="F4" s="36">
        <v>2004</v>
      </c>
      <c r="G4" s="117">
        <v>2005</v>
      </c>
      <c r="H4" s="117">
        <v>2005</v>
      </c>
      <c r="I4" s="118">
        <v>2006</v>
      </c>
      <c r="J4" s="118">
        <v>2006</v>
      </c>
      <c r="K4" s="23"/>
    </row>
    <row r="5" spans="1:11" ht="12.75" customHeight="1" thickBot="1">
      <c r="A5" s="38"/>
      <c r="B5" s="136"/>
      <c r="C5" s="137" t="s">
        <v>87</v>
      </c>
      <c r="D5" s="138">
        <f>SUM(D6:D8)+D19</f>
        <v>96800</v>
      </c>
      <c r="E5" s="139" t="e">
        <f>SUM(E6:E8)+E19+#REF!</f>
        <v>#REF!</v>
      </c>
      <c r="F5" s="138">
        <f>SUM(F6:F8)+F19</f>
        <v>149727</v>
      </c>
      <c r="G5" s="140">
        <f>SUM(G6:G8)+G19</f>
        <v>208145</v>
      </c>
      <c r="H5" s="140">
        <f>SUM(H6:H8)+H19</f>
        <v>169563</v>
      </c>
      <c r="I5" s="141">
        <f>SUM(I6:I8)+I19</f>
        <v>97526</v>
      </c>
      <c r="J5" s="141">
        <f>SUM(J6:J8)+J19</f>
        <v>169333</v>
      </c>
      <c r="K5" s="23"/>
    </row>
    <row r="6" spans="1:13" s="39" customFormat="1" ht="12.75" customHeight="1">
      <c r="A6" s="142"/>
      <c r="B6" s="424">
        <v>1</v>
      </c>
      <c r="C6" s="425" t="s">
        <v>212</v>
      </c>
      <c r="D6" s="426">
        <v>88000</v>
      </c>
      <c r="E6" s="426">
        <v>89000</v>
      </c>
      <c r="F6" s="427"/>
      <c r="G6" s="428">
        <v>88000</v>
      </c>
      <c r="H6" s="428">
        <v>80000</v>
      </c>
      <c r="I6" s="429">
        <v>31179</v>
      </c>
      <c r="J6" s="430">
        <v>99000</v>
      </c>
      <c r="L6" s="24"/>
      <c r="M6" s="24"/>
    </row>
    <row r="7" spans="1:13" s="39" customFormat="1" ht="12.75" customHeight="1">
      <c r="A7" s="47"/>
      <c r="B7" s="143">
        <v>2</v>
      </c>
      <c r="C7" s="144" t="s">
        <v>88</v>
      </c>
      <c r="D7" s="145"/>
      <c r="E7" s="145"/>
      <c r="F7" s="146">
        <v>92280</v>
      </c>
      <c r="G7" s="147">
        <v>21517</v>
      </c>
      <c r="H7" s="147">
        <f>G7</f>
        <v>21517</v>
      </c>
      <c r="I7" s="148">
        <v>32908</v>
      </c>
      <c r="J7" s="422">
        <v>38176</v>
      </c>
      <c r="L7" s="24"/>
      <c r="M7" s="24"/>
    </row>
    <row r="8" spans="1:13" s="39" customFormat="1" ht="12.75" customHeight="1">
      <c r="A8" s="47"/>
      <c r="B8" s="143">
        <v>3</v>
      </c>
      <c r="C8" s="144" t="s">
        <v>257</v>
      </c>
      <c r="D8" s="145">
        <f>SUM(D9:D18)</f>
        <v>0</v>
      </c>
      <c r="E8" s="145">
        <f>SUM(E9:E18)</f>
        <v>13000</v>
      </c>
      <c r="F8" s="145">
        <f>SUM(F9:F18)</f>
        <v>37547</v>
      </c>
      <c r="G8" s="149">
        <f>SUM(G9:G18)</f>
        <v>19628</v>
      </c>
      <c r="H8" s="149">
        <f>G8</f>
        <v>19628</v>
      </c>
      <c r="I8" s="150">
        <f>SUM(I9:I18)</f>
        <v>22403</v>
      </c>
      <c r="J8" s="423">
        <f>SUM(J9:J18)</f>
        <v>22520</v>
      </c>
      <c r="L8" s="24"/>
      <c r="M8" s="24"/>
    </row>
    <row r="9" spans="1:14" s="42" customFormat="1" ht="12.75" customHeight="1">
      <c r="A9" s="60"/>
      <c r="B9" s="152"/>
      <c r="C9" s="153" t="s">
        <v>213</v>
      </c>
      <c r="D9" s="154"/>
      <c r="E9" s="155"/>
      <c r="F9" s="155">
        <v>7078</v>
      </c>
      <c r="G9" s="156">
        <v>0</v>
      </c>
      <c r="H9" s="157"/>
      <c r="I9" s="158">
        <v>0</v>
      </c>
      <c r="J9" s="399">
        <v>0</v>
      </c>
      <c r="L9" s="40">
        <v>3723</v>
      </c>
      <c r="M9" s="40"/>
      <c r="N9" s="41">
        <f aca="true" t="shared" si="0" ref="N9:N18">L9*0.85</f>
        <v>3164.5499999999997</v>
      </c>
    </row>
    <row r="10" spans="1:14" s="42" customFormat="1" ht="12.75" customHeight="1">
      <c r="A10" s="60"/>
      <c r="B10" s="152"/>
      <c r="C10" s="160" t="s">
        <v>214</v>
      </c>
      <c r="D10" s="161"/>
      <c r="E10" s="162"/>
      <c r="F10" s="162"/>
      <c r="G10" s="163">
        <v>0</v>
      </c>
      <c r="H10" s="159"/>
      <c r="I10" s="164">
        <v>0</v>
      </c>
      <c r="J10" s="400">
        <v>0</v>
      </c>
      <c r="L10" s="40"/>
      <c r="M10" s="40"/>
      <c r="N10" s="41">
        <f t="shared" si="0"/>
        <v>0</v>
      </c>
    </row>
    <row r="11" spans="1:14" s="42" customFormat="1" ht="12.75" customHeight="1">
      <c r="A11" s="60"/>
      <c r="B11" s="152"/>
      <c r="C11" s="160" t="s">
        <v>51</v>
      </c>
      <c r="D11" s="161"/>
      <c r="E11" s="162"/>
      <c r="F11" s="162"/>
      <c r="G11" s="163">
        <v>300</v>
      </c>
      <c r="H11" s="163"/>
      <c r="I11" s="164">
        <v>382</v>
      </c>
      <c r="J11" s="400">
        <f>'pril4-odpisy06'!D17</f>
        <v>395</v>
      </c>
      <c r="L11" s="40">
        <v>382</v>
      </c>
      <c r="M11" s="40"/>
      <c r="N11" s="41">
        <f t="shared" si="0"/>
        <v>324.7</v>
      </c>
    </row>
    <row r="12" spans="1:14" s="42" customFormat="1" ht="12.75" customHeight="1">
      <c r="A12" s="60"/>
      <c r="B12" s="152"/>
      <c r="C12" s="160" t="s">
        <v>48</v>
      </c>
      <c r="D12" s="161"/>
      <c r="E12" s="162"/>
      <c r="F12" s="162"/>
      <c r="G12" s="163">
        <v>114</v>
      </c>
      <c r="H12" s="163"/>
      <c r="I12" s="164">
        <v>29</v>
      </c>
      <c r="J12" s="400">
        <f>'pril4-odpisy06'!D18</f>
        <v>30</v>
      </c>
      <c r="L12" s="40">
        <v>29</v>
      </c>
      <c r="M12" s="40"/>
      <c r="N12" s="41">
        <f t="shared" si="0"/>
        <v>24.65</v>
      </c>
    </row>
    <row r="13" spans="1:14" s="42" customFormat="1" ht="12.75" customHeight="1">
      <c r="A13" s="60"/>
      <c r="B13" s="152"/>
      <c r="C13" s="160" t="s">
        <v>52</v>
      </c>
      <c r="D13" s="161"/>
      <c r="E13" s="162"/>
      <c r="F13" s="162">
        <v>381</v>
      </c>
      <c r="G13" s="163">
        <v>0</v>
      </c>
      <c r="H13" s="159"/>
      <c r="I13" s="164">
        <v>0</v>
      </c>
      <c r="J13" s="400">
        <v>0</v>
      </c>
      <c r="L13" s="40"/>
      <c r="M13" s="40"/>
      <c r="N13" s="41">
        <f t="shared" si="0"/>
        <v>0</v>
      </c>
    </row>
    <row r="14" spans="1:14" s="42" customFormat="1" ht="12.75" customHeight="1">
      <c r="A14" s="60"/>
      <c r="B14" s="152"/>
      <c r="C14" s="160" t="s">
        <v>126</v>
      </c>
      <c r="D14" s="161"/>
      <c r="E14" s="162">
        <v>13000</v>
      </c>
      <c r="F14" s="162">
        <f>9708+17263</f>
        <v>26971</v>
      </c>
      <c r="G14" s="163">
        <v>18314</v>
      </c>
      <c r="H14" s="163"/>
      <c r="I14" s="165">
        <v>20438</v>
      </c>
      <c r="J14" s="400">
        <f>'pril4-odpisy06'!D20</f>
        <v>20182</v>
      </c>
      <c r="L14" s="41">
        <v>20442</v>
      </c>
      <c r="M14" s="43">
        <v>21402</v>
      </c>
      <c r="N14" s="41">
        <f t="shared" si="0"/>
        <v>17375.7</v>
      </c>
    </row>
    <row r="15" spans="1:14" s="42" customFormat="1" ht="12.75" customHeight="1">
      <c r="A15" s="60"/>
      <c r="B15" s="152"/>
      <c r="C15" s="160" t="s">
        <v>247</v>
      </c>
      <c r="D15" s="161"/>
      <c r="E15" s="162"/>
      <c r="F15" s="162"/>
      <c r="G15" s="163">
        <v>0</v>
      </c>
      <c r="H15" s="159"/>
      <c r="I15" s="164">
        <v>0</v>
      </c>
      <c r="J15" s="400">
        <v>0</v>
      </c>
      <c r="L15" s="40">
        <v>482</v>
      </c>
      <c r="M15" s="40"/>
      <c r="N15" s="41">
        <f t="shared" si="0"/>
        <v>409.7</v>
      </c>
    </row>
    <row r="16" spans="1:14" s="42" customFormat="1" ht="12.75" customHeight="1">
      <c r="A16" s="60"/>
      <c r="B16" s="152"/>
      <c r="C16" s="160" t="s">
        <v>215</v>
      </c>
      <c r="D16" s="161"/>
      <c r="E16" s="162"/>
      <c r="F16" s="162">
        <v>68</v>
      </c>
      <c r="G16" s="163">
        <v>60</v>
      </c>
      <c r="H16" s="163"/>
      <c r="I16" s="164">
        <v>42</v>
      </c>
      <c r="J16" s="400">
        <f>'pril4-odpisy06'!D22</f>
        <v>42</v>
      </c>
      <c r="L16" s="40">
        <v>42</v>
      </c>
      <c r="M16" s="40">
        <v>46</v>
      </c>
      <c r="N16" s="41">
        <f t="shared" si="0"/>
        <v>35.699999999999996</v>
      </c>
    </row>
    <row r="17" spans="1:14" s="42" customFormat="1" ht="12.75" customHeight="1">
      <c r="A17" s="60"/>
      <c r="B17" s="152"/>
      <c r="C17" s="160" t="s">
        <v>216</v>
      </c>
      <c r="D17" s="161"/>
      <c r="E17" s="162"/>
      <c r="F17" s="162">
        <v>74</v>
      </c>
      <c r="G17" s="163">
        <v>63</v>
      </c>
      <c r="H17" s="163"/>
      <c r="I17" s="164">
        <f>48/9*12</f>
        <v>64</v>
      </c>
      <c r="J17" s="400">
        <f>'pril4-odpisy06'!D23</f>
        <v>64</v>
      </c>
      <c r="L17" s="40">
        <v>64</v>
      </c>
      <c r="M17" s="40"/>
      <c r="N17" s="41">
        <f t="shared" si="0"/>
        <v>54.4</v>
      </c>
    </row>
    <row r="18" spans="1:14" s="45" customFormat="1" ht="12.75" customHeight="1">
      <c r="A18" s="166"/>
      <c r="B18" s="167"/>
      <c r="C18" s="168" t="s">
        <v>217</v>
      </c>
      <c r="D18" s="169"/>
      <c r="E18" s="170"/>
      <c r="F18" s="170">
        <v>2975</v>
      </c>
      <c r="G18" s="163">
        <v>777</v>
      </c>
      <c r="H18" s="163"/>
      <c r="I18" s="164">
        <v>1448</v>
      </c>
      <c r="J18" s="1007">
        <f>'pril4-odpisy06'!D24</f>
        <v>1807</v>
      </c>
      <c r="L18" s="42">
        <v>1493</v>
      </c>
      <c r="M18" s="42">
        <v>1431</v>
      </c>
      <c r="N18" s="44">
        <f t="shared" si="0"/>
        <v>1269.05</v>
      </c>
    </row>
    <row r="19" spans="1:13" s="39" customFormat="1" ht="12.75" customHeight="1">
      <c r="A19" s="47"/>
      <c r="B19" s="143">
        <v>4</v>
      </c>
      <c r="C19" s="171" t="s">
        <v>218</v>
      </c>
      <c r="D19" s="172">
        <f aca="true" t="shared" si="1" ref="D19:J19">SUM(D20:D21)</f>
        <v>8800</v>
      </c>
      <c r="E19" s="172">
        <f t="shared" si="1"/>
        <v>33000</v>
      </c>
      <c r="F19" s="145">
        <f t="shared" si="1"/>
        <v>19900</v>
      </c>
      <c r="G19" s="149">
        <f t="shared" si="1"/>
        <v>79000</v>
      </c>
      <c r="H19" s="149">
        <f t="shared" si="1"/>
        <v>48418</v>
      </c>
      <c r="I19" s="173">
        <f t="shared" si="1"/>
        <v>11036</v>
      </c>
      <c r="J19" s="173">
        <f t="shared" si="1"/>
        <v>9637</v>
      </c>
      <c r="L19" s="24"/>
      <c r="M19" s="24"/>
    </row>
    <row r="20" spans="1:13" s="45" customFormat="1" ht="12.75" customHeight="1">
      <c r="A20" s="166"/>
      <c r="B20" s="934"/>
      <c r="C20" s="153" t="s">
        <v>219</v>
      </c>
      <c r="D20" s="174"/>
      <c r="E20" s="175">
        <v>13000</v>
      </c>
      <c r="F20" s="175">
        <v>10000</v>
      </c>
      <c r="G20" s="176">
        <v>41000</v>
      </c>
      <c r="H20" s="176">
        <v>18208</v>
      </c>
      <c r="I20" s="177">
        <v>0</v>
      </c>
      <c r="J20" s="204">
        <v>0</v>
      </c>
      <c r="L20" s="46"/>
      <c r="M20" s="46"/>
    </row>
    <row r="21" spans="1:13" s="45" customFormat="1" ht="12.75" customHeight="1" thickBot="1">
      <c r="A21" s="166"/>
      <c r="B21" s="167"/>
      <c r="C21" s="168" t="s">
        <v>220</v>
      </c>
      <c r="D21" s="179">
        <v>8800</v>
      </c>
      <c r="E21" s="179">
        <v>20000</v>
      </c>
      <c r="F21" s="179">
        <v>9900</v>
      </c>
      <c r="G21" s="180">
        <v>38000</v>
      </c>
      <c r="H21" s="180">
        <f>1621+13614+14975</f>
        <v>30210</v>
      </c>
      <c r="I21" s="181">
        <v>11036</v>
      </c>
      <c r="J21" s="401">
        <v>9637</v>
      </c>
      <c r="L21" s="46"/>
      <c r="M21" s="46"/>
    </row>
    <row r="22" spans="1:11" ht="12.75" customHeight="1" thickBot="1">
      <c r="A22" s="38"/>
      <c r="B22" s="136"/>
      <c r="C22" s="137" t="s">
        <v>221</v>
      </c>
      <c r="D22" s="138">
        <f>D66+D68+D76</f>
        <v>81279</v>
      </c>
      <c r="E22" s="139">
        <f>E66+E68+E76</f>
        <v>59485</v>
      </c>
      <c r="F22" s="247">
        <f>F66+F68+F76</f>
        <v>69200</v>
      </c>
      <c r="G22" s="246">
        <f>G66+G68+G76</f>
        <v>87245.37</v>
      </c>
      <c r="H22" s="246">
        <f>H66+H68+H76</f>
        <v>55948</v>
      </c>
      <c r="I22" s="246">
        <f>I66+I68+I76+I80+I82</f>
        <v>97928.15</v>
      </c>
      <c r="J22" s="246">
        <f>J66+J68+J76+J80+J82</f>
        <v>115713</v>
      </c>
      <c r="K22" s="23"/>
    </row>
    <row r="23" spans="1:11" ht="12.75" customHeight="1" hidden="1">
      <c r="A23" s="47"/>
      <c r="B23" s="48"/>
      <c r="C23" s="49" t="s">
        <v>222</v>
      </c>
      <c r="D23" s="182">
        <v>6000</v>
      </c>
      <c r="E23" s="183" t="s">
        <v>223</v>
      </c>
      <c r="F23" s="183" t="s">
        <v>223</v>
      </c>
      <c r="G23" s="184" t="s">
        <v>223</v>
      </c>
      <c r="H23" s="184"/>
      <c r="I23" s="185" t="s">
        <v>223</v>
      </c>
      <c r="J23" s="185"/>
      <c r="K23" s="23"/>
    </row>
    <row r="24" spans="1:11" ht="12.75" customHeight="1">
      <c r="A24" s="47"/>
      <c r="B24" s="50">
        <v>5</v>
      </c>
      <c r="C24" s="403" t="s">
        <v>123</v>
      </c>
      <c r="D24" s="186">
        <v>1300</v>
      </c>
      <c r="E24" s="186">
        <f>D24</f>
        <v>1300</v>
      </c>
      <c r="F24" s="186">
        <v>1100</v>
      </c>
      <c r="G24" s="187">
        <v>1700</v>
      </c>
      <c r="H24" s="187">
        <v>1964</v>
      </c>
      <c r="I24" s="188">
        <v>2000</v>
      </c>
      <c r="J24" s="196">
        <v>2500</v>
      </c>
      <c r="K24" s="23"/>
    </row>
    <row r="25" spans="1:11" ht="12.75" customHeight="1">
      <c r="A25" s="47"/>
      <c r="B25" s="50">
        <v>6</v>
      </c>
      <c r="C25" s="51" t="s">
        <v>53</v>
      </c>
      <c r="D25" s="186">
        <v>350</v>
      </c>
      <c r="E25" s="186">
        <f>D25</f>
        <v>350</v>
      </c>
      <c r="F25" s="186">
        <v>360</v>
      </c>
      <c r="G25" s="187">
        <v>400</v>
      </c>
      <c r="H25" s="187">
        <v>490</v>
      </c>
      <c r="I25" s="188">
        <v>400</v>
      </c>
      <c r="J25" s="196">
        <v>490</v>
      </c>
      <c r="K25" s="23"/>
    </row>
    <row r="26" spans="1:11" ht="12.75" customHeight="1">
      <c r="A26" s="47"/>
      <c r="B26" s="50">
        <v>7</v>
      </c>
      <c r="C26" s="51" t="s">
        <v>375</v>
      </c>
      <c r="D26" s="186">
        <v>400</v>
      </c>
      <c r="E26" s="186">
        <f>D26</f>
        <v>400</v>
      </c>
      <c r="F26" s="186">
        <v>2000</v>
      </c>
      <c r="G26" s="187">
        <v>2100</v>
      </c>
      <c r="H26" s="187">
        <v>0</v>
      </c>
      <c r="I26" s="189">
        <v>120</v>
      </c>
      <c r="J26" s="196">
        <v>120</v>
      </c>
      <c r="K26" s="23"/>
    </row>
    <row r="27" spans="1:11" ht="12.75" customHeight="1">
      <c r="A27" s="47"/>
      <c r="B27" s="50">
        <v>8</v>
      </c>
      <c r="C27" s="51" t="s">
        <v>224</v>
      </c>
      <c r="D27" s="186"/>
      <c r="E27" s="186"/>
      <c r="F27" s="186"/>
      <c r="G27" s="187">
        <v>1050</v>
      </c>
      <c r="H27" s="187">
        <v>705</v>
      </c>
      <c r="I27" s="189">
        <v>1000</v>
      </c>
      <c r="J27" s="196">
        <f>I27</f>
        <v>1000</v>
      </c>
      <c r="K27" s="23"/>
    </row>
    <row r="28" spans="1:11" ht="12.75" customHeight="1">
      <c r="A28" s="47"/>
      <c r="B28" s="50">
        <v>9</v>
      </c>
      <c r="C28" s="51" t="s">
        <v>225</v>
      </c>
      <c r="D28" s="186">
        <v>20000</v>
      </c>
      <c r="E28" s="186">
        <v>16900</v>
      </c>
      <c r="F28" s="186">
        <v>16304</v>
      </c>
      <c r="G28" s="187">
        <v>15500</v>
      </c>
      <c r="H28" s="187">
        <v>15000</v>
      </c>
      <c r="I28" s="191">
        <v>18070</v>
      </c>
      <c r="J28" s="196">
        <f>'pril3-opravy'!G36/1000</f>
        <v>17540</v>
      </c>
      <c r="K28" s="23"/>
    </row>
    <row r="29" spans="1:11" ht="12.75" customHeight="1">
      <c r="A29" s="47"/>
      <c r="B29" s="50">
        <v>10</v>
      </c>
      <c r="C29" s="51" t="s">
        <v>82</v>
      </c>
      <c r="D29" s="186">
        <v>48757</v>
      </c>
      <c r="E29" s="186">
        <v>10000</v>
      </c>
      <c r="F29" s="186">
        <v>7800</v>
      </c>
      <c r="G29" s="187">
        <f>1459+2930*1.355+571</f>
        <v>6000.15</v>
      </c>
      <c r="H29" s="187">
        <v>6000</v>
      </c>
      <c r="I29" s="188">
        <f>1459+2930*1.355+571</f>
        <v>6000.15</v>
      </c>
      <c r="J29" s="196">
        <v>0</v>
      </c>
      <c r="K29" s="23"/>
    </row>
    <row r="30" spans="1:11" ht="12.75" customHeight="1">
      <c r="A30" s="47"/>
      <c r="B30" s="50">
        <v>11</v>
      </c>
      <c r="C30" s="51" t="s">
        <v>226</v>
      </c>
      <c r="D30" s="186">
        <v>500</v>
      </c>
      <c r="E30" s="186">
        <f>D30</f>
        <v>500</v>
      </c>
      <c r="F30" s="186">
        <v>225</v>
      </c>
      <c r="G30" s="187">
        <v>300</v>
      </c>
      <c r="H30" s="187">
        <v>200</v>
      </c>
      <c r="I30" s="188">
        <v>300</v>
      </c>
      <c r="J30" s="196">
        <f aca="true" t="shared" si="2" ref="J30:J37">I30</f>
        <v>300</v>
      </c>
      <c r="K30" s="23"/>
    </row>
    <row r="31" spans="1:11" ht="12.75" customHeight="1">
      <c r="A31" s="47"/>
      <c r="B31" s="50">
        <v>12</v>
      </c>
      <c r="C31" s="51" t="s">
        <v>227</v>
      </c>
      <c r="D31" s="186"/>
      <c r="E31" s="186">
        <v>620</v>
      </c>
      <c r="F31" s="186">
        <v>890</v>
      </c>
      <c r="G31" s="187">
        <f>630*1.19+20*1.19*12+14*1.19*12</f>
        <v>1235.22</v>
      </c>
      <c r="H31" s="187">
        <v>1300</v>
      </c>
      <c r="I31" s="188">
        <v>1300</v>
      </c>
      <c r="J31" s="196">
        <f t="shared" si="2"/>
        <v>1300</v>
      </c>
      <c r="K31" s="23"/>
    </row>
    <row r="32" spans="1:11" ht="12.75" customHeight="1">
      <c r="A32" s="47"/>
      <c r="B32" s="50">
        <v>13</v>
      </c>
      <c r="C32" s="403" t="s">
        <v>133</v>
      </c>
      <c r="D32" s="404"/>
      <c r="E32" s="404">
        <v>1500</v>
      </c>
      <c r="F32" s="404">
        <f>600+1500</f>
        <v>2100</v>
      </c>
      <c r="G32" s="405">
        <v>1600</v>
      </c>
      <c r="H32" s="187">
        <v>1380</v>
      </c>
      <c r="I32" s="188">
        <v>500</v>
      </c>
      <c r="J32" s="196">
        <f t="shared" si="2"/>
        <v>500</v>
      </c>
      <c r="K32" s="23"/>
    </row>
    <row r="33" spans="1:11" ht="12.75" customHeight="1">
      <c r="A33" s="47"/>
      <c r="B33" s="50">
        <v>14</v>
      </c>
      <c r="C33" s="403" t="s">
        <v>228</v>
      </c>
      <c r="D33" s="404"/>
      <c r="E33" s="404">
        <v>100</v>
      </c>
      <c r="F33" s="404">
        <v>100</v>
      </c>
      <c r="G33" s="405">
        <v>100</v>
      </c>
      <c r="H33" s="187">
        <v>100</v>
      </c>
      <c r="I33" s="188">
        <v>100</v>
      </c>
      <c r="J33" s="196">
        <f t="shared" si="2"/>
        <v>100</v>
      </c>
      <c r="K33" s="23"/>
    </row>
    <row r="34" spans="1:11" ht="12.75" customHeight="1">
      <c r="A34" s="47"/>
      <c r="B34" s="50">
        <v>15</v>
      </c>
      <c r="C34" s="51" t="s">
        <v>54</v>
      </c>
      <c r="D34" s="186"/>
      <c r="E34" s="186"/>
      <c r="F34" s="186"/>
      <c r="G34" s="187"/>
      <c r="H34" s="187"/>
      <c r="I34" s="189">
        <v>500</v>
      </c>
      <c r="J34" s="196">
        <f t="shared" si="2"/>
        <v>500</v>
      </c>
      <c r="K34" s="23"/>
    </row>
    <row r="35" spans="1:11" ht="12.75" customHeight="1">
      <c r="A35" s="47"/>
      <c r="B35" s="50">
        <v>16</v>
      </c>
      <c r="C35" s="51" t="s">
        <v>229</v>
      </c>
      <c r="D35" s="186"/>
      <c r="E35" s="186">
        <v>212</v>
      </c>
      <c r="F35" s="186">
        <v>300</v>
      </c>
      <c r="G35" s="187">
        <v>300</v>
      </c>
      <c r="H35" s="187">
        <v>325</v>
      </c>
      <c r="I35" s="188">
        <v>300</v>
      </c>
      <c r="J35" s="196">
        <f t="shared" si="2"/>
        <v>300</v>
      </c>
      <c r="K35" s="23"/>
    </row>
    <row r="36" spans="1:11" ht="12.75" customHeight="1">
      <c r="A36" s="47"/>
      <c r="B36" s="50">
        <v>17</v>
      </c>
      <c r="C36" s="52" t="s">
        <v>55</v>
      </c>
      <c r="D36" s="194"/>
      <c r="E36" s="194"/>
      <c r="F36" s="194"/>
      <c r="G36" s="195"/>
      <c r="H36" s="192"/>
      <c r="I36" s="193">
        <v>1000</v>
      </c>
      <c r="J36" s="196">
        <f t="shared" si="2"/>
        <v>1000</v>
      </c>
      <c r="K36" s="23"/>
    </row>
    <row r="37" spans="1:11" ht="12.75" customHeight="1">
      <c r="A37" s="47"/>
      <c r="B37" s="50">
        <v>18</v>
      </c>
      <c r="C37" s="52" t="s">
        <v>134</v>
      </c>
      <c r="D37" s="194"/>
      <c r="E37" s="194"/>
      <c r="F37" s="194"/>
      <c r="G37" s="195"/>
      <c r="H37" s="192"/>
      <c r="I37" s="193">
        <v>200</v>
      </c>
      <c r="J37" s="196">
        <f t="shared" si="2"/>
        <v>200</v>
      </c>
      <c r="K37" s="23"/>
    </row>
    <row r="38" spans="1:11" ht="12.75" customHeight="1">
      <c r="A38" s="47"/>
      <c r="B38" s="50">
        <v>19</v>
      </c>
      <c r="C38" s="403" t="s">
        <v>56</v>
      </c>
      <c r="D38" s="194"/>
      <c r="E38" s="194"/>
      <c r="F38" s="404">
        <v>300</v>
      </c>
      <c r="G38" s="405">
        <f>F38</f>
        <v>300</v>
      </c>
      <c r="H38" s="187">
        <f>G38</f>
        <v>300</v>
      </c>
      <c r="I38" s="188">
        <v>320</v>
      </c>
      <c r="J38" s="196">
        <v>400</v>
      </c>
      <c r="K38" s="23"/>
    </row>
    <row r="39" spans="1:11" ht="12.75" customHeight="1">
      <c r="A39" s="47"/>
      <c r="B39" s="50">
        <v>20</v>
      </c>
      <c r="C39" s="52" t="s">
        <v>57</v>
      </c>
      <c r="D39" s="194"/>
      <c r="E39" s="194"/>
      <c r="F39" s="194"/>
      <c r="G39" s="195"/>
      <c r="H39" s="195"/>
      <c r="I39" s="197">
        <v>620</v>
      </c>
      <c r="J39" s="196">
        <v>882</v>
      </c>
      <c r="K39" s="23"/>
    </row>
    <row r="40" spans="1:11" ht="12.75" customHeight="1">
      <c r="A40" s="47"/>
      <c r="B40" s="50">
        <v>21</v>
      </c>
      <c r="C40" s="52" t="s">
        <v>58</v>
      </c>
      <c r="D40" s="194"/>
      <c r="E40" s="194"/>
      <c r="F40" s="194"/>
      <c r="G40" s="195"/>
      <c r="H40" s="195"/>
      <c r="I40" s="198">
        <v>500</v>
      </c>
      <c r="J40" s="196">
        <f>I40</f>
        <v>500</v>
      </c>
      <c r="K40" s="23"/>
    </row>
    <row r="41" spans="1:11" ht="12.75" customHeight="1">
      <c r="A41" s="47"/>
      <c r="B41" s="50">
        <v>22</v>
      </c>
      <c r="C41" s="52" t="s">
        <v>59</v>
      </c>
      <c r="D41" s="194"/>
      <c r="E41" s="194"/>
      <c r="F41" s="194"/>
      <c r="G41" s="195"/>
      <c r="H41" s="195"/>
      <c r="I41" s="197"/>
      <c r="J41" s="196">
        <v>180</v>
      </c>
      <c r="K41" s="23"/>
    </row>
    <row r="42" spans="1:11" ht="12.75" customHeight="1">
      <c r="A42" s="47"/>
      <c r="B42" s="50">
        <v>23</v>
      </c>
      <c r="C42" s="52" t="s">
        <v>60</v>
      </c>
      <c r="D42" s="194"/>
      <c r="E42" s="194"/>
      <c r="F42" s="194"/>
      <c r="G42" s="195"/>
      <c r="H42" s="195"/>
      <c r="I42" s="197"/>
      <c r="J42" s="196">
        <v>310</v>
      </c>
      <c r="K42" s="23"/>
    </row>
    <row r="43" spans="1:11" ht="12.75" customHeight="1">
      <c r="A43" s="47"/>
      <c r="B43" s="50">
        <v>24</v>
      </c>
      <c r="C43" s="52" t="s">
        <v>61</v>
      </c>
      <c r="D43" s="194"/>
      <c r="E43" s="194"/>
      <c r="F43" s="194"/>
      <c r="G43" s="195"/>
      <c r="H43" s="192"/>
      <c r="I43" s="199">
        <v>900</v>
      </c>
      <c r="J43" s="196">
        <v>700</v>
      </c>
      <c r="K43" s="23"/>
    </row>
    <row r="44" spans="1:11" ht="12.75" customHeight="1">
      <c r="A44" s="47"/>
      <c r="B44" s="50">
        <v>25</v>
      </c>
      <c r="C44" s="52" t="s">
        <v>62</v>
      </c>
      <c r="D44" s="194"/>
      <c r="E44" s="194"/>
      <c r="F44" s="194"/>
      <c r="G44" s="195"/>
      <c r="H44" s="192"/>
      <c r="I44" s="199"/>
      <c r="J44" s="196">
        <v>300</v>
      </c>
      <c r="K44" s="23"/>
    </row>
    <row r="45" spans="1:11" ht="12.75" customHeight="1">
      <c r="A45" s="47"/>
      <c r="B45" s="50">
        <v>26</v>
      </c>
      <c r="C45" s="52" t="s">
        <v>63</v>
      </c>
      <c r="D45" s="194"/>
      <c r="E45" s="194"/>
      <c r="F45" s="194"/>
      <c r="G45" s="195"/>
      <c r="H45" s="192"/>
      <c r="I45" s="199"/>
      <c r="J45" s="196">
        <v>500</v>
      </c>
      <c r="K45" s="23"/>
    </row>
    <row r="46" spans="1:11" ht="12.75" customHeight="1">
      <c r="A46" s="47"/>
      <c r="B46" s="50">
        <v>27</v>
      </c>
      <c r="C46" s="52" t="s">
        <v>64</v>
      </c>
      <c r="D46" s="194"/>
      <c r="E46" s="194"/>
      <c r="F46" s="194"/>
      <c r="G46" s="195"/>
      <c r="H46" s="192"/>
      <c r="I46" s="199">
        <v>500</v>
      </c>
      <c r="J46" s="196">
        <f>I46</f>
        <v>500</v>
      </c>
      <c r="K46" s="23"/>
    </row>
    <row r="47" spans="1:11" ht="12.75" customHeight="1">
      <c r="A47" s="47"/>
      <c r="B47" s="50">
        <v>28</v>
      </c>
      <c r="C47" s="52" t="s">
        <v>65</v>
      </c>
      <c r="D47" s="194"/>
      <c r="E47" s="194"/>
      <c r="F47" s="194"/>
      <c r="G47" s="195"/>
      <c r="H47" s="192"/>
      <c r="I47" s="199"/>
      <c r="J47" s="196">
        <f>1543+292</f>
        <v>1835</v>
      </c>
      <c r="K47" s="23"/>
    </row>
    <row r="48" spans="1:11" ht="12.75" customHeight="1">
      <c r="A48" s="47"/>
      <c r="B48" s="56">
        <v>29</v>
      </c>
      <c r="C48" s="52" t="s">
        <v>124</v>
      </c>
      <c r="D48" s="194"/>
      <c r="E48" s="194"/>
      <c r="F48" s="194"/>
      <c r="G48" s="195"/>
      <c r="H48" s="195"/>
      <c r="I48" s="197"/>
      <c r="J48" s="198">
        <v>250</v>
      </c>
      <c r="K48" s="23"/>
    </row>
    <row r="49" spans="1:11" ht="12.75" customHeight="1">
      <c r="A49" s="47"/>
      <c r="B49" s="56">
        <v>30</v>
      </c>
      <c r="C49" s="52" t="s">
        <v>125</v>
      </c>
      <c r="D49" s="194"/>
      <c r="E49" s="194"/>
      <c r="F49" s="194"/>
      <c r="G49" s="195"/>
      <c r="H49" s="195"/>
      <c r="I49" s="197"/>
      <c r="J49" s="198">
        <v>200</v>
      </c>
      <c r="K49" s="23"/>
    </row>
    <row r="50" spans="1:11" ht="12.75" customHeight="1">
      <c r="A50" s="47"/>
      <c r="B50" s="53">
        <v>31</v>
      </c>
      <c r="C50" s="406" t="s">
        <v>405</v>
      </c>
      <c r="D50" s="407"/>
      <c r="E50" s="407">
        <v>12803</v>
      </c>
      <c r="F50" s="407">
        <v>15430</v>
      </c>
      <c r="G50" s="408">
        <f>13921-491</f>
        <v>13430</v>
      </c>
      <c r="H50" s="200">
        <v>1686</v>
      </c>
      <c r="I50" s="201">
        <f>13921-491</f>
        <v>13430</v>
      </c>
      <c r="J50" s="401">
        <f>J83</f>
        <v>15700</v>
      </c>
      <c r="K50" s="23"/>
    </row>
    <row r="51" spans="1:11" ht="12.75" customHeight="1">
      <c r="A51" s="47"/>
      <c r="B51" s="109">
        <v>32</v>
      </c>
      <c r="C51" s="110" t="s">
        <v>135</v>
      </c>
      <c r="D51" s="202">
        <v>2000</v>
      </c>
      <c r="E51" s="202">
        <v>6500</v>
      </c>
      <c r="F51" s="202">
        <v>2954</v>
      </c>
      <c r="G51" s="203">
        <v>4905</v>
      </c>
      <c r="H51" s="203">
        <v>4094</v>
      </c>
      <c r="I51" s="204">
        <v>4900</v>
      </c>
      <c r="J51" s="204">
        <f>4100+13</f>
        <v>4113</v>
      </c>
      <c r="K51" s="23"/>
    </row>
    <row r="52" spans="1:13" s="55" customFormat="1" ht="12.75" customHeight="1" hidden="1">
      <c r="A52" s="60"/>
      <c r="B52" s="107"/>
      <c r="C52" s="409" t="s">
        <v>230</v>
      </c>
      <c r="D52" s="410"/>
      <c r="E52" s="410"/>
      <c r="F52" s="410">
        <v>850</v>
      </c>
      <c r="G52" s="411" t="s">
        <v>223</v>
      </c>
      <c r="H52" s="205"/>
      <c r="I52" s="206" t="s">
        <v>223</v>
      </c>
      <c r="J52" s="402" t="str">
        <f>I52</f>
        <v>xxx </v>
      </c>
      <c r="L52" s="40"/>
      <c r="M52" s="40"/>
    </row>
    <row r="53" spans="1:13" s="55" customFormat="1" ht="12.75" customHeight="1" hidden="1">
      <c r="A53" s="47"/>
      <c r="B53" s="108"/>
      <c r="C53" s="409" t="s">
        <v>231</v>
      </c>
      <c r="D53" s="410"/>
      <c r="E53" s="410"/>
      <c r="F53" s="410">
        <v>265</v>
      </c>
      <c r="G53" s="411" t="s">
        <v>223</v>
      </c>
      <c r="H53" s="205"/>
      <c r="I53" s="206" t="s">
        <v>223</v>
      </c>
      <c r="J53" s="402" t="str">
        <f>I53</f>
        <v>xxx </v>
      </c>
      <c r="L53" s="40"/>
      <c r="M53" s="40"/>
    </row>
    <row r="54" spans="1:13" s="55" customFormat="1" ht="12.75" customHeight="1">
      <c r="A54" s="60"/>
      <c r="B54" s="50">
        <v>33</v>
      </c>
      <c r="C54" s="110" t="s">
        <v>232</v>
      </c>
      <c r="D54" s="410"/>
      <c r="E54" s="410"/>
      <c r="F54" s="410">
        <v>4812</v>
      </c>
      <c r="G54" s="203">
        <v>5545</v>
      </c>
      <c r="H54" s="208">
        <v>5654</v>
      </c>
      <c r="I54" s="209">
        <v>5545</v>
      </c>
      <c r="J54" s="204">
        <v>5655</v>
      </c>
      <c r="L54" s="40"/>
      <c r="M54" s="40"/>
    </row>
    <row r="55" spans="1:13" s="55" customFormat="1" ht="12.75" customHeight="1" hidden="1">
      <c r="A55" s="60"/>
      <c r="B55" s="108"/>
      <c r="C55" s="409" t="s">
        <v>233</v>
      </c>
      <c r="D55" s="410"/>
      <c r="E55" s="410"/>
      <c r="F55" s="410">
        <v>1200</v>
      </c>
      <c r="G55" s="411" t="s">
        <v>223</v>
      </c>
      <c r="H55" s="205"/>
      <c r="I55" s="210" t="s">
        <v>223</v>
      </c>
      <c r="J55" s="402" t="str">
        <f>I55</f>
        <v>xxx </v>
      </c>
      <c r="L55" s="40"/>
      <c r="M55" s="40"/>
    </row>
    <row r="56" spans="1:13" s="55" customFormat="1" ht="12.75" customHeight="1" hidden="1">
      <c r="A56" s="60"/>
      <c r="B56" s="108"/>
      <c r="C56" s="110" t="s">
        <v>234</v>
      </c>
      <c r="D56" s="410"/>
      <c r="E56" s="410"/>
      <c r="F56" s="410">
        <v>2000</v>
      </c>
      <c r="G56" s="411" t="s">
        <v>223</v>
      </c>
      <c r="H56" s="205"/>
      <c r="I56" s="210" t="s">
        <v>223</v>
      </c>
      <c r="J56" s="402" t="str">
        <f>I56</f>
        <v>xxx </v>
      </c>
      <c r="L56" s="40"/>
      <c r="M56" s="40"/>
    </row>
    <row r="57" spans="1:13" s="55" customFormat="1" ht="12.75" customHeight="1" hidden="1">
      <c r="A57" s="60"/>
      <c r="B57" s="108"/>
      <c r="C57" s="110" t="s">
        <v>235</v>
      </c>
      <c r="D57" s="410"/>
      <c r="E57" s="410"/>
      <c r="F57" s="410">
        <v>160</v>
      </c>
      <c r="G57" s="203">
        <v>0</v>
      </c>
      <c r="H57" s="211"/>
      <c r="I57" s="212">
        <v>0</v>
      </c>
      <c r="J57" s="204">
        <f>I57</f>
        <v>0</v>
      </c>
      <c r="L57" s="40"/>
      <c r="M57" s="40"/>
    </row>
    <row r="58" spans="1:13" s="55" customFormat="1" ht="12.75" customHeight="1">
      <c r="A58" s="60"/>
      <c r="B58" s="50">
        <v>34</v>
      </c>
      <c r="C58" s="110" t="s">
        <v>66</v>
      </c>
      <c r="D58" s="410"/>
      <c r="E58" s="410"/>
      <c r="F58" s="410"/>
      <c r="G58" s="203"/>
      <c r="H58" s="208"/>
      <c r="I58" s="178">
        <v>5753</v>
      </c>
      <c r="J58" s="204">
        <f>I58</f>
        <v>5753</v>
      </c>
      <c r="L58" s="40"/>
      <c r="M58" s="40"/>
    </row>
    <row r="59" spans="1:13" s="55" customFormat="1" ht="12.75" customHeight="1">
      <c r="A59" s="60"/>
      <c r="B59" s="50">
        <v>35</v>
      </c>
      <c r="C59" s="110" t="s">
        <v>84</v>
      </c>
      <c r="D59" s="410"/>
      <c r="E59" s="410"/>
      <c r="F59" s="410"/>
      <c r="G59" s="203"/>
      <c r="H59" s="213"/>
      <c r="I59" s="209">
        <v>350</v>
      </c>
      <c r="J59" s="204">
        <f>I59</f>
        <v>350</v>
      </c>
      <c r="L59" s="40"/>
      <c r="M59" s="40"/>
    </row>
    <row r="60" spans="1:13" s="55" customFormat="1" ht="12.75" customHeight="1">
      <c r="A60" s="60"/>
      <c r="B60" s="50">
        <v>36</v>
      </c>
      <c r="C60" s="110" t="s">
        <v>6</v>
      </c>
      <c r="D60" s="410"/>
      <c r="E60" s="410"/>
      <c r="F60" s="410"/>
      <c r="G60" s="203"/>
      <c r="H60" s="213"/>
      <c r="I60" s="209">
        <v>1200</v>
      </c>
      <c r="J60" s="204">
        <f>I60/3</f>
        <v>400</v>
      </c>
      <c r="L60" s="40"/>
      <c r="M60" s="40"/>
    </row>
    <row r="61" spans="1:13" s="55" customFormat="1" ht="12.75" customHeight="1">
      <c r="A61" s="60"/>
      <c r="B61" s="50">
        <v>37</v>
      </c>
      <c r="C61" s="110" t="s">
        <v>7</v>
      </c>
      <c r="D61" s="410"/>
      <c r="E61" s="410"/>
      <c r="F61" s="410"/>
      <c r="G61" s="203"/>
      <c r="H61" s="213"/>
      <c r="I61" s="209">
        <v>350</v>
      </c>
      <c r="J61" s="204">
        <f>I61</f>
        <v>350</v>
      </c>
      <c r="L61" s="40"/>
      <c r="M61" s="40"/>
    </row>
    <row r="62" spans="1:13" s="55" customFormat="1" ht="12.75" customHeight="1">
      <c r="A62" s="60"/>
      <c r="B62" s="50">
        <v>38</v>
      </c>
      <c r="C62" s="110" t="s">
        <v>67</v>
      </c>
      <c r="D62" s="410"/>
      <c r="E62" s="410"/>
      <c r="F62" s="410">
        <v>1000</v>
      </c>
      <c r="G62" s="203">
        <v>1000</v>
      </c>
      <c r="H62" s="208">
        <v>1000</v>
      </c>
      <c r="I62" s="207">
        <v>1000</v>
      </c>
      <c r="J62" s="399">
        <f>I62</f>
        <v>1000</v>
      </c>
      <c r="L62" s="40"/>
      <c r="M62" s="40"/>
    </row>
    <row r="63" spans="1:13" s="55" customFormat="1" ht="12.75" customHeight="1">
      <c r="A63" s="60"/>
      <c r="B63" s="56">
        <v>39</v>
      </c>
      <c r="C63" s="110" t="s">
        <v>236</v>
      </c>
      <c r="D63" s="410"/>
      <c r="E63" s="410"/>
      <c r="F63" s="410"/>
      <c r="G63" s="203">
        <v>1000</v>
      </c>
      <c r="H63" s="208">
        <v>1000</v>
      </c>
      <c r="I63" s="214">
        <v>1000</v>
      </c>
      <c r="J63" s="399"/>
      <c r="L63" s="40"/>
      <c r="M63" s="40"/>
    </row>
    <row r="64" spans="1:13" s="55" customFormat="1" ht="12.75" customHeight="1">
      <c r="A64" s="60"/>
      <c r="B64" s="56">
        <v>40</v>
      </c>
      <c r="C64" s="110" t="s">
        <v>68</v>
      </c>
      <c r="D64" s="410"/>
      <c r="E64" s="410"/>
      <c r="F64" s="410"/>
      <c r="G64" s="203"/>
      <c r="H64" s="208"/>
      <c r="I64" s="215"/>
      <c r="J64" s="399">
        <v>25</v>
      </c>
      <c r="L64" s="40"/>
      <c r="M64" s="40"/>
    </row>
    <row r="65" spans="1:13" s="55" customFormat="1" ht="12.75" customHeight="1">
      <c r="A65" s="60"/>
      <c r="B65" s="56">
        <v>41</v>
      </c>
      <c r="C65" s="54" t="s">
        <v>69</v>
      </c>
      <c r="D65" s="175"/>
      <c r="E65" s="175"/>
      <c r="F65" s="175"/>
      <c r="G65" s="203">
        <v>4000</v>
      </c>
      <c r="H65" s="203">
        <v>4000</v>
      </c>
      <c r="I65" s="216">
        <v>0</v>
      </c>
      <c r="J65" s="204">
        <f>I65</f>
        <v>0</v>
      </c>
      <c r="L65" s="40"/>
      <c r="M65" s="40"/>
    </row>
    <row r="66" spans="1:12" ht="12.75" customHeight="1">
      <c r="A66" s="47"/>
      <c r="B66" s="57"/>
      <c r="C66" s="58" t="s">
        <v>237</v>
      </c>
      <c r="D66" s="217">
        <f aca="true" t="shared" si="3" ref="D66:J66">SUM(D23:D65)</f>
        <v>79307</v>
      </c>
      <c r="E66" s="217">
        <f t="shared" si="3"/>
        <v>51185</v>
      </c>
      <c r="F66" s="217">
        <f t="shared" si="3"/>
        <v>60150</v>
      </c>
      <c r="G66" s="218">
        <f t="shared" si="3"/>
        <v>60465.37</v>
      </c>
      <c r="H66" s="218">
        <f t="shared" si="3"/>
        <v>45198</v>
      </c>
      <c r="I66" s="219">
        <f t="shared" si="3"/>
        <v>68158.15</v>
      </c>
      <c r="J66" s="219">
        <f t="shared" si="3"/>
        <v>65753</v>
      </c>
      <c r="K66" s="23"/>
      <c r="L66" s="66"/>
    </row>
    <row r="67" spans="1:11" ht="12.75" customHeight="1">
      <c r="A67" s="47"/>
      <c r="B67" s="48">
        <v>42</v>
      </c>
      <c r="C67" s="59" t="s">
        <v>238</v>
      </c>
      <c r="D67" s="220">
        <f>(1777+195)</f>
        <v>1972</v>
      </c>
      <c r="E67" s="220">
        <v>2300</v>
      </c>
      <c r="F67" s="220">
        <v>2300</v>
      </c>
      <c r="G67" s="221">
        <v>3600</v>
      </c>
      <c r="H67" s="221">
        <v>3630</v>
      </c>
      <c r="I67" s="222">
        <v>3600</v>
      </c>
      <c r="J67" s="414">
        <v>4500</v>
      </c>
      <c r="K67" s="23"/>
    </row>
    <row r="68" spans="1:13" s="61" customFormat="1" ht="12.75" customHeight="1">
      <c r="A68" s="60"/>
      <c r="B68" s="57"/>
      <c r="C68" s="58" t="s">
        <v>239</v>
      </c>
      <c r="D68" s="217">
        <f>SUM(D67)</f>
        <v>1972</v>
      </c>
      <c r="E68" s="217">
        <f>SUM(E67)</f>
        <v>2300</v>
      </c>
      <c r="F68" s="217">
        <f>SUM(F67)</f>
        <v>2300</v>
      </c>
      <c r="G68" s="224">
        <f>G67</f>
        <v>3600</v>
      </c>
      <c r="H68" s="224">
        <f>H67</f>
        <v>3630</v>
      </c>
      <c r="I68" s="225">
        <f>I67</f>
        <v>3600</v>
      </c>
      <c r="J68" s="225">
        <f>J67</f>
        <v>4500</v>
      </c>
      <c r="L68" s="40"/>
      <c r="M68" s="40"/>
    </row>
    <row r="69" spans="1:11" ht="12.75" customHeight="1">
      <c r="A69" s="47"/>
      <c r="B69" s="62">
        <v>43</v>
      </c>
      <c r="C69" s="63" t="s">
        <v>70</v>
      </c>
      <c r="D69" s="183" t="s">
        <v>240</v>
      </c>
      <c r="E69" s="226">
        <v>5400</v>
      </c>
      <c r="F69" s="226">
        <v>5670</v>
      </c>
      <c r="G69" s="151">
        <v>6040</v>
      </c>
      <c r="H69" s="151">
        <f>G69</f>
        <v>6040</v>
      </c>
      <c r="I69" s="227">
        <v>6040</v>
      </c>
      <c r="J69" s="227">
        <v>6040</v>
      </c>
      <c r="K69" s="23"/>
    </row>
    <row r="70" spans="1:11" ht="12.75" customHeight="1">
      <c r="A70" s="47"/>
      <c r="B70" s="64">
        <v>44</v>
      </c>
      <c r="C70" s="65" t="s">
        <v>71</v>
      </c>
      <c r="D70" s="228"/>
      <c r="E70" s="88">
        <v>600</v>
      </c>
      <c r="F70" s="88">
        <v>1080</v>
      </c>
      <c r="G70" s="121">
        <v>1080</v>
      </c>
      <c r="H70" s="121">
        <f>G70</f>
        <v>1080</v>
      </c>
      <c r="I70" s="126">
        <v>1080</v>
      </c>
      <c r="J70" s="122">
        <v>1550</v>
      </c>
      <c r="K70" s="23"/>
    </row>
    <row r="71" spans="1:11" ht="12.75" customHeight="1">
      <c r="A71" s="47"/>
      <c r="B71" s="64"/>
      <c r="C71" s="65" t="s">
        <v>376</v>
      </c>
      <c r="D71" s="228"/>
      <c r="E71" s="88"/>
      <c r="F71" s="88"/>
      <c r="G71" s="121">
        <v>16060</v>
      </c>
      <c r="H71" s="121"/>
      <c r="I71" s="126"/>
      <c r="J71" s="122"/>
      <c r="K71" s="23"/>
    </row>
    <row r="72" spans="1:11" ht="12.75" customHeight="1">
      <c r="A72" s="47"/>
      <c r="B72" s="64">
        <v>45</v>
      </c>
      <c r="C72" s="68" t="s">
        <v>42</v>
      </c>
      <c r="D72" s="183"/>
      <c r="E72" s="226"/>
      <c r="F72" s="226"/>
      <c r="G72" s="151"/>
      <c r="H72" s="151"/>
      <c r="I72" s="229">
        <v>5000</v>
      </c>
      <c r="J72" s="227">
        <v>5000</v>
      </c>
      <c r="K72" s="23"/>
    </row>
    <row r="73" spans="1:11" ht="12.75" customHeight="1">
      <c r="A73" s="47"/>
      <c r="B73" s="64">
        <v>46</v>
      </c>
      <c r="C73" s="51" t="s">
        <v>72</v>
      </c>
      <c r="D73" s="228"/>
      <c r="E73" s="88"/>
      <c r="F73" s="88"/>
      <c r="G73" s="121"/>
      <c r="H73" s="121"/>
      <c r="I73" s="126">
        <v>6150</v>
      </c>
      <c r="J73" s="122">
        <v>6150</v>
      </c>
      <c r="K73" s="23"/>
    </row>
    <row r="74" spans="1:11" ht="12.75" customHeight="1">
      <c r="A74" s="47"/>
      <c r="B74" s="64">
        <v>47</v>
      </c>
      <c r="C74" s="51" t="s">
        <v>73</v>
      </c>
      <c r="D74" s="228"/>
      <c r="E74" s="88"/>
      <c r="F74" s="88"/>
      <c r="G74" s="121"/>
      <c r="H74" s="121"/>
      <c r="I74" s="126">
        <v>1800</v>
      </c>
      <c r="J74" s="122">
        <v>1800</v>
      </c>
      <c r="K74" s="23"/>
    </row>
    <row r="75" spans="1:11" ht="12.75" customHeight="1">
      <c r="A75" s="47"/>
      <c r="B75" s="53">
        <v>48</v>
      </c>
      <c r="C75" s="69" t="s">
        <v>74</v>
      </c>
      <c r="D75" s="183"/>
      <c r="E75" s="226"/>
      <c r="F75" s="226"/>
      <c r="G75" s="230"/>
      <c r="H75" s="230"/>
      <c r="I75" s="231">
        <v>6100</v>
      </c>
      <c r="J75" s="232">
        <v>6100</v>
      </c>
      <c r="K75" s="23"/>
    </row>
    <row r="76" spans="1:13" s="61" customFormat="1" ht="12.75" customHeight="1">
      <c r="A76" s="60"/>
      <c r="B76" s="106"/>
      <c r="C76" s="58" t="s">
        <v>241</v>
      </c>
      <c r="D76" s="233">
        <f>SUM(D69:D71)</f>
        <v>0</v>
      </c>
      <c r="E76" s="233">
        <f>SUM(E69:E71)</f>
        <v>6000</v>
      </c>
      <c r="F76" s="217">
        <f>SUM(F69:F71)</f>
        <v>6750</v>
      </c>
      <c r="G76" s="218">
        <f>SUM(G69:G71)</f>
        <v>23180</v>
      </c>
      <c r="H76" s="218">
        <f>SUM(H69:H71)</f>
        <v>7120</v>
      </c>
      <c r="I76" s="219">
        <f>SUM(I69:I75)</f>
        <v>26170</v>
      </c>
      <c r="J76" s="219">
        <f>SUM(J69:J75)</f>
        <v>26640</v>
      </c>
      <c r="L76" s="40"/>
      <c r="M76" s="40"/>
    </row>
    <row r="77" spans="1:11" ht="12.75" customHeight="1">
      <c r="A77" s="47"/>
      <c r="B77" s="104">
        <v>49</v>
      </c>
      <c r="C77" s="105" t="s">
        <v>75</v>
      </c>
      <c r="D77" s="234">
        <f>(1777+195)</f>
        <v>1972</v>
      </c>
      <c r="E77" s="234">
        <v>2300</v>
      </c>
      <c r="F77" s="234"/>
      <c r="G77" s="235"/>
      <c r="H77" s="235"/>
      <c r="I77" s="236"/>
      <c r="J77" s="412">
        <v>15500</v>
      </c>
      <c r="K77" s="23"/>
    </row>
    <row r="78" spans="1:11" ht="12.75" customHeight="1">
      <c r="A78" s="47"/>
      <c r="B78" s="50">
        <v>50</v>
      </c>
      <c r="C78" s="51" t="s">
        <v>83</v>
      </c>
      <c r="D78" s="186"/>
      <c r="E78" s="186"/>
      <c r="F78" s="186"/>
      <c r="G78" s="190"/>
      <c r="H78" s="190"/>
      <c r="I78" s="421"/>
      <c r="J78" s="400">
        <v>2650</v>
      </c>
      <c r="K78" s="23"/>
    </row>
    <row r="79" spans="1:11" ht="12.75" customHeight="1">
      <c r="A79" s="47"/>
      <c r="B79" s="53">
        <v>51</v>
      </c>
      <c r="C79" s="69" t="s">
        <v>85</v>
      </c>
      <c r="D79" s="183"/>
      <c r="E79" s="226"/>
      <c r="F79" s="226"/>
      <c r="G79" s="230"/>
      <c r="H79" s="230"/>
      <c r="I79" s="231"/>
      <c r="J79" s="232">
        <v>670</v>
      </c>
      <c r="K79" s="23"/>
    </row>
    <row r="80" spans="1:13" s="61" customFormat="1" ht="12.75" customHeight="1" thickBot="1">
      <c r="A80" s="60"/>
      <c r="B80" s="57"/>
      <c r="C80" s="58" t="s">
        <v>76</v>
      </c>
      <c r="D80" s="217">
        <f>SUM(D77)</f>
        <v>1972</v>
      </c>
      <c r="E80" s="217">
        <f>SUM(E77)</f>
        <v>2300</v>
      </c>
      <c r="F80" s="217">
        <f>SUM(F77)</f>
        <v>0</v>
      </c>
      <c r="G80" s="224">
        <f>G77</f>
        <v>0</v>
      </c>
      <c r="H80" s="224">
        <f>H77</f>
        <v>0</v>
      </c>
      <c r="I80" s="225">
        <f>I77</f>
        <v>0</v>
      </c>
      <c r="J80" s="413">
        <f>SUM(J77:J79)</f>
        <v>18820</v>
      </c>
      <c r="L80" s="40"/>
      <c r="M80" s="40"/>
    </row>
    <row r="81" spans="1:11" ht="12.75" customHeight="1" hidden="1">
      <c r="A81" s="47"/>
      <c r="B81" s="48"/>
      <c r="C81" s="59" t="s">
        <v>77</v>
      </c>
      <c r="D81" s="220">
        <f>(1777+195)</f>
        <v>1972</v>
      </c>
      <c r="E81" s="220">
        <v>2300</v>
      </c>
      <c r="F81" s="220"/>
      <c r="G81" s="223"/>
      <c r="H81" s="223"/>
      <c r="I81" s="222"/>
      <c r="J81" s="414">
        <v>0</v>
      </c>
      <c r="K81" s="23"/>
    </row>
    <row r="82" spans="1:13" s="61" customFormat="1" ht="12.75" customHeight="1" hidden="1" thickBot="1">
      <c r="A82" s="60"/>
      <c r="B82" s="57"/>
      <c r="C82" s="58" t="s">
        <v>78</v>
      </c>
      <c r="D82" s="217">
        <f>SUM(D81)</f>
        <v>1972</v>
      </c>
      <c r="E82" s="217">
        <f>SUM(E81)</f>
        <v>2300</v>
      </c>
      <c r="F82" s="217">
        <f>SUM(F81)</f>
        <v>0</v>
      </c>
      <c r="G82" s="224">
        <f>G81</f>
        <v>0</v>
      </c>
      <c r="H82" s="224">
        <f>H81</f>
        <v>0</v>
      </c>
      <c r="I82" s="225">
        <f>I81</f>
        <v>0</v>
      </c>
      <c r="J82" s="413">
        <f>SUM(J81)</f>
        <v>0</v>
      </c>
      <c r="L82" s="40"/>
      <c r="M82" s="40"/>
    </row>
    <row r="83" spans="1:11" ht="12.75" customHeight="1" thickBot="1">
      <c r="A83" s="38"/>
      <c r="B83" s="136"/>
      <c r="C83" s="237" t="s">
        <v>406</v>
      </c>
      <c r="D83" s="238">
        <f>928479*0.01</f>
        <v>9284.79</v>
      </c>
      <c r="E83" s="238">
        <v>10583</v>
      </c>
      <c r="F83" s="244">
        <v>13092</v>
      </c>
      <c r="G83" s="245">
        <v>10000</v>
      </c>
      <c r="H83" s="245">
        <v>9550</v>
      </c>
      <c r="I83" s="245">
        <v>10000</v>
      </c>
      <c r="J83" s="246">
        <f>1570000/100</f>
        <v>15700</v>
      </c>
      <c r="K83" s="23"/>
    </row>
    <row r="84" spans="1:11" ht="12.75" customHeight="1" thickBot="1">
      <c r="A84" s="35"/>
      <c r="B84" s="239">
        <v>52</v>
      </c>
      <c r="C84" s="240" t="s">
        <v>242</v>
      </c>
      <c r="D84" s="241">
        <f aca="true" t="shared" si="4" ref="D84:J84">D5+D22+D83</f>
        <v>187363.79</v>
      </c>
      <c r="E84" s="241" t="e">
        <f t="shared" si="4"/>
        <v>#REF!</v>
      </c>
      <c r="F84" s="242">
        <f t="shared" si="4"/>
        <v>232019</v>
      </c>
      <c r="G84" s="243">
        <f t="shared" si="4"/>
        <v>305390.37</v>
      </c>
      <c r="H84" s="243">
        <f t="shared" si="4"/>
        <v>235061</v>
      </c>
      <c r="I84" s="243">
        <f t="shared" si="4"/>
        <v>205454.15</v>
      </c>
      <c r="J84" s="243">
        <f t="shared" si="4"/>
        <v>300746</v>
      </c>
      <c r="K84" s="23"/>
    </row>
    <row r="85" spans="2:11" ht="12.75" customHeight="1">
      <c r="B85" s="70" t="s">
        <v>377</v>
      </c>
      <c r="C85" s="71"/>
      <c r="D85" s="72"/>
      <c r="E85" s="72"/>
      <c r="F85" s="72"/>
      <c r="G85" s="73"/>
      <c r="H85" s="73"/>
      <c r="I85" s="74"/>
      <c r="J85" s="74"/>
      <c r="K85" s="73"/>
    </row>
    <row r="86" spans="1:11" s="42" customFormat="1" ht="11.25">
      <c r="A86" s="911"/>
      <c r="B86" s="912" t="s">
        <v>409</v>
      </c>
      <c r="D86" s="913"/>
      <c r="E86" s="913"/>
      <c r="F86" s="913"/>
      <c r="G86" s="913"/>
      <c r="H86" s="913"/>
      <c r="I86" s="913"/>
      <c r="J86" s="913"/>
      <c r="K86" s="913"/>
    </row>
    <row r="87" spans="2:11" s="42" customFormat="1" ht="11.25">
      <c r="B87" s="42" t="s">
        <v>1</v>
      </c>
      <c r="C87" s="912"/>
      <c r="D87" s="913"/>
      <c r="E87" s="913"/>
      <c r="F87" s="913"/>
      <c r="G87" s="913"/>
      <c r="H87" s="913"/>
      <c r="I87" s="913"/>
      <c r="J87" s="913"/>
      <c r="K87" s="913"/>
    </row>
    <row r="88" spans="1:11" s="42" customFormat="1" ht="11.25">
      <c r="A88" s="911"/>
      <c r="B88" s="912" t="s">
        <v>410</v>
      </c>
      <c r="D88" s="913"/>
      <c r="E88" s="913"/>
      <c r="F88" s="913"/>
      <c r="G88" s="913"/>
      <c r="H88" s="913"/>
      <c r="I88" s="913"/>
      <c r="J88" s="913"/>
      <c r="K88" s="913"/>
    </row>
    <row r="89" spans="1:11" s="42" customFormat="1" ht="11.25">
      <c r="A89" s="911"/>
      <c r="B89" s="912"/>
      <c r="D89" s="913"/>
      <c r="E89" s="913"/>
      <c r="F89" s="913"/>
      <c r="G89" s="913"/>
      <c r="H89" s="913"/>
      <c r="I89" s="913"/>
      <c r="J89" s="913"/>
      <c r="K89" s="913"/>
    </row>
    <row r="90" ht="17.25" customHeight="1">
      <c r="B90" s="21" t="s">
        <v>408</v>
      </c>
    </row>
    <row r="91" spans="1:10" ht="12.75" customHeight="1" thickBot="1">
      <c r="A91" s="78"/>
      <c r="D91" s="23"/>
      <c r="E91" s="39"/>
      <c r="J91" s="111"/>
    </row>
    <row r="92" spans="1:13" ht="12.75" customHeight="1">
      <c r="A92" s="31"/>
      <c r="B92" s="79"/>
      <c r="C92" s="80"/>
      <c r="D92" s="81"/>
      <c r="E92" s="32"/>
      <c r="F92" s="32">
        <v>2004</v>
      </c>
      <c r="G92" s="115">
        <v>2005</v>
      </c>
      <c r="H92" s="115"/>
      <c r="I92" s="116" t="s">
        <v>209</v>
      </c>
      <c r="J92" s="116" t="s">
        <v>201</v>
      </c>
      <c r="K92" s="23"/>
      <c r="L92" s="23"/>
      <c r="M92" s="23"/>
    </row>
    <row r="93" spans="1:13" ht="12.75" customHeight="1" thickBot="1">
      <c r="A93" s="35"/>
      <c r="B93" s="917" t="s">
        <v>244</v>
      </c>
      <c r="C93" s="914" t="s">
        <v>378</v>
      </c>
      <c r="D93" s="915"/>
      <c r="E93" s="36"/>
      <c r="F93" s="36" t="s">
        <v>243</v>
      </c>
      <c r="G93" s="117" t="s">
        <v>79</v>
      </c>
      <c r="H93" s="916"/>
      <c r="I93" s="118">
        <v>2006</v>
      </c>
      <c r="J93" s="118">
        <v>2006</v>
      </c>
      <c r="K93" s="23"/>
      <c r="L93" s="23"/>
      <c r="M93" s="23"/>
    </row>
    <row r="94" spans="1:13" ht="12.75" customHeight="1">
      <c r="A94" s="82"/>
      <c r="B94" s="83"/>
      <c r="C94" s="84"/>
      <c r="D94" s="85">
        <v>1</v>
      </c>
      <c r="E94" s="85">
        <v>2</v>
      </c>
      <c r="F94" s="85">
        <v>3</v>
      </c>
      <c r="G94" s="119">
        <v>1</v>
      </c>
      <c r="H94" s="119"/>
      <c r="I94" s="120"/>
      <c r="J94" s="415">
        <v>2</v>
      </c>
      <c r="K94" s="23"/>
      <c r="L94" s="23"/>
      <c r="M94" s="23"/>
    </row>
    <row r="95" spans="1:13" ht="12.75" customHeight="1">
      <c r="A95" s="86"/>
      <c r="B95" s="87">
        <v>47</v>
      </c>
      <c r="C95" s="65" t="s">
        <v>213</v>
      </c>
      <c r="D95" s="88">
        <v>0</v>
      </c>
      <c r="E95" s="88">
        <v>0</v>
      </c>
      <c r="F95" s="88"/>
      <c r="G95" s="121">
        <v>0</v>
      </c>
      <c r="H95" s="121"/>
      <c r="I95" s="122"/>
      <c r="J95" s="123">
        <v>0</v>
      </c>
      <c r="K95" s="23"/>
      <c r="L95" s="23"/>
      <c r="M95" s="23"/>
    </row>
    <row r="96" spans="1:13" ht="12.75" customHeight="1">
      <c r="A96" s="86"/>
      <c r="B96" s="87">
        <v>48</v>
      </c>
      <c r="C96" s="65" t="s">
        <v>86</v>
      </c>
      <c r="D96" s="88"/>
      <c r="E96" s="88"/>
      <c r="F96" s="88"/>
      <c r="G96" s="121">
        <v>0</v>
      </c>
      <c r="H96" s="121"/>
      <c r="I96" s="124"/>
      <c r="J96" s="123">
        <v>0</v>
      </c>
      <c r="K96" s="23"/>
      <c r="L96" s="23"/>
      <c r="M96" s="23"/>
    </row>
    <row r="97" spans="1:13" ht="12.75" customHeight="1">
      <c r="A97" s="86"/>
      <c r="B97" s="87">
        <v>49</v>
      </c>
      <c r="C97" s="65" t="s">
        <v>245</v>
      </c>
      <c r="D97" s="88"/>
      <c r="E97" s="88"/>
      <c r="F97" s="88"/>
      <c r="G97" s="121">
        <f>2000-G11</f>
        <v>1700</v>
      </c>
      <c r="H97" s="125"/>
      <c r="I97" s="122">
        <f>G97*1.1</f>
        <v>1870.0000000000002</v>
      </c>
      <c r="J97" s="123">
        <v>3500</v>
      </c>
      <c r="K97" s="1138">
        <f aca="true" t="shared" si="5" ref="K97:K103">J97/G97</f>
        <v>2.0588235294117645</v>
      </c>
      <c r="L97" s="23"/>
      <c r="M97" s="23"/>
    </row>
    <row r="98" spans="1:13" ht="12.75" customHeight="1">
      <c r="A98" s="86"/>
      <c r="B98" s="87">
        <v>50</v>
      </c>
      <c r="C98" s="65" t="s">
        <v>48</v>
      </c>
      <c r="D98" s="88"/>
      <c r="E98" s="88"/>
      <c r="F98" s="88"/>
      <c r="G98" s="121">
        <v>1500</v>
      </c>
      <c r="H98" s="125"/>
      <c r="I98" s="122">
        <f>G98*1.1</f>
        <v>1650.0000000000002</v>
      </c>
      <c r="J98" s="123">
        <f>G98*1.14</f>
        <v>1709.9999999999998</v>
      </c>
      <c r="K98" s="1138">
        <f t="shared" si="5"/>
        <v>1.14</v>
      </c>
      <c r="L98" s="23"/>
      <c r="M98" s="23"/>
    </row>
    <row r="99" spans="1:11" s="67" customFormat="1" ht="12.75" customHeight="1">
      <c r="A99" s="922"/>
      <c r="B99" s="923">
        <v>51</v>
      </c>
      <c r="C99" s="924" t="s">
        <v>379</v>
      </c>
      <c r="D99" s="925">
        <v>0</v>
      </c>
      <c r="E99" s="925">
        <v>0</v>
      </c>
      <c r="F99" s="925">
        <v>500</v>
      </c>
      <c r="G99" s="926">
        <v>500</v>
      </c>
      <c r="H99" s="926"/>
      <c r="I99" s="910">
        <v>0</v>
      </c>
      <c r="J99" s="927">
        <v>0</v>
      </c>
      <c r="K99" s="1139"/>
    </row>
    <row r="100" spans="1:16" ht="12.75" customHeight="1">
      <c r="A100" s="86"/>
      <c r="B100" s="87">
        <v>52</v>
      </c>
      <c r="C100" s="65" t="s">
        <v>246</v>
      </c>
      <c r="D100" s="88">
        <f>53000+1819</f>
        <v>54819</v>
      </c>
      <c r="E100" s="88">
        <v>45873</v>
      </c>
      <c r="F100" s="88">
        <v>50459</v>
      </c>
      <c r="G100" s="121">
        <f>F100*1.07</f>
        <v>53991.130000000005</v>
      </c>
      <c r="H100" s="125"/>
      <c r="I100" s="122">
        <v>80331</v>
      </c>
      <c r="J100" s="921">
        <f>(G100+G71+6150)*1.14+1500</f>
        <v>88369.2882</v>
      </c>
      <c r="K100" s="1138">
        <f t="shared" si="5"/>
        <v>1.6367371492317346</v>
      </c>
      <c r="L100" s="23"/>
      <c r="M100" s="23"/>
      <c r="O100" s="76"/>
      <c r="P100" s="933"/>
    </row>
    <row r="101" spans="1:13" ht="12.75" customHeight="1">
      <c r="A101" s="86"/>
      <c r="B101" s="87">
        <v>53</v>
      </c>
      <c r="C101" s="65" t="s">
        <v>247</v>
      </c>
      <c r="D101" s="88">
        <v>0</v>
      </c>
      <c r="E101" s="88"/>
      <c r="F101" s="88"/>
      <c r="G101" s="121">
        <f>F101*1.1</f>
        <v>0</v>
      </c>
      <c r="H101" s="125"/>
      <c r="I101" s="122">
        <f>G101*1.1</f>
        <v>0</v>
      </c>
      <c r="J101" s="123">
        <v>0</v>
      </c>
      <c r="K101" s="1138"/>
      <c r="L101" s="23"/>
      <c r="M101" s="23"/>
    </row>
    <row r="102" spans="1:13" ht="12.75" customHeight="1">
      <c r="A102" s="86"/>
      <c r="B102" s="87">
        <v>54</v>
      </c>
      <c r="C102" s="65" t="s">
        <v>215</v>
      </c>
      <c r="D102" s="88">
        <v>14500</v>
      </c>
      <c r="E102" s="88">
        <v>15950</v>
      </c>
      <c r="F102" s="88">
        <v>17545</v>
      </c>
      <c r="G102" s="121">
        <f>(F102+459)*1.07</f>
        <v>19264.280000000002</v>
      </c>
      <c r="H102" s="125"/>
      <c r="I102" s="126">
        <f>G102*1.1</f>
        <v>21190.708000000006</v>
      </c>
      <c r="J102" s="123">
        <f>G102*1.14</f>
        <v>21961.2792</v>
      </c>
      <c r="K102" s="1138">
        <f t="shared" si="5"/>
        <v>1.14</v>
      </c>
      <c r="L102" s="23"/>
      <c r="M102" s="23"/>
    </row>
    <row r="103" spans="1:13" ht="12.75" customHeight="1">
      <c r="A103" s="86"/>
      <c r="B103" s="87">
        <v>55</v>
      </c>
      <c r="C103" s="65" t="s">
        <v>216</v>
      </c>
      <c r="D103" s="88">
        <v>5000</v>
      </c>
      <c r="E103" s="88">
        <v>5500</v>
      </c>
      <c r="F103" s="88">
        <v>6050</v>
      </c>
      <c r="G103" s="121">
        <f>F103*1.07</f>
        <v>6473.5</v>
      </c>
      <c r="H103" s="125"/>
      <c r="I103" s="126">
        <f>G103*1.1</f>
        <v>7120.85</v>
      </c>
      <c r="J103" s="123">
        <f>G103*1.14</f>
        <v>7379.789999999999</v>
      </c>
      <c r="K103" s="1138">
        <f t="shared" si="5"/>
        <v>1.14</v>
      </c>
      <c r="L103" s="23"/>
      <c r="M103" s="23"/>
    </row>
    <row r="104" spans="1:13" ht="12.75" customHeight="1">
      <c r="A104" s="89"/>
      <c r="B104" s="90">
        <v>56</v>
      </c>
      <c r="C104" s="112" t="s">
        <v>217</v>
      </c>
      <c r="D104" s="91">
        <f>45000+137</f>
        <v>45137</v>
      </c>
      <c r="E104" s="91">
        <v>49583</v>
      </c>
      <c r="F104" s="91">
        <f>54541+1650</f>
        <v>56191</v>
      </c>
      <c r="G104" s="121">
        <f>F104*1.07</f>
        <v>60124.37</v>
      </c>
      <c r="H104" s="125"/>
      <c r="I104" s="126">
        <v>71307</v>
      </c>
      <c r="J104" s="921">
        <f>(G104+6000-400-700)*1.14</f>
        <v>74127.78179999998</v>
      </c>
      <c r="K104" s="1138">
        <f>J104/G104</f>
        <v>1.2329074184062132</v>
      </c>
      <c r="L104" s="23"/>
      <c r="M104" s="23"/>
    </row>
    <row r="105" spans="1:13" ht="12.75" customHeight="1">
      <c r="A105" s="92"/>
      <c r="B105" s="93"/>
      <c r="C105" s="127" t="s">
        <v>248</v>
      </c>
      <c r="D105" s="94">
        <f>SUM(D95:D104)</f>
        <v>119456</v>
      </c>
      <c r="E105" s="94">
        <f>SUM(E95:E104)</f>
        <v>116906</v>
      </c>
      <c r="F105" s="94">
        <f>SUM(F95:F104)</f>
        <v>130745</v>
      </c>
      <c r="G105" s="128">
        <f>SUM(G95:G104)</f>
        <v>143553.28</v>
      </c>
      <c r="H105" s="128"/>
      <c r="I105" s="128">
        <f>SUM(I95:I104)</f>
        <v>183469.55800000002</v>
      </c>
      <c r="J105" s="129">
        <f>SUM(J95:J104)</f>
        <v>197048.13919999998</v>
      </c>
      <c r="K105" s="1133"/>
      <c r="L105" s="23"/>
      <c r="M105" s="23"/>
    </row>
    <row r="106" spans="1:11" s="103" customFormat="1" ht="12.75" customHeight="1">
      <c r="A106" s="130"/>
      <c r="B106" s="131">
        <v>57</v>
      </c>
      <c r="C106" s="132" t="s">
        <v>249</v>
      </c>
      <c r="D106" s="133">
        <f>D84+D105</f>
        <v>306819.79000000004</v>
      </c>
      <c r="E106" s="133" t="e">
        <f>E84+E105</f>
        <v>#REF!</v>
      </c>
      <c r="F106" s="133">
        <f>F84+F105</f>
        <v>362764</v>
      </c>
      <c r="G106" s="918">
        <f>G84+G105</f>
        <v>448943.65</v>
      </c>
      <c r="H106" s="134"/>
      <c r="I106" s="134">
        <f>J84+I105</f>
        <v>484215.558</v>
      </c>
      <c r="J106" s="134">
        <f>J105+J84</f>
        <v>497794.1392</v>
      </c>
      <c r="K106" s="1138">
        <f>J106/G106</f>
        <v>1.1088120729628317</v>
      </c>
    </row>
    <row r="107" spans="1:11" s="103" customFormat="1" ht="12.75" customHeight="1">
      <c r="A107" s="935"/>
      <c r="B107" s="936">
        <v>58</v>
      </c>
      <c r="C107" s="937" t="s">
        <v>250</v>
      </c>
      <c r="D107" s="938" t="e">
        <f>#REF!-D106</f>
        <v>#REF!</v>
      </c>
      <c r="E107" s="938" t="e">
        <f>#REF!-E106</f>
        <v>#REF!</v>
      </c>
      <c r="F107" s="938">
        <f>1309209-F106</f>
        <v>946445</v>
      </c>
      <c r="G107" s="939">
        <f>1479002-G106</f>
        <v>1030058.35</v>
      </c>
      <c r="H107" s="939">
        <f>1479002-H106</f>
        <v>1479002</v>
      </c>
      <c r="I107" s="939">
        <f>1479002-I106</f>
        <v>994786.442</v>
      </c>
      <c r="J107" s="940">
        <f>'str1-3'!F15-J106</f>
        <v>1185813.8608</v>
      </c>
      <c r="K107" s="1138">
        <f>J107/G107</f>
        <v>1.1512103763830466</v>
      </c>
    </row>
    <row r="108" spans="2:11" s="55" customFormat="1" ht="12.75" customHeight="1" hidden="1">
      <c r="B108" s="95"/>
      <c r="C108" s="919" t="s">
        <v>250</v>
      </c>
      <c r="D108" s="42"/>
      <c r="E108" s="42"/>
      <c r="F108" s="44">
        <v>1211195</v>
      </c>
      <c r="G108" s="44">
        <v>1379533</v>
      </c>
      <c r="H108" s="96" t="s">
        <v>80</v>
      </c>
      <c r="I108" s="44">
        <f>G108*1.1</f>
        <v>1517486.3</v>
      </c>
      <c r="J108" s="45"/>
      <c r="K108" s="1138">
        <f aca="true" t="shared" si="6" ref="K108:K134">J108/G108</f>
        <v>0</v>
      </c>
    </row>
    <row r="109" spans="2:11" s="55" customFormat="1" ht="12.75" customHeight="1" hidden="1">
      <c r="B109" s="95"/>
      <c r="C109" s="135" t="s">
        <v>250</v>
      </c>
      <c r="D109" s="97"/>
      <c r="E109" s="97"/>
      <c r="F109" s="98">
        <v>98014</v>
      </c>
      <c r="G109" s="98">
        <v>99469</v>
      </c>
      <c r="H109" s="97"/>
      <c r="I109" s="98">
        <f>G109</f>
        <v>99469</v>
      </c>
      <c r="J109" s="99"/>
      <c r="K109" s="1138">
        <f t="shared" si="6"/>
        <v>0</v>
      </c>
    </row>
    <row r="110" spans="3:13" ht="12.75" customHeight="1" hidden="1">
      <c r="C110" s="135" t="s">
        <v>250</v>
      </c>
      <c r="F110" s="77">
        <f>SUM(F108:F109)</f>
        <v>1309209</v>
      </c>
      <c r="G110" s="77">
        <f>SUM(G108:G109)</f>
        <v>1479002</v>
      </c>
      <c r="H110" s="77">
        <f>SUM(H108:H109)</f>
        <v>0</v>
      </c>
      <c r="I110" s="77">
        <f>SUM(I108:I109)</f>
        <v>1616955.3</v>
      </c>
      <c r="K110" s="1138">
        <f t="shared" si="6"/>
        <v>0</v>
      </c>
      <c r="L110" s="23"/>
      <c r="M110" s="23"/>
    </row>
    <row r="111" spans="3:13" ht="12.75" customHeight="1" hidden="1">
      <c r="C111" s="135" t="s">
        <v>250</v>
      </c>
      <c r="F111" s="77">
        <f>F110-F106</f>
        <v>946445</v>
      </c>
      <c r="G111" s="77">
        <f>G110-G106</f>
        <v>1030058.35</v>
      </c>
      <c r="H111" s="77">
        <f>H110-H106</f>
        <v>0</v>
      </c>
      <c r="I111" s="77">
        <f>I110-I106</f>
        <v>1132739.742</v>
      </c>
      <c r="J111" s="101"/>
      <c r="K111" s="1138">
        <f t="shared" si="6"/>
        <v>0</v>
      </c>
      <c r="L111" s="23"/>
      <c r="M111" s="23"/>
    </row>
    <row r="112" spans="3:13" ht="12.75" customHeight="1" hidden="1">
      <c r="C112" s="135" t="s">
        <v>250</v>
      </c>
      <c r="K112" s="1138" t="e">
        <f t="shared" si="6"/>
        <v>#DIV/0!</v>
      </c>
      <c r="L112" s="23"/>
      <c r="M112" s="23"/>
    </row>
    <row r="113" spans="3:13" ht="12.75" customHeight="1" hidden="1">
      <c r="C113" s="135" t="s">
        <v>250</v>
      </c>
      <c r="K113" s="1138" t="e">
        <f t="shared" si="6"/>
        <v>#DIV/0!</v>
      </c>
      <c r="L113" s="23"/>
      <c r="M113" s="23"/>
    </row>
    <row r="114" spans="3:13" ht="12.75" customHeight="1" hidden="1">
      <c r="C114" s="135" t="s">
        <v>250</v>
      </c>
      <c r="K114" s="1138" t="e">
        <f t="shared" si="6"/>
        <v>#DIV/0!</v>
      </c>
      <c r="L114" s="23"/>
      <c r="M114" s="23"/>
    </row>
    <row r="115" spans="2:17" s="39" customFormat="1" ht="12.75" customHeight="1" hidden="1">
      <c r="B115" s="29"/>
      <c r="C115" s="135" t="s">
        <v>250</v>
      </c>
      <c r="D115" s="75"/>
      <c r="E115" s="100"/>
      <c r="F115" s="100"/>
      <c r="G115" s="100"/>
      <c r="H115" s="100"/>
      <c r="I115" s="100"/>
      <c r="J115" s="920"/>
      <c r="K115" s="1138" t="e">
        <f t="shared" si="6"/>
        <v>#DIV/0!</v>
      </c>
      <c r="L115" s="25"/>
      <c r="M115" s="25"/>
      <c r="N115" s="25"/>
      <c r="O115" s="25"/>
      <c r="P115" s="25"/>
      <c r="Q115" s="25"/>
    </row>
    <row r="116" spans="3:17" ht="12.75" customHeight="1" hidden="1">
      <c r="C116" s="135" t="s">
        <v>250</v>
      </c>
      <c r="G116" s="24"/>
      <c r="H116" s="24"/>
      <c r="I116" s="24"/>
      <c r="K116" s="1138" t="e">
        <f t="shared" si="6"/>
        <v>#DIV/0!</v>
      </c>
      <c r="N116" s="24"/>
      <c r="O116" s="24"/>
      <c r="P116" s="24"/>
      <c r="Q116" s="24"/>
    </row>
    <row r="117" spans="3:17" ht="12.75" customHeight="1" hidden="1">
      <c r="C117" s="135" t="s">
        <v>250</v>
      </c>
      <c r="D117" s="26"/>
      <c r="E117" s="26"/>
      <c r="F117" s="26"/>
      <c r="G117" s="26"/>
      <c r="H117" s="26"/>
      <c r="K117" s="1138" t="e">
        <f t="shared" si="6"/>
        <v>#DIV/0!</v>
      </c>
      <c r="N117" s="24"/>
      <c r="O117" s="24"/>
      <c r="P117" s="24"/>
      <c r="Q117" s="24"/>
    </row>
    <row r="118" spans="3:17" ht="12.75" customHeight="1" hidden="1">
      <c r="C118" s="135" t="s">
        <v>250</v>
      </c>
      <c r="G118" s="24"/>
      <c r="H118" s="24"/>
      <c r="I118" s="24"/>
      <c r="K118" s="1138" t="e">
        <f t="shared" si="6"/>
        <v>#DIV/0!</v>
      </c>
      <c r="N118" s="24"/>
      <c r="O118" s="24"/>
      <c r="P118" s="24"/>
      <c r="Q118" s="24"/>
    </row>
    <row r="119" spans="3:17" ht="12.75" customHeight="1" hidden="1">
      <c r="C119" s="135" t="s">
        <v>250</v>
      </c>
      <c r="G119" s="24"/>
      <c r="H119" s="24"/>
      <c r="I119" s="24"/>
      <c r="K119" s="1138" t="e">
        <f t="shared" si="6"/>
        <v>#DIV/0!</v>
      </c>
      <c r="N119" s="24"/>
      <c r="O119" s="24"/>
      <c r="P119" s="24"/>
      <c r="Q119" s="24"/>
    </row>
    <row r="120" spans="3:17" ht="12.75" customHeight="1" hidden="1">
      <c r="C120" s="135" t="s">
        <v>250</v>
      </c>
      <c r="G120" s="24"/>
      <c r="H120" s="24"/>
      <c r="I120" s="24"/>
      <c r="K120" s="1138" t="e">
        <f t="shared" si="6"/>
        <v>#DIV/0!</v>
      </c>
      <c r="N120" s="24"/>
      <c r="O120" s="24"/>
      <c r="P120" s="24"/>
      <c r="Q120" s="24"/>
    </row>
    <row r="121" spans="3:17" ht="12.75" customHeight="1" hidden="1">
      <c r="C121" s="135" t="s">
        <v>250</v>
      </c>
      <c r="G121" s="24"/>
      <c r="H121" s="24"/>
      <c r="I121" s="24"/>
      <c r="K121" s="1138" t="e">
        <f t="shared" si="6"/>
        <v>#DIV/0!</v>
      </c>
      <c r="N121" s="24"/>
      <c r="O121" s="24"/>
      <c r="P121" s="24"/>
      <c r="Q121" s="24"/>
    </row>
    <row r="122" spans="3:17" ht="12.75" customHeight="1" hidden="1">
      <c r="C122" s="135" t="s">
        <v>250</v>
      </c>
      <c r="G122" s="24"/>
      <c r="H122" s="24"/>
      <c r="I122" s="24"/>
      <c r="K122" s="1138" t="e">
        <f t="shared" si="6"/>
        <v>#DIV/0!</v>
      </c>
      <c r="N122" s="24"/>
      <c r="O122" s="24"/>
      <c r="P122" s="24"/>
      <c r="Q122" s="24"/>
    </row>
    <row r="123" spans="3:17" ht="12.75" customHeight="1" hidden="1">
      <c r="C123" s="135" t="s">
        <v>250</v>
      </c>
      <c r="G123" s="24"/>
      <c r="H123" s="24"/>
      <c r="I123" s="24"/>
      <c r="K123" s="1138" t="e">
        <f t="shared" si="6"/>
        <v>#DIV/0!</v>
      </c>
      <c r="N123" s="24"/>
      <c r="O123" s="24"/>
      <c r="P123" s="24"/>
      <c r="Q123" s="24"/>
    </row>
    <row r="124" spans="3:17" ht="12.75" customHeight="1" hidden="1">
      <c r="C124" s="135" t="s">
        <v>250</v>
      </c>
      <c r="G124" s="24"/>
      <c r="H124" s="24"/>
      <c r="I124" s="24"/>
      <c r="K124" s="1138" t="e">
        <f t="shared" si="6"/>
        <v>#DIV/0!</v>
      </c>
      <c r="N124" s="24"/>
      <c r="O124" s="24"/>
      <c r="P124" s="24"/>
      <c r="Q124" s="24"/>
    </row>
    <row r="125" spans="2:17" s="103" customFormat="1" ht="12.75" customHeight="1" hidden="1">
      <c r="B125" s="102"/>
      <c r="C125" s="135" t="s">
        <v>250</v>
      </c>
      <c r="D125" s="26"/>
      <c r="E125" s="26"/>
      <c r="F125" s="26"/>
      <c r="G125" s="26"/>
      <c r="H125" s="26"/>
      <c r="I125" s="26"/>
      <c r="J125" s="26"/>
      <c r="K125" s="1138" t="e">
        <f t="shared" si="6"/>
        <v>#DIV/0!</v>
      </c>
      <c r="L125" s="26"/>
      <c r="M125" s="26"/>
      <c r="N125" s="26"/>
      <c r="O125" s="26"/>
      <c r="P125" s="26"/>
      <c r="Q125" s="26"/>
    </row>
    <row r="126" spans="3:17" ht="12.75" customHeight="1" hidden="1">
      <c r="C126" s="135" t="s">
        <v>250</v>
      </c>
      <c r="G126" s="24"/>
      <c r="H126" s="24"/>
      <c r="I126" s="24"/>
      <c r="K126" s="1138" t="e">
        <f t="shared" si="6"/>
        <v>#DIV/0!</v>
      </c>
      <c r="N126" s="24"/>
      <c r="O126" s="24"/>
      <c r="P126" s="24"/>
      <c r="Q126" s="24"/>
    </row>
    <row r="127" spans="3:17" ht="12.75" customHeight="1" hidden="1">
      <c r="C127" s="135" t="s">
        <v>250</v>
      </c>
      <c r="G127" s="24"/>
      <c r="H127" s="24"/>
      <c r="I127" s="24"/>
      <c r="K127" s="1138" t="e">
        <f t="shared" si="6"/>
        <v>#DIV/0!</v>
      </c>
      <c r="N127" s="24"/>
      <c r="O127" s="24"/>
      <c r="P127" s="24"/>
      <c r="Q127" s="24"/>
    </row>
    <row r="128" spans="3:17" ht="12.75" customHeight="1" hidden="1">
      <c r="C128" s="135" t="s">
        <v>250</v>
      </c>
      <c r="G128" s="24"/>
      <c r="H128" s="24"/>
      <c r="I128" s="24"/>
      <c r="K128" s="1138" t="e">
        <f t="shared" si="6"/>
        <v>#DIV/0!</v>
      </c>
      <c r="N128" s="24"/>
      <c r="O128" s="24"/>
      <c r="P128" s="24"/>
      <c r="Q128" s="24"/>
    </row>
    <row r="129" spans="2:17" s="55" customFormat="1" ht="12.75" customHeight="1" hidden="1">
      <c r="B129" s="95"/>
      <c r="C129" s="135" t="s">
        <v>250</v>
      </c>
      <c r="D129" s="42"/>
      <c r="E129" s="42"/>
      <c r="F129" s="42"/>
      <c r="G129" s="42"/>
      <c r="H129" s="42"/>
      <c r="I129" s="42"/>
      <c r="J129" s="45"/>
      <c r="K129" s="1138" t="e">
        <f t="shared" si="6"/>
        <v>#DIV/0!</v>
      </c>
      <c r="L129" s="42"/>
      <c r="M129" s="42"/>
      <c r="N129" s="42"/>
      <c r="O129" s="42"/>
      <c r="P129" s="42"/>
      <c r="Q129" s="42"/>
    </row>
    <row r="130" spans="2:17" s="55" customFormat="1" ht="12.75" customHeight="1" hidden="1">
      <c r="B130" s="95"/>
      <c r="C130" s="135" t="s">
        <v>250</v>
      </c>
      <c r="D130" s="42"/>
      <c r="E130" s="42"/>
      <c r="F130" s="42"/>
      <c r="G130" s="42"/>
      <c r="H130" s="42"/>
      <c r="I130" s="42"/>
      <c r="J130" s="45"/>
      <c r="K130" s="1138" t="e">
        <f t="shared" si="6"/>
        <v>#DIV/0!</v>
      </c>
      <c r="L130" s="42"/>
      <c r="M130" s="42"/>
      <c r="N130" s="42"/>
      <c r="O130" s="42"/>
      <c r="P130" s="42"/>
      <c r="Q130" s="42"/>
    </row>
    <row r="131" spans="2:17" s="55" customFormat="1" ht="12.75" customHeight="1" hidden="1">
      <c r="B131" s="95"/>
      <c r="C131" s="135" t="s">
        <v>250</v>
      </c>
      <c r="D131" s="42"/>
      <c r="E131" s="42"/>
      <c r="F131" s="42"/>
      <c r="G131" s="42"/>
      <c r="H131" s="42"/>
      <c r="I131" s="42"/>
      <c r="J131" s="45"/>
      <c r="K131" s="1138" t="e">
        <f t="shared" si="6"/>
        <v>#DIV/0!</v>
      </c>
      <c r="L131" s="42"/>
      <c r="M131" s="42"/>
      <c r="N131" s="42"/>
      <c r="O131" s="42"/>
      <c r="P131" s="42"/>
      <c r="Q131" s="42"/>
    </row>
    <row r="132" spans="3:17" ht="12.75" customHeight="1" hidden="1">
      <c r="C132" s="135" t="s">
        <v>250</v>
      </c>
      <c r="G132" s="24"/>
      <c r="H132" s="24"/>
      <c r="I132" s="24"/>
      <c r="K132" s="1138" t="e">
        <f t="shared" si="6"/>
        <v>#DIV/0!</v>
      </c>
      <c r="N132" s="24"/>
      <c r="O132" s="24"/>
      <c r="P132" s="24"/>
      <c r="Q132" s="24"/>
    </row>
    <row r="133" spans="3:17" ht="12.75" customHeight="1" hidden="1">
      <c r="C133" s="132" t="s">
        <v>250</v>
      </c>
      <c r="G133" s="24"/>
      <c r="H133" s="24"/>
      <c r="I133" s="24"/>
      <c r="K133" s="1138" t="e">
        <f t="shared" si="6"/>
        <v>#DIV/0!</v>
      </c>
      <c r="N133" s="24"/>
      <c r="O133" s="24"/>
      <c r="P133" s="24"/>
      <c r="Q133" s="24"/>
    </row>
    <row r="134" spans="1:11" s="39" customFormat="1" ht="12.75" customHeight="1" thickBot="1">
      <c r="A134" s="988"/>
      <c r="B134" s="989">
        <v>59</v>
      </c>
      <c r="C134" s="990" t="s">
        <v>5</v>
      </c>
      <c r="D134" s="991"/>
      <c r="E134" s="991"/>
      <c r="F134" s="991"/>
      <c r="G134" s="941">
        <f>G107+G7</f>
        <v>1051575.35</v>
      </c>
      <c r="H134" s="941">
        <f>H107+H7</f>
        <v>1500519</v>
      </c>
      <c r="I134" s="941">
        <f>I107+I7</f>
        <v>1027694.442</v>
      </c>
      <c r="J134" s="941">
        <f>J107+J7</f>
        <v>1223989.8608</v>
      </c>
      <c r="K134" s="1138">
        <f t="shared" si="6"/>
        <v>1.1639583038913948</v>
      </c>
    </row>
    <row r="135" ht="12.75" customHeight="1"/>
    <row r="136" ht="12.75" customHeight="1"/>
    <row r="137" spans="1:10" s="24" customFormat="1" ht="12.75" customHeight="1">
      <c r="A137" s="1129"/>
      <c r="B137" s="1130"/>
      <c r="C137" s="1129"/>
      <c r="D137" s="1129"/>
      <c r="E137" s="1129"/>
      <c r="F137" s="1129"/>
      <c r="G137" s="1131"/>
      <c r="I137" s="956"/>
      <c r="J137" s="956"/>
    </row>
    <row r="138" spans="1:10" s="24" customFormat="1" ht="12.75" customHeight="1">
      <c r="A138" s="1129"/>
      <c r="B138" s="1130"/>
      <c r="C138" s="1129"/>
      <c r="D138" s="1129"/>
      <c r="E138" s="1129"/>
      <c r="F138" s="1129"/>
      <c r="G138" s="1131"/>
      <c r="I138" s="956"/>
      <c r="J138" s="956"/>
    </row>
    <row r="139" spans="1:10" s="24" customFormat="1" ht="12.75" customHeight="1">
      <c r="A139" s="1129"/>
      <c r="B139" s="1130"/>
      <c r="C139" s="1129"/>
      <c r="D139" s="1129"/>
      <c r="E139" s="1129"/>
      <c r="F139" s="1129"/>
      <c r="G139" s="1129"/>
      <c r="I139" s="956"/>
      <c r="J139" s="956"/>
    </row>
    <row r="140" spans="1:10" s="24" customFormat="1" ht="12.75" customHeight="1">
      <c r="A140" s="1129"/>
      <c r="B140" s="1130"/>
      <c r="C140" s="1129"/>
      <c r="D140" s="1129"/>
      <c r="E140" s="1129"/>
      <c r="F140" s="1129"/>
      <c r="G140" s="1129"/>
      <c r="I140" s="956"/>
      <c r="J140" s="956"/>
    </row>
    <row r="141" spans="1:7" ht="12.75" customHeight="1">
      <c r="A141" s="1132"/>
      <c r="B141" s="1133"/>
      <c r="C141" s="1132"/>
      <c r="D141" s="1129"/>
      <c r="E141" s="1129"/>
      <c r="F141" s="1129"/>
      <c r="G141" s="1134"/>
    </row>
    <row r="142" spans="1:10" ht="12.75" customHeight="1">
      <c r="A142" s="1132"/>
      <c r="B142" s="1133"/>
      <c r="C142" s="1132"/>
      <c r="D142" s="1129"/>
      <c r="E142" s="1129"/>
      <c r="F142" s="1129"/>
      <c r="G142" s="1129"/>
      <c r="J142" s="77"/>
    </row>
    <row r="143" spans="1:7" ht="12.75" customHeight="1">
      <c r="A143" s="1132"/>
      <c r="B143" s="1133"/>
      <c r="C143" s="1132"/>
      <c r="D143" s="1129"/>
      <c r="E143" s="1129"/>
      <c r="F143" s="1129"/>
      <c r="G143" s="1131"/>
    </row>
    <row r="144" spans="1:7" ht="12.75" customHeight="1">
      <c r="A144" s="1132"/>
      <c r="B144" s="1133"/>
      <c r="C144" s="1132"/>
      <c r="D144" s="1129"/>
      <c r="E144" s="1129"/>
      <c r="F144" s="1129"/>
      <c r="G144" s="1131"/>
    </row>
    <row r="145" spans="1:7" ht="12.75" customHeight="1">
      <c r="A145" s="1132"/>
      <c r="B145" s="1133"/>
      <c r="C145" s="1132"/>
      <c r="D145" s="1129"/>
      <c r="E145" s="1129"/>
      <c r="F145" s="1129"/>
      <c r="G145" s="1131"/>
    </row>
    <row r="146" spans="1:7" ht="12.75" customHeight="1">
      <c r="A146" s="1132"/>
      <c r="B146" s="1133"/>
      <c r="C146" s="1132"/>
      <c r="D146" s="1129"/>
      <c r="E146" s="1129"/>
      <c r="F146" s="1129"/>
      <c r="G146" s="1134"/>
    </row>
    <row r="147" spans="1:7" ht="12.75" customHeight="1">
      <c r="A147" s="1132"/>
      <c r="B147" s="1133"/>
      <c r="C147" s="1132"/>
      <c r="D147" s="1129"/>
      <c r="E147" s="1129"/>
      <c r="F147" s="1129"/>
      <c r="G147" s="1134"/>
    </row>
    <row r="148" spans="1:7" ht="12.75" customHeight="1">
      <c r="A148" s="1132"/>
      <c r="B148" s="1133"/>
      <c r="C148" s="1132"/>
      <c r="D148" s="1129"/>
      <c r="E148" s="1129"/>
      <c r="F148" s="1129"/>
      <c r="G148" s="1131"/>
    </row>
    <row r="149" spans="1:7" ht="12.75" customHeight="1">
      <c r="A149" s="1135"/>
      <c r="B149" s="1136"/>
      <c r="C149" s="1135"/>
      <c r="D149" s="1137"/>
      <c r="E149" s="1137"/>
      <c r="F149" s="1137"/>
      <c r="G149" s="1134"/>
    </row>
    <row r="150" spans="1:7" ht="12.75" customHeight="1">
      <c r="A150" s="1132"/>
      <c r="B150" s="1133"/>
      <c r="C150" s="1132"/>
      <c r="D150" s="1129"/>
      <c r="E150" s="1129"/>
      <c r="F150" s="1129"/>
      <c r="G150" s="1131"/>
    </row>
    <row r="151" spans="1:7" ht="12.75" customHeight="1">
      <c r="A151" s="1132"/>
      <c r="B151" s="1133"/>
      <c r="C151" s="1132"/>
      <c r="D151" s="1129"/>
      <c r="E151" s="1129"/>
      <c r="F151" s="1129"/>
      <c r="G151" s="1131"/>
    </row>
    <row r="152" spans="1:7" ht="12">
      <c r="A152" s="1132"/>
      <c r="B152" s="1133"/>
      <c r="C152" s="1132"/>
      <c r="D152" s="1129"/>
      <c r="E152" s="1129"/>
      <c r="F152" s="1129"/>
      <c r="G152" s="1134"/>
    </row>
    <row r="153" spans="1:7" ht="12">
      <c r="A153" s="1135"/>
      <c r="B153" s="1136"/>
      <c r="C153" s="1135"/>
      <c r="D153" s="1137"/>
      <c r="E153" s="1137"/>
      <c r="F153" s="1137"/>
      <c r="G153" s="1134"/>
    </row>
  </sheetData>
  <printOptions horizontalCentered="1"/>
  <pageMargins left="0.44" right="0.2755905511811024" top="0.31496062992125984" bottom="0.2755905511811024" header="0.1968503937007874" footer="0.1968503937007874"/>
  <pageSetup horizontalDpi="600" verticalDpi="600" orientation="portrait" paperSize="9" scale="81" r:id="rId1"/>
  <headerFooter alignWithMargins="0">
    <oddHeader>&amp;R&amp;8Příloha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C34" sqref="C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877" bestFit="1" customWidth="1"/>
    <col min="6" max="6" width="51.75390625" style="876" customWidth="1"/>
    <col min="7" max="7" width="14.00390625" style="0" customWidth="1"/>
    <col min="8" max="8" width="5.125" style="0" hidden="1" customWidth="1"/>
    <col min="9" max="9" width="13.75390625" style="0" customWidth="1"/>
  </cols>
  <sheetData>
    <row r="1" spans="1:9" ht="15.75">
      <c r="A1" s="1264" t="s">
        <v>128</v>
      </c>
      <c r="B1" s="1265"/>
      <c r="C1" s="1265"/>
      <c r="D1" s="1266"/>
      <c r="E1" s="833"/>
      <c r="F1" s="834"/>
      <c r="G1" s="835" t="s">
        <v>324</v>
      </c>
      <c r="H1" s="836" t="s">
        <v>325</v>
      </c>
      <c r="I1" s="835" t="s">
        <v>326</v>
      </c>
    </row>
    <row r="2" spans="1:9" s="437" customFormat="1" ht="13.5" thickBot="1">
      <c r="A2" s="837" t="s">
        <v>371</v>
      </c>
      <c r="B2" s="838"/>
      <c r="C2" s="838"/>
      <c r="D2" s="839"/>
      <c r="E2" s="840" t="s">
        <v>302</v>
      </c>
      <c r="F2" s="841" t="s">
        <v>327</v>
      </c>
      <c r="G2" s="842">
        <v>2006</v>
      </c>
      <c r="H2" s="843" t="s">
        <v>201</v>
      </c>
      <c r="I2" s="842">
        <v>2005</v>
      </c>
    </row>
    <row r="3" spans="1:9" ht="13.5" thickBot="1">
      <c r="A3" s="844" t="s">
        <v>328</v>
      </c>
      <c r="B3" s="845"/>
      <c r="C3" s="845"/>
      <c r="D3" s="845"/>
      <c r="E3" s="846">
        <v>1</v>
      </c>
      <c r="F3" s="847"/>
      <c r="G3" s="848"/>
      <c r="H3" s="845"/>
      <c r="I3" s="848"/>
    </row>
    <row r="4" spans="1:9" s="606" customFormat="1" ht="12">
      <c r="A4" s="849" t="s">
        <v>329</v>
      </c>
      <c r="B4" s="850" t="s">
        <v>330</v>
      </c>
      <c r="C4" s="850"/>
      <c r="D4" s="850"/>
      <c r="E4" s="851">
        <v>2</v>
      </c>
      <c r="F4" s="852" t="s">
        <v>372</v>
      </c>
      <c r="G4" s="853"/>
      <c r="H4" s="850"/>
      <c r="I4" s="853"/>
    </row>
    <row r="5" spans="1:9" s="606" customFormat="1" ht="12">
      <c r="A5" s="849"/>
      <c r="B5" s="854"/>
      <c r="C5" s="854" t="s">
        <v>331</v>
      </c>
      <c r="D5" s="855" t="s">
        <v>332</v>
      </c>
      <c r="E5" s="856">
        <v>3</v>
      </c>
      <c r="F5" s="857"/>
      <c r="G5" s="858"/>
      <c r="H5" s="855"/>
      <c r="I5" s="858"/>
    </row>
    <row r="6" spans="1:9" s="606" customFormat="1" ht="12">
      <c r="A6" s="849"/>
      <c r="B6" s="854"/>
      <c r="C6" s="854"/>
      <c r="D6" s="855" t="s">
        <v>333</v>
      </c>
      <c r="E6" s="856">
        <v>4</v>
      </c>
      <c r="F6" s="857"/>
      <c r="G6" s="858"/>
      <c r="H6" s="855"/>
      <c r="I6" s="858"/>
    </row>
    <row r="7" spans="1:9" s="606" customFormat="1" ht="12">
      <c r="A7" s="849"/>
      <c r="B7" s="854"/>
      <c r="C7" s="854"/>
      <c r="D7" s="855" t="s">
        <v>334</v>
      </c>
      <c r="E7" s="856">
        <v>5</v>
      </c>
      <c r="F7" s="857"/>
      <c r="G7" s="858"/>
      <c r="H7" s="855"/>
      <c r="I7" s="858"/>
    </row>
    <row r="8" spans="1:9" s="606" customFormat="1" ht="12">
      <c r="A8" s="849"/>
      <c r="B8" s="854"/>
      <c r="C8" s="854"/>
      <c r="D8" s="855" t="s">
        <v>335</v>
      </c>
      <c r="E8" s="856">
        <v>6</v>
      </c>
      <c r="F8" s="857"/>
      <c r="G8" s="858"/>
      <c r="H8" s="855"/>
      <c r="I8" s="858"/>
    </row>
    <row r="9" spans="1:9" s="606" customFormat="1" ht="12">
      <c r="A9" s="849"/>
      <c r="B9" s="854"/>
      <c r="C9" s="854"/>
      <c r="D9" s="855" t="s">
        <v>336</v>
      </c>
      <c r="E9" s="856">
        <v>7</v>
      </c>
      <c r="F9" s="857"/>
      <c r="G9" s="858"/>
      <c r="H9" s="855"/>
      <c r="I9" s="858"/>
    </row>
    <row r="10" spans="1:9" s="606" customFormat="1" ht="12">
      <c r="A10" s="849"/>
      <c r="B10" s="854"/>
      <c r="C10" s="854"/>
      <c r="D10" s="855" t="s">
        <v>337</v>
      </c>
      <c r="E10" s="856">
        <v>8</v>
      </c>
      <c r="F10" s="857"/>
      <c r="G10" s="858"/>
      <c r="H10" s="855"/>
      <c r="I10" s="858"/>
    </row>
    <row r="11" spans="1:9" s="606" customFormat="1" ht="12">
      <c r="A11" s="849"/>
      <c r="B11" s="854"/>
      <c r="C11" s="854"/>
      <c r="D11" s="855" t="s">
        <v>338</v>
      </c>
      <c r="E11" s="856">
        <v>9</v>
      </c>
      <c r="F11" s="857"/>
      <c r="G11" s="858"/>
      <c r="H11" s="855"/>
      <c r="I11" s="858"/>
    </row>
    <row r="12" spans="1:9" s="606" customFormat="1" ht="12">
      <c r="A12" s="849"/>
      <c r="B12" s="854"/>
      <c r="C12" s="854"/>
      <c r="D12" s="855" t="s">
        <v>339</v>
      </c>
      <c r="E12" s="856">
        <v>10</v>
      </c>
      <c r="F12" s="857"/>
      <c r="G12" s="858"/>
      <c r="H12" s="855"/>
      <c r="I12" s="858"/>
    </row>
    <row r="13" spans="1:9" s="606" customFormat="1" ht="12">
      <c r="A13" s="849"/>
      <c r="B13" s="854"/>
      <c r="C13" s="854"/>
      <c r="D13" s="855" t="s">
        <v>195</v>
      </c>
      <c r="E13" s="856">
        <v>11</v>
      </c>
      <c r="F13" s="857"/>
      <c r="G13" s="858"/>
      <c r="H13" s="855"/>
      <c r="I13" s="858"/>
    </row>
    <row r="14" spans="1:9" s="606" customFormat="1" ht="12">
      <c r="A14" s="849"/>
      <c r="B14" s="854"/>
      <c r="C14" s="854"/>
      <c r="D14" s="855" t="s">
        <v>340</v>
      </c>
      <c r="E14" s="856">
        <v>12</v>
      </c>
      <c r="F14" s="857"/>
      <c r="G14" s="858"/>
      <c r="H14" s="855"/>
      <c r="I14" s="858"/>
    </row>
    <row r="15" spans="1:9" s="606" customFormat="1" ht="12">
      <c r="A15" s="849"/>
      <c r="B15" s="854"/>
      <c r="C15" s="855"/>
      <c r="D15" s="1229" t="s">
        <v>81</v>
      </c>
      <c r="E15" s="856">
        <v>13</v>
      </c>
      <c r="F15" s="857"/>
      <c r="G15" s="858"/>
      <c r="H15" s="855"/>
      <c r="I15" s="858"/>
    </row>
    <row r="16" spans="1:9" s="606" customFormat="1" ht="12">
      <c r="A16" s="849"/>
      <c r="B16" s="859" t="s">
        <v>341</v>
      </c>
      <c r="C16" s="855"/>
      <c r="D16" s="855"/>
      <c r="E16" s="856">
        <v>14</v>
      </c>
      <c r="F16" s="857" t="s">
        <v>342</v>
      </c>
      <c r="G16" s="858"/>
      <c r="H16" s="855"/>
      <c r="I16" s="858"/>
    </row>
    <row r="17" spans="1:9" s="606" customFormat="1" ht="12">
      <c r="A17" s="849"/>
      <c r="B17" s="859" t="s">
        <v>343</v>
      </c>
      <c r="C17" s="855"/>
      <c r="D17" s="855"/>
      <c r="E17" s="856">
        <v>15</v>
      </c>
      <c r="F17" s="857" t="s">
        <v>344</v>
      </c>
      <c r="G17" s="858"/>
      <c r="H17" s="855"/>
      <c r="I17" s="858"/>
    </row>
    <row r="18" spans="1:9" s="606" customFormat="1" ht="12">
      <c r="A18" s="849"/>
      <c r="B18" s="859" t="s">
        <v>345</v>
      </c>
      <c r="C18" s="855"/>
      <c r="D18" s="855"/>
      <c r="E18" s="856">
        <v>16</v>
      </c>
      <c r="F18" s="857" t="s">
        <v>346</v>
      </c>
      <c r="G18" s="858"/>
      <c r="H18" s="855"/>
      <c r="I18" s="858"/>
    </row>
    <row r="19" spans="1:9" s="606" customFormat="1" ht="12">
      <c r="A19" s="849"/>
      <c r="B19" s="859" t="s">
        <v>347</v>
      </c>
      <c r="C19" s="855"/>
      <c r="D19" s="855"/>
      <c r="E19" s="856">
        <v>17</v>
      </c>
      <c r="F19" s="860" t="s">
        <v>348</v>
      </c>
      <c r="G19" s="858"/>
      <c r="H19" s="855"/>
      <c r="I19" s="858"/>
    </row>
    <row r="20" spans="1:9" s="606" customFormat="1" ht="12">
      <c r="A20" s="849"/>
      <c r="B20" s="859" t="s">
        <v>349</v>
      </c>
      <c r="C20" s="859"/>
      <c r="D20" s="859"/>
      <c r="E20" s="856">
        <v>18</v>
      </c>
      <c r="F20" s="860" t="s">
        <v>350</v>
      </c>
      <c r="G20" s="858"/>
      <c r="H20" s="855"/>
      <c r="I20" s="858"/>
    </row>
    <row r="21" spans="1:9" s="606" customFormat="1" ht="12">
      <c r="A21" s="849"/>
      <c r="B21" s="859" t="s">
        <v>351</v>
      </c>
      <c r="C21" s="859"/>
      <c r="D21" s="859"/>
      <c r="E21" s="856">
        <v>19</v>
      </c>
      <c r="F21" s="860" t="s">
        <v>352</v>
      </c>
      <c r="G21" s="858"/>
      <c r="H21" s="855"/>
      <c r="I21" s="858"/>
    </row>
    <row r="22" spans="1:9" s="606" customFormat="1" ht="12">
      <c r="A22" s="849"/>
      <c r="B22" s="859" t="s">
        <v>353</v>
      </c>
      <c r="C22" s="859"/>
      <c r="D22" s="859"/>
      <c r="E22" s="856">
        <v>20</v>
      </c>
      <c r="F22" s="860">
        <v>2121</v>
      </c>
      <c r="G22" s="858"/>
      <c r="H22" s="855"/>
      <c r="I22" s="858"/>
    </row>
    <row r="23" spans="1:9" s="606" customFormat="1" ht="12">
      <c r="A23" s="849"/>
      <c r="B23" s="859" t="s">
        <v>354</v>
      </c>
      <c r="C23" s="859"/>
      <c r="D23" s="859"/>
      <c r="E23" s="856">
        <v>21</v>
      </c>
      <c r="F23" s="860" t="s">
        <v>373</v>
      </c>
      <c r="G23" s="858"/>
      <c r="H23" s="855"/>
      <c r="I23" s="858"/>
    </row>
    <row r="24" spans="1:9" s="606" customFormat="1" ht="12">
      <c r="A24" s="849"/>
      <c r="B24" s="859" t="s">
        <v>355</v>
      </c>
      <c r="C24" s="859"/>
      <c r="D24" s="859"/>
      <c r="E24" s="856">
        <v>22</v>
      </c>
      <c r="F24" s="860" t="s">
        <v>356</v>
      </c>
      <c r="G24" s="858"/>
      <c r="H24" s="855"/>
      <c r="I24" s="858"/>
    </row>
    <row r="25" spans="1:9" s="606" customFormat="1" ht="12.75" thickBot="1">
      <c r="A25" s="849"/>
      <c r="B25" s="859" t="s">
        <v>357</v>
      </c>
      <c r="C25" s="859"/>
      <c r="D25" s="859"/>
      <c r="E25" s="856">
        <v>23</v>
      </c>
      <c r="F25" s="860" t="s">
        <v>358</v>
      </c>
      <c r="G25" s="858"/>
      <c r="H25" s="855"/>
      <c r="I25" s="858"/>
    </row>
    <row r="26" spans="1:9" ht="13.5" thickBot="1">
      <c r="A26" s="861" t="s">
        <v>359</v>
      </c>
      <c r="B26" s="862"/>
      <c r="C26" s="862"/>
      <c r="D26" s="862"/>
      <c r="E26" s="846">
        <v>24</v>
      </c>
      <c r="F26" s="863"/>
      <c r="G26" s="864"/>
      <c r="H26" s="862"/>
      <c r="I26" s="864"/>
    </row>
    <row r="27" spans="1:9" s="606" customFormat="1" ht="12">
      <c r="A27" s="849" t="s">
        <v>329</v>
      </c>
      <c r="B27" s="855" t="s">
        <v>438</v>
      </c>
      <c r="C27" s="855"/>
      <c r="D27" s="855"/>
      <c r="E27" s="856">
        <v>25</v>
      </c>
      <c r="F27" s="857" t="s">
        <v>360</v>
      </c>
      <c r="G27" s="853"/>
      <c r="H27" s="850"/>
      <c r="I27" s="853"/>
    </row>
    <row r="28" spans="1:9" s="606" customFormat="1" ht="12">
      <c r="A28" s="849"/>
      <c r="B28" s="859" t="s">
        <v>341</v>
      </c>
      <c r="C28" s="859"/>
      <c r="D28" s="859"/>
      <c r="E28" s="856">
        <v>26</v>
      </c>
      <c r="F28" s="860" t="s">
        <v>342</v>
      </c>
      <c r="G28" s="865"/>
      <c r="H28" s="859"/>
      <c r="I28" s="865"/>
    </row>
    <row r="29" spans="1:9" s="606" customFormat="1" ht="12">
      <c r="A29" s="849"/>
      <c r="B29" s="859" t="s">
        <v>343</v>
      </c>
      <c r="C29" s="859"/>
      <c r="D29" s="859"/>
      <c r="E29" s="856">
        <v>27</v>
      </c>
      <c r="F29" s="860" t="s">
        <v>344</v>
      </c>
      <c r="G29" s="865"/>
      <c r="H29" s="859"/>
      <c r="I29" s="865"/>
    </row>
    <row r="30" spans="1:9" s="606" customFormat="1" ht="12">
      <c r="A30" s="849"/>
      <c r="B30" s="859" t="s">
        <v>345</v>
      </c>
      <c r="C30" s="855"/>
      <c r="D30" s="855"/>
      <c r="E30" s="856">
        <v>28</v>
      </c>
      <c r="F30" s="857" t="s">
        <v>346</v>
      </c>
      <c r="G30" s="865"/>
      <c r="H30" s="859"/>
      <c r="I30" s="865"/>
    </row>
    <row r="31" spans="1:9" s="606" customFormat="1" ht="12">
      <c r="A31" s="849"/>
      <c r="B31" s="859" t="s">
        <v>347</v>
      </c>
      <c r="C31" s="859"/>
      <c r="D31" s="859"/>
      <c r="E31" s="856">
        <v>29</v>
      </c>
      <c r="F31" s="860" t="s">
        <v>348</v>
      </c>
      <c r="G31" s="865"/>
      <c r="H31" s="859"/>
      <c r="I31" s="865"/>
    </row>
    <row r="32" spans="1:9" s="606" customFormat="1" ht="12">
      <c r="A32" s="849"/>
      <c r="B32" s="859" t="s">
        <v>433</v>
      </c>
      <c r="C32" s="859"/>
      <c r="D32" s="859"/>
      <c r="E32" s="856">
        <v>30</v>
      </c>
      <c r="F32" s="860" t="s">
        <v>361</v>
      </c>
      <c r="G32" s="865"/>
      <c r="H32" s="859"/>
      <c r="I32" s="865"/>
    </row>
    <row r="33" spans="1:9" s="606" customFormat="1" ht="12">
      <c r="A33" s="849"/>
      <c r="B33" s="859" t="s">
        <v>349</v>
      </c>
      <c r="C33" s="859"/>
      <c r="D33" s="859"/>
      <c r="E33" s="856">
        <v>31</v>
      </c>
      <c r="F33" s="860" t="s">
        <v>350</v>
      </c>
      <c r="G33" s="865"/>
      <c r="H33" s="859"/>
      <c r="I33" s="865"/>
    </row>
    <row r="34" spans="1:9" s="606" customFormat="1" ht="12">
      <c r="A34" s="849"/>
      <c r="B34" s="859" t="s">
        <v>351</v>
      </c>
      <c r="C34" s="859"/>
      <c r="D34" s="859"/>
      <c r="E34" s="856">
        <v>32</v>
      </c>
      <c r="F34" s="860" t="s">
        <v>352</v>
      </c>
      <c r="G34" s="865"/>
      <c r="H34" s="859"/>
      <c r="I34" s="865"/>
    </row>
    <row r="35" spans="1:9" s="606" customFormat="1" ht="12">
      <c r="A35" s="849"/>
      <c r="B35" s="859" t="s">
        <v>362</v>
      </c>
      <c r="C35" s="859"/>
      <c r="D35" s="859"/>
      <c r="E35" s="856">
        <v>33</v>
      </c>
      <c r="F35" s="860" t="s">
        <v>363</v>
      </c>
      <c r="G35" s="865"/>
      <c r="H35" s="859"/>
      <c r="I35" s="865"/>
    </row>
    <row r="36" spans="1:9" s="606" customFormat="1" ht="12">
      <c r="A36" s="849"/>
      <c r="B36" s="859" t="s">
        <v>353</v>
      </c>
      <c r="C36" s="859"/>
      <c r="D36" s="859"/>
      <c r="E36" s="856">
        <v>34</v>
      </c>
      <c r="F36" s="860">
        <v>2121</v>
      </c>
      <c r="G36" s="865"/>
      <c r="H36" s="859"/>
      <c r="I36" s="865"/>
    </row>
    <row r="37" spans="1:9" s="606" customFormat="1" ht="12">
      <c r="A37" s="849"/>
      <c r="B37" s="859" t="s">
        <v>354</v>
      </c>
      <c r="C37" s="859"/>
      <c r="D37" s="859"/>
      <c r="E37" s="856">
        <v>35</v>
      </c>
      <c r="F37" s="860" t="s">
        <v>373</v>
      </c>
      <c r="G37" s="865"/>
      <c r="H37" s="859"/>
      <c r="I37" s="865"/>
    </row>
    <row r="38" spans="1:9" s="606" customFormat="1" ht="12">
      <c r="A38" s="849"/>
      <c r="B38" s="859" t="s">
        <v>355</v>
      </c>
      <c r="C38" s="859"/>
      <c r="D38" s="859"/>
      <c r="E38" s="856">
        <v>36</v>
      </c>
      <c r="F38" s="860" t="s">
        <v>356</v>
      </c>
      <c r="G38" s="865"/>
      <c r="H38" s="859"/>
      <c r="I38" s="865"/>
    </row>
    <row r="39" spans="1:9" s="606" customFormat="1" ht="12">
      <c r="A39" s="849"/>
      <c r="B39" s="859" t="s">
        <v>364</v>
      </c>
      <c r="C39" s="859"/>
      <c r="D39" s="859"/>
      <c r="E39" s="856">
        <v>37</v>
      </c>
      <c r="F39" s="860" t="s">
        <v>374</v>
      </c>
      <c r="G39" s="865"/>
      <c r="H39" s="859"/>
      <c r="I39" s="865"/>
    </row>
    <row r="40" spans="1:9" s="606" customFormat="1" ht="12">
      <c r="A40" s="849"/>
      <c r="B40" s="859" t="s">
        <v>365</v>
      </c>
      <c r="C40" s="859"/>
      <c r="D40" s="859"/>
      <c r="E40" s="856">
        <v>38</v>
      </c>
      <c r="F40" s="860" t="s">
        <v>366</v>
      </c>
      <c r="G40" s="865"/>
      <c r="H40" s="859"/>
      <c r="I40" s="865"/>
    </row>
    <row r="41" spans="1:9" s="606" customFormat="1" ht="12">
      <c r="A41" s="866"/>
      <c r="B41" s="867" t="s">
        <v>357</v>
      </c>
      <c r="C41" s="867"/>
      <c r="D41" s="867"/>
      <c r="E41" s="868">
        <v>39</v>
      </c>
      <c r="F41" s="869" t="s">
        <v>358</v>
      </c>
      <c r="G41" s="870"/>
      <c r="H41" s="867"/>
      <c r="I41" s="870"/>
    </row>
    <row r="42" spans="1:9" s="606" customFormat="1" ht="12.75" thickBot="1">
      <c r="A42" s="871" t="s">
        <v>367</v>
      </c>
      <c r="B42" s="872"/>
      <c r="C42" s="872"/>
      <c r="D42" s="872"/>
      <c r="E42" s="873">
        <v>40</v>
      </c>
      <c r="F42" s="874"/>
      <c r="G42" s="875"/>
      <c r="H42" s="872"/>
      <c r="I42" s="875"/>
    </row>
    <row r="43" spans="1:9" ht="13.5" thickBot="1">
      <c r="A43" s="861" t="s">
        <v>368</v>
      </c>
      <c r="B43" s="862"/>
      <c r="C43" s="862"/>
      <c r="D43" s="862"/>
      <c r="E43" s="846">
        <v>41</v>
      </c>
      <c r="F43" s="863"/>
      <c r="G43" s="864"/>
      <c r="H43" s="862"/>
      <c r="I43" s="864"/>
    </row>
    <row r="44" spans="1:6" ht="12.75">
      <c r="A44" s="2" t="s">
        <v>369</v>
      </c>
      <c r="B44" s="2"/>
      <c r="C44" s="2"/>
      <c r="D44" s="2"/>
      <c r="E44" s="3"/>
      <c r="F44" s="876" t="s">
        <v>370</v>
      </c>
    </row>
    <row r="45" spans="5:6" s="2" customFormat="1" ht="11.25">
      <c r="E45" s="3"/>
      <c r="F45" s="876"/>
    </row>
    <row r="46" spans="5:6" s="2" customFormat="1" ht="11.25">
      <c r="E46" s="3"/>
      <c r="F46" s="876"/>
    </row>
    <row r="47" spans="5:6" s="2" customFormat="1" ht="11.25">
      <c r="E47" s="3"/>
      <c r="F47" s="876"/>
    </row>
  </sheetData>
  <mergeCells count="1">
    <mergeCell ref="A1:D1"/>
  </mergeCells>
  <printOptions/>
  <pageMargins left="0.73" right="0.31" top="0.48" bottom="0.34" header="0.2" footer="0.26"/>
  <pageSetup horizontalDpi="600" verticalDpi="600" orientation="landscape" paperSize="9" r:id="rId1"/>
  <headerFooter alignWithMargins="0">
    <oddHeader>&amp;R&amp;9Příloha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02"/>
  <sheetViews>
    <sheetView zoomScale="75" zoomScaleNormal="75" workbookViewId="0" topLeftCell="A2">
      <selection activeCell="G36" sqref="G36"/>
    </sheetView>
  </sheetViews>
  <sheetFormatPr defaultColWidth="9.00390625" defaultRowHeight="12.75"/>
  <cols>
    <col min="1" max="1" width="4.875" style="248" customWidth="1"/>
    <col min="2" max="2" width="9.125" style="248" customWidth="1"/>
    <col min="3" max="3" width="79.00390625" style="248" customWidth="1"/>
    <col min="4" max="4" width="14.25390625" style="248" customWidth="1"/>
    <col min="5" max="5" width="14.25390625" style="248" hidden="1" customWidth="1"/>
    <col min="6" max="6" width="12.25390625" style="249" customWidth="1"/>
    <col min="7" max="7" width="12.125" style="249" customWidth="1"/>
    <col min="8" max="8" width="12.375" style="249" customWidth="1"/>
    <col min="9" max="9" width="3.625" style="249" customWidth="1"/>
    <col min="10" max="10" width="13.125" style="249" customWidth="1"/>
    <col min="11" max="11" width="14.625" style="249" customWidth="1"/>
    <col min="12" max="12" width="11.625" style="249" customWidth="1"/>
    <col min="13" max="13" width="9.00390625" style="249" customWidth="1"/>
    <col min="14" max="14" width="10.375" style="249" customWidth="1"/>
    <col min="15" max="15" width="14.125" style="249" customWidth="1"/>
    <col min="16" max="17" width="19.125" style="249" customWidth="1"/>
    <col min="18" max="18" width="15.00390625" style="249" customWidth="1"/>
    <col min="19" max="21" width="9.125" style="249" customWidth="1"/>
    <col min="22" max="16384" width="9.125" style="248" customWidth="1"/>
  </cols>
  <sheetData>
    <row r="1" ht="12.75" customHeight="1" hidden="1">
      <c r="R1" s="249" t="s">
        <v>14</v>
      </c>
    </row>
    <row r="2" spans="2:8" s="396" customFormat="1" ht="18">
      <c r="B2" s="396" t="s">
        <v>132</v>
      </c>
      <c r="E2" s="397"/>
      <c r="F2" s="398"/>
      <c r="G2" s="398"/>
      <c r="H2" s="395"/>
    </row>
    <row r="3" spans="1:17" ht="13.5" customHeight="1" thickBot="1">
      <c r="A3" s="250"/>
      <c r="B3" s="251"/>
      <c r="O3" s="252"/>
      <c r="P3" s="252"/>
      <c r="Q3" s="252"/>
    </row>
    <row r="4" spans="1:18" ht="15">
      <c r="A4" s="253"/>
      <c r="B4" s="254" t="s">
        <v>15</v>
      </c>
      <c r="C4" s="255"/>
      <c r="D4" s="256"/>
      <c r="E4" s="256"/>
      <c r="F4" s="257"/>
      <c r="G4" s="258"/>
      <c r="H4" s="259" t="s">
        <v>17</v>
      </c>
      <c r="I4" s="260"/>
      <c r="K4" s="260"/>
      <c r="L4" s="260"/>
      <c r="M4" s="260"/>
      <c r="N4" s="260"/>
      <c r="O4" s="260"/>
      <c r="P4" s="260"/>
      <c r="Q4" s="252"/>
      <c r="R4" s="262"/>
    </row>
    <row r="5" spans="1:21" s="250" customFormat="1" ht="15.75" thickBot="1">
      <c r="A5" s="263" t="s">
        <v>18</v>
      </c>
      <c r="B5" s="264" t="s">
        <v>19</v>
      </c>
      <c r="C5" s="265" t="s">
        <v>122</v>
      </c>
      <c r="D5" s="265" t="s">
        <v>20</v>
      </c>
      <c r="E5" s="265"/>
      <c r="F5" s="266" t="s">
        <v>16</v>
      </c>
      <c r="G5" s="267" t="s">
        <v>121</v>
      </c>
      <c r="H5" s="268" t="s">
        <v>150</v>
      </c>
      <c r="I5" s="260"/>
      <c r="K5" s="260"/>
      <c r="L5" s="260"/>
      <c r="M5" s="260"/>
      <c r="N5" s="260"/>
      <c r="O5" s="260"/>
      <c r="P5" s="260"/>
      <c r="Q5" s="260"/>
      <c r="R5" s="270"/>
      <c r="S5" s="271"/>
      <c r="T5" s="271"/>
      <c r="U5" s="271"/>
    </row>
    <row r="6" spans="1:21" s="251" customFormat="1" ht="15">
      <c r="A6" s="272">
        <v>1</v>
      </c>
      <c r="B6" s="1267" t="s">
        <v>21</v>
      </c>
      <c r="C6" s="273" t="s">
        <v>89</v>
      </c>
      <c r="D6" s="274" t="s">
        <v>130</v>
      </c>
      <c r="E6" s="275"/>
      <c r="F6" s="373">
        <v>5000000</v>
      </c>
      <c r="G6" s="373">
        <f aca="true" t="shared" si="0" ref="G6:G23">F6</f>
        <v>5000000</v>
      </c>
      <c r="H6" s="374"/>
      <c r="I6" s="276"/>
      <c r="K6" s="278"/>
      <c r="L6" s="278"/>
      <c r="M6" s="276"/>
      <c r="N6" s="276"/>
      <c r="O6" s="279"/>
      <c r="P6" s="280"/>
      <c r="Q6" s="281"/>
      <c r="R6" s="282"/>
      <c r="S6" s="252"/>
      <c r="T6" s="260"/>
      <c r="U6" s="252"/>
    </row>
    <row r="7" spans="1:21" s="251" customFormat="1" ht="15.75" thickBot="1">
      <c r="A7" s="283">
        <v>2</v>
      </c>
      <c r="B7" s="1268"/>
      <c r="C7" s="284" t="s">
        <v>90</v>
      </c>
      <c r="D7" s="285" t="s">
        <v>22</v>
      </c>
      <c r="E7" s="285"/>
      <c r="F7" s="375">
        <v>500000</v>
      </c>
      <c r="G7" s="375">
        <f t="shared" si="0"/>
        <v>500000</v>
      </c>
      <c r="H7" s="376">
        <f>SUM(G6:G7)</f>
        <v>5500000</v>
      </c>
      <c r="I7" s="276"/>
      <c r="K7" s="278"/>
      <c r="L7" s="278"/>
      <c r="M7" s="276"/>
      <c r="N7" s="276"/>
      <c r="O7" s="281"/>
      <c r="P7" s="280"/>
      <c r="Q7" s="281"/>
      <c r="R7" s="282"/>
      <c r="S7" s="252"/>
      <c r="T7" s="260"/>
      <c r="U7" s="252"/>
    </row>
    <row r="8" spans="1:21" s="251" customFormat="1" ht="14.25">
      <c r="A8" s="286">
        <v>3</v>
      </c>
      <c r="B8" s="1267" t="s">
        <v>23</v>
      </c>
      <c r="C8" s="287" t="s">
        <v>91</v>
      </c>
      <c r="D8" s="274" t="s">
        <v>24</v>
      </c>
      <c r="E8" s="275"/>
      <c r="F8" s="373">
        <v>300000</v>
      </c>
      <c r="G8" s="373">
        <f t="shared" si="0"/>
        <v>300000</v>
      </c>
      <c r="H8" s="377"/>
      <c r="I8" s="288"/>
      <c r="K8" s="278"/>
      <c r="L8" s="278"/>
      <c r="M8" s="288"/>
      <c r="N8" s="276"/>
      <c r="O8" s="279"/>
      <c r="P8" s="289"/>
      <c r="Q8" s="279"/>
      <c r="R8" s="282"/>
      <c r="S8" s="252"/>
      <c r="T8" s="252"/>
      <c r="U8" s="252"/>
    </row>
    <row r="9" spans="1:21" s="251" customFormat="1" ht="14.25">
      <c r="A9" s="290">
        <v>4</v>
      </c>
      <c r="B9" s="1268"/>
      <c r="C9" s="285" t="s">
        <v>92</v>
      </c>
      <c r="D9" s="291" t="s">
        <v>25</v>
      </c>
      <c r="E9" s="292"/>
      <c r="F9" s="373">
        <v>100000</v>
      </c>
      <c r="G9" s="373">
        <f t="shared" si="0"/>
        <v>100000</v>
      </c>
      <c r="H9" s="377"/>
      <c r="I9" s="288"/>
      <c r="K9" s="278"/>
      <c r="L9" s="278"/>
      <c r="M9" s="288"/>
      <c r="N9" s="276"/>
      <c r="O9" s="279"/>
      <c r="P9" s="289"/>
      <c r="Q9" s="279"/>
      <c r="R9" s="282"/>
      <c r="S9" s="252"/>
      <c r="T9" s="252"/>
      <c r="U9" s="252"/>
    </row>
    <row r="10" spans="1:21" s="251" customFormat="1" ht="14.25">
      <c r="A10" s="290">
        <v>5</v>
      </c>
      <c r="B10" s="1268"/>
      <c r="C10" s="285" t="s">
        <v>93</v>
      </c>
      <c r="D10" s="291" t="s">
        <v>25</v>
      </c>
      <c r="E10" s="292"/>
      <c r="F10" s="373">
        <v>150000</v>
      </c>
      <c r="G10" s="373">
        <f t="shared" si="0"/>
        <v>150000</v>
      </c>
      <c r="H10" s="377"/>
      <c r="I10" s="288"/>
      <c r="K10" s="278"/>
      <c r="L10" s="278"/>
      <c r="M10" s="288"/>
      <c r="N10" s="276"/>
      <c r="O10" s="279"/>
      <c r="P10" s="289"/>
      <c r="Q10" s="279"/>
      <c r="R10" s="282"/>
      <c r="S10" s="252"/>
      <c r="T10" s="252"/>
      <c r="U10" s="252"/>
    </row>
    <row r="11" spans="1:21" s="251" customFormat="1" ht="14.25">
      <c r="A11" s="290">
        <v>6</v>
      </c>
      <c r="B11" s="1268"/>
      <c r="C11" s="285" t="s">
        <v>94</v>
      </c>
      <c r="D11" s="291" t="s">
        <v>26</v>
      </c>
      <c r="E11" s="292"/>
      <c r="F11" s="373">
        <v>80000</v>
      </c>
      <c r="G11" s="373">
        <f t="shared" si="0"/>
        <v>80000</v>
      </c>
      <c r="H11" s="377"/>
      <c r="I11" s="288"/>
      <c r="J11" s="276"/>
      <c r="K11" s="278"/>
      <c r="L11" s="278"/>
      <c r="M11" s="288"/>
      <c r="N11" s="276"/>
      <c r="O11" s="279"/>
      <c r="P11" s="289"/>
      <c r="Q11" s="279"/>
      <c r="R11" s="282"/>
      <c r="S11" s="252"/>
      <c r="T11" s="252"/>
      <c r="U11" s="252"/>
    </row>
    <row r="12" spans="1:21" s="251" customFormat="1" ht="14.25">
      <c r="A12" s="290">
        <v>7</v>
      </c>
      <c r="B12" s="1268"/>
      <c r="C12" s="285" t="s">
        <v>95</v>
      </c>
      <c r="D12" s="291" t="s">
        <v>26</v>
      </c>
      <c r="E12" s="292"/>
      <c r="F12" s="373">
        <v>80000</v>
      </c>
      <c r="G12" s="373">
        <f t="shared" si="0"/>
        <v>80000</v>
      </c>
      <c r="H12" s="377"/>
      <c r="I12" s="288"/>
      <c r="J12" s="276"/>
      <c r="K12" s="278"/>
      <c r="L12" s="278"/>
      <c r="M12" s="288"/>
      <c r="N12" s="276"/>
      <c r="O12" s="279"/>
      <c r="P12" s="289"/>
      <c r="Q12" s="279"/>
      <c r="R12" s="282"/>
      <c r="S12" s="252"/>
      <c r="T12" s="252"/>
      <c r="U12" s="252"/>
    </row>
    <row r="13" spans="1:21" s="251" customFormat="1" ht="14.25">
      <c r="A13" s="290">
        <v>8</v>
      </c>
      <c r="B13" s="1268"/>
      <c r="C13" s="285" t="s">
        <v>96</v>
      </c>
      <c r="D13" s="291" t="s">
        <v>26</v>
      </c>
      <c r="E13" s="292"/>
      <c r="F13" s="373">
        <v>90000</v>
      </c>
      <c r="G13" s="373">
        <f t="shared" si="0"/>
        <v>90000</v>
      </c>
      <c r="H13" s="377"/>
      <c r="I13" s="288"/>
      <c r="J13" s="276"/>
      <c r="K13" s="278"/>
      <c r="L13" s="278"/>
      <c r="M13" s="288"/>
      <c r="N13" s="276"/>
      <c r="O13" s="279"/>
      <c r="P13" s="289"/>
      <c r="Q13" s="279"/>
      <c r="R13" s="282"/>
      <c r="S13" s="252"/>
      <c r="T13" s="252"/>
      <c r="U13" s="252"/>
    </row>
    <row r="14" spans="1:21" s="251" customFormat="1" ht="14.25">
      <c r="A14" s="290">
        <v>9</v>
      </c>
      <c r="B14" s="1268"/>
      <c r="C14" s="285" t="s">
        <v>127</v>
      </c>
      <c r="D14" s="291" t="s">
        <v>26</v>
      </c>
      <c r="E14" s="292"/>
      <c r="F14" s="373">
        <v>350000</v>
      </c>
      <c r="G14" s="373">
        <v>0</v>
      </c>
      <c r="H14" s="377"/>
      <c r="I14" s="288"/>
      <c r="J14" s="276"/>
      <c r="K14" s="278"/>
      <c r="L14" s="278"/>
      <c r="M14" s="288"/>
      <c r="N14" s="276"/>
      <c r="O14" s="279"/>
      <c r="P14" s="289"/>
      <c r="Q14" s="279"/>
      <c r="R14" s="282"/>
      <c r="S14" s="252"/>
      <c r="T14" s="252"/>
      <c r="U14" s="252"/>
    </row>
    <row r="15" spans="1:21" s="251" customFormat="1" ht="15" thickBot="1">
      <c r="A15" s="290">
        <v>10</v>
      </c>
      <c r="B15" s="1268"/>
      <c r="C15" s="285" t="s">
        <v>97</v>
      </c>
      <c r="D15" s="291" t="s">
        <v>98</v>
      </c>
      <c r="E15" s="292"/>
      <c r="F15" s="375">
        <v>200000</v>
      </c>
      <c r="G15" s="375">
        <f t="shared" si="0"/>
        <v>200000</v>
      </c>
      <c r="H15" s="376">
        <f>SUM(G8:G15)</f>
        <v>1000000</v>
      </c>
      <c r="I15" s="288"/>
      <c r="K15" s="261"/>
      <c r="L15" s="278"/>
      <c r="M15" s="288"/>
      <c r="N15" s="276"/>
      <c r="O15" s="279"/>
      <c r="P15" s="289"/>
      <c r="Q15" s="279"/>
      <c r="R15" s="282"/>
      <c r="S15" s="252"/>
      <c r="T15" s="252"/>
      <c r="U15" s="252"/>
    </row>
    <row r="16" spans="1:18" ht="14.25" customHeight="1">
      <c r="A16" s="272">
        <v>11</v>
      </c>
      <c r="B16" s="1267" t="s">
        <v>27</v>
      </c>
      <c r="C16" s="287" t="s">
        <v>29</v>
      </c>
      <c r="D16" s="293" t="s">
        <v>28</v>
      </c>
      <c r="E16" s="294"/>
      <c r="F16" s="373">
        <v>3500000</v>
      </c>
      <c r="G16" s="373">
        <f t="shared" si="0"/>
        <v>3500000</v>
      </c>
      <c r="H16" s="378"/>
      <c r="I16" s="295"/>
      <c r="K16" s="269"/>
      <c r="L16" s="278"/>
      <c r="M16" s="288"/>
      <c r="N16" s="288"/>
      <c r="O16" s="279"/>
      <c r="P16" s="296"/>
      <c r="Q16" s="297"/>
      <c r="R16" s="288"/>
    </row>
    <row r="17" spans="1:18" ht="17.25" customHeight="1">
      <c r="A17" s="283">
        <v>12</v>
      </c>
      <c r="B17" s="1268"/>
      <c r="C17" s="298" t="s">
        <v>101</v>
      </c>
      <c r="D17" s="284" t="s">
        <v>28</v>
      </c>
      <c r="E17" s="299"/>
      <c r="F17" s="379">
        <v>2000000</v>
      </c>
      <c r="G17" s="379">
        <f t="shared" si="0"/>
        <v>2000000</v>
      </c>
      <c r="H17" s="378"/>
      <c r="I17" s="252"/>
      <c r="K17" s="300"/>
      <c r="L17" s="278"/>
      <c r="M17" s="288"/>
      <c r="N17" s="288"/>
      <c r="O17" s="279"/>
      <c r="P17" s="296"/>
      <c r="Q17" s="297"/>
      <c r="R17" s="288"/>
    </row>
    <row r="18" spans="1:18" ht="15" thickBot="1">
      <c r="A18" s="301">
        <v>13</v>
      </c>
      <c r="B18" s="1268"/>
      <c r="C18" s="302" t="s">
        <v>102</v>
      </c>
      <c r="D18" s="302" t="s">
        <v>28</v>
      </c>
      <c r="E18" s="303"/>
      <c r="F18" s="375">
        <v>250000</v>
      </c>
      <c r="G18" s="380">
        <v>0</v>
      </c>
      <c r="H18" s="381">
        <f>SUM(G16:G18)</f>
        <v>5500000</v>
      </c>
      <c r="I18" s="252"/>
      <c r="K18" s="300"/>
      <c r="L18" s="278"/>
      <c r="M18" s="288"/>
      <c r="N18" s="288"/>
      <c r="O18" s="279"/>
      <c r="P18" s="296"/>
      <c r="Q18" s="297"/>
      <c r="R18" s="288"/>
    </row>
    <row r="19" spans="1:18" ht="14.25" customHeight="1">
      <c r="A19" s="272">
        <v>14</v>
      </c>
      <c r="B19" s="1267" t="s">
        <v>30</v>
      </c>
      <c r="C19" s="304" t="s">
        <v>104</v>
      </c>
      <c r="D19" s="304" t="s">
        <v>33</v>
      </c>
      <c r="E19" s="305"/>
      <c r="F19" s="373">
        <v>145000</v>
      </c>
      <c r="G19" s="373">
        <f t="shared" si="0"/>
        <v>145000</v>
      </c>
      <c r="H19" s="416"/>
      <c r="I19" s="252"/>
      <c r="K19" s="300"/>
      <c r="L19" s="278"/>
      <c r="M19" s="288"/>
      <c r="N19" s="288"/>
      <c r="O19" s="297"/>
      <c r="P19" s="296"/>
      <c r="Q19" s="297"/>
      <c r="R19" s="288"/>
    </row>
    <row r="20" spans="1:18" ht="33.75" customHeight="1">
      <c r="A20" s="283">
        <v>15</v>
      </c>
      <c r="B20" s="1268"/>
      <c r="C20" s="306" t="s">
        <v>105</v>
      </c>
      <c r="D20" s="307" t="s">
        <v>44</v>
      </c>
      <c r="E20" s="308"/>
      <c r="F20" s="379">
        <v>650000</v>
      </c>
      <c r="G20" s="379">
        <f t="shared" si="0"/>
        <v>650000</v>
      </c>
      <c r="H20" s="417"/>
      <c r="I20" s="288"/>
      <c r="K20" s="261"/>
      <c r="L20" s="278"/>
      <c r="M20" s="288"/>
      <c r="N20" s="288"/>
      <c r="O20" s="297"/>
      <c r="P20" s="296"/>
      <c r="Q20" s="297"/>
      <c r="R20" s="288"/>
    </row>
    <row r="21" spans="1:18" ht="14.25">
      <c r="A21" s="283">
        <v>16</v>
      </c>
      <c r="B21" s="1268"/>
      <c r="C21" s="306" t="s">
        <v>106</v>
      </c>
      <c r="D21" s="307" t="s">
        <v>44</v>
      </c>
      <c r="E21" s="309"/>
      <c r="F21" s="379">
        <v>125000</v>
      </c>
      <c r="G21" s="382">
        <f t="shared" si="0"/>
        <v>125000</v>
      </c>
      <c r="H21" s="417"/>
      <c r="I21" s="288"/>
      <c r="K21" s="300"/>
      <c r="L21" s="278"/>
      <c r="M21" s="288"/>
      <c r="N21" s="288"/>
      <c r="O21" s="297"/>
      <c r="P21" s="296"/>
      <c r="Q21" s="297"/>
      <c r="R21" s="288"/>
    </row>
    <row r="22" spans="1:18" ht="14.25">
      <c r="A22" s="310">
        <v>17</v>
      </c>
      <c r="B22" s="1268"/>
      <c r="C22" s="306" t="s">
        <v>107</v>
      </c>
      <c r="D22" s="307" t="s">
        <v>33</v>
      </c>
      <c r="E22" s="311"/>
      <c r="F22" s="379">
        <v>570000</v>
      </c>
      <c r="G22" s="382">
        <f t="shared" si="0"/>
        <v>570000</v>
      </c>
      <c r="H22" s="417"/>
      <c r="I22" s="288"/>
      <c r="J22" s="261"/>
      <c r="K22" s="300"/>
      <c r="L22" s="278"/>
      <c r="M22" s="288"/>
      <c r="N22" s="288"/>
      <c r="O22" s="297"/>
      <c r="P22" s="296"/>
      <c r="Q22" s="297"/>
      <c r="R22" s="288"/>
    </row>
    <row r="23" spans="1:18" ht="14.25">
      <c r="A23" s="310">
        <v>18</v>
      </c>
      <c r="B23" s="1268"/>
      <c r="C23" s="306" t="s">
        <v>108</v>
      </c>
      <c r="D23" s="307" t="s">
        <v>33</v>
      </c>
      <c r="E23" s="311"/>
      <c r="F23" s="379">
        <v>300000</v>
      </c>
      <c r="G23" s="382">
        <f t="shared" si="0"/>
        <v>300000</v>
      </c>
      <c r="H23" s="417"/>
      <c r="I23" s="288"/>
      <c r="J23" s="288"/>
      <c r="K23" s="300"/>
      <c r="L23" s="278"/>
      <c r="M23" s="288"/>
      <c r="N23" s="288"/>
      <c r="O23" s="297"/>
      <c r="P23" s="296"/>
      <c r="Q23" s="297"/>
      <c r="R23" s="288"/>
    </row>
    <row r="24" spans="1:18" ht="15" customHeight="1">
      <c r="A24" s="310">
        <v>19</v>
      </c>
      <c r="B24" s="1268"/>
      <c r="C24" s="306" t="s">
        <v>109</v>
      </c>
      <c r="D24" s="307" t="s">
        <v>31</v>
      </c>
      <c r="E24" s="311"/>
      <c r="F24" s="379">
        <v>950000</v>
      </c>
      <c r="G24" s="382">
        <v>0</v>
      </c>
      <c r="H24" s="417"/>
      <c r="I24" s="288"/>
      <c r="J24" s="288"/>
      <c r="K24" s="300"/>
      <c r="L24" s="278"/>
      <c r="M24" s="288"/>
      <c r="N24" s="288"/>
      <c r="O24" s="297"/>
      <c r="P24" s="296"/>
      <c r="Q24" s="297"/>
      <c r="R24" s="288"/>
    </row>
    <row r="25" spans="1:18" ht="15.75" customHeight="1" thickBot="1">
      <c r="A25" s="310">
        <v>20</v>
      </c>
      <c r="B25" s="1269"/>
      <c r="C25" s="312" t="s">
        <v>110</v>
      </c>
      <c r="D25" s="313" t="s">
        <v>31</v>
      </c>
      <c r="E25" s="311"/>
      <c r="F25" s="383">
        <v>1500000</v>
      </c>
      <c r="G25" s="383">
        <v>0</v>
      </c>
      <c r="H25" s="418">
        <f>SUM(G19:G25)</f>
        <v>1790000</v>
      </c>
      <c r="I25" s="288"/>
      <c r="J25" s="288"/>
      <c r="K25" s="300"/>
      <c r="L25" s="278"/>
      <c r="M25" s="288"/>
      <c r="N25" s="288"/>
      <c r="O25" s="297"/>
      <c r="P25" s="296"/>
      <c r="Q25" s="297"/>
      <c r="R25" s="288"/>
    </row>
    <row r="26" spans="1:18" ht="14.25">
      <c r="A26" s="272">
        <v>21</v>
      </c>
      <c r="B26" s="1267" t="s">
        <v>34</v>
      </c>
      <c r="C26" s="314" t="s">
        <v>111</v>
      </c>
      <c r="D26" s="293" t="s">
        <v>112</v>
      </c>
      <c r="E26" s="294"/>
      <c r="F26" s="373">
        <v>350000</v>
      </c>
      <c r="G26" s="373">
        <f aca="true" t="shared" si="1" ref="G26:G33">F26</f>
        <v>350000</v>
      </c>
      <c r="H26" s="378"/>
      <c r="I26" s="288"/>
      <c r="J26" s="288"/>
      <c r="K26" s="300"/>
      <c r="L26" s="278"/>
      <c r="M26" s="288"/>
      <c r="N26" s="288"/>
      <c r="O26" s="279"/>
      <c r="P26" s="296"/>
      <c r="Q26" s="297"/>
      <c r="R26" s="288"/>
    </row>
    <row r="27" spans="1:18" ht="14.25">
      <c r="A27" s="310">
        <v>22</v>
      </c>
      <c r="B27" s="1268"/>
      <c r="C27" s="315" t="s">
        <v>113</v>
      </c>
      <c r="D27" s="316" t="s">
        <v>35</v>
      </c>
      <c r="E27" s="317"/>
      <c r="F27" s="373">
        <v>50000</v>
      </c>
      <c r="G27" s="373">
        <f t="shared" si="1"/>
        <v>50000</v>
      </c>
      <c r="H27" s="378"/>
      <c r="I27" s="288"/>
      <c r="J27" s="288"/>
      <c r="K27" s="300"/>
      <c r="L27" s="278"/>
      <c r="M27" s="288"/>
      <c r="N27" s="288"/>
      <c r="O27" s="279"/>
      <c r="P27" s="296"/>
      <c r="Q27" s="297"/>
      <c r="R27" s="288"/>
    </row>
    <row r="28" spans="1:18" ht="14.25">
      <c r="A28" s="310">
        <v>23</v>
      </c>
      <c r="B28" s="1268"/>
      <c r="C28" s="315" t="s">
        <v>114</v>
      </c>
      <c r="D28" s="316" t="s">
        <v>115</v>
      </c>
      <c r="E28" s="317"/>
      <c r="F28" s="373">
        <v>220000</v>
      </c>
      <c r="G28" s="373">
        <f t="shared" si="1"/>
        <v>220000</v>
      </c>
      <c r="H28" s="378"/>
      <c r="I28" s="288"/>
      <c r="J28" s="288"/>
      <c r="K28" s="300"/>
      <c r="L28" s="278"/>
      <c r="M28" s="288"/>
      <c r="N28" s="288"/>
      <c r="O28" s="279"/>
      <c r="P28" s="296"/>
      <c r="Q28" s="297"/>
      <c r="R28" s="288"/>
    </row>
    <row r="29" spans="1:18" ht="14.25">
      <c r="A29" s="310">
        <v>24</v>
      </c>
      <c r="B29" s="1268"/>
      <c r="C29" s="315" t="s">
        <v>116</v>
      </c>
      <c r="D29" s="316" t="s">
        <v>115</v>
      </c>
      <c r="E29" s="317"/>
      <c r="F29" s="373">
        <v>380000</v>
      </c>
      <c r="G29" s="373">
        <f t="shared" si="1"/>
        <v>380000</v>
      </c>
      <c r="H29" s="378"/>
      <c r="I29" s="288"/>
      <c r="J29" s="288"/>
      <c r="K29" s="300"/>
      <c r="L29" s="278"/>
      <c r="M29" s="288"/>
      <c r="N29" s="288"/>
      <c r="O29" s="279"/>
      <c r="P29" s="296"/>
      <c r="Q29" s="297"/>
      <c r="R29" s="288"/>
    </row>
    <row r="30" spans="1:18" ht="15" thickBot="1">
      <c r="A30" s="310">
        <v>25</v>
      </c>
      <c r="B30" s="1268"/>
      <c r="C30" s="318" t="s">
        <v>117</v>
      </c>
      <c r="D30" s="316" t="s">
        <v>115</v>
      </c>
      <c r="E30" s="317"/>
      <c r="F30" s="373">
        <v>300000</v>
      </c>
      <c r="G30" s="373">
        <f t="shared" si="1"/>
        <v>300000</v>
      </c>
      <c r="H30" s="381">
        <f>SUM(G26:G30)</f>
        <v>1300000</v>
      </c>
      <c r="I30" s="288"/>
      <c r="J30" s="288"/>
      <c r="K30" s="300"/>
      <c r="L30" s="278"/>
      <c r="M30" s="288"/>
      <c r="N30" s="288"/>
      <c r="O30" s="279"/>
      <c r="P30" s="296"/>
      <c r="Q30" s="297"/>
      <c r="R30" s="288"/>
    </row>
    <row r="31" spans="1:18" ht="15.75" thickBot="1">
      <c r="A31" s="272">
        <v>26</v>
      </c>
      <c r="B31" s="319" t="s">
        <v>41</v>
      </c>
      <c r="C31" s="320" t="s">
        <v>118</v>
      </c>
      <c r="D31" s="321" t="s">
        <v>28</v>
      </c>
      <c r="E31" s="322"/>
      <c r="F31" s="384">
        <v>200000</v>
      </c>
      <c r="G31" s="384">
        <f t="shared" si="1"/>
        <v>200000</v>
      </c>
      <c r="H31" s="378">
        <f>F31</f>
        <v>200000</v>
      </c>
      <c r="I31" s="288"/>
      <c r="J31" s="288"/>
      <c r="K31" s="300"/>
      <c r="L31" s="278"/>
      <c r="M31" s="288"/>
      <c r="N31" s="288"/>
      <c r="O31" s="279"/>
      <c r="P31" s="296"/>
      <c r="Q31" s="297"/>
      <c r="R31" s="288"/>
    </row>
    <row r="32" spans="1:18" ht="14.25" customHeight="1" thickBot="1">
      <c r="A32" s="272">
        <v>27</v>
      </c>
      <c r="B32" s="323" t="s">
        <v>138</v>
      </c>
      <c r="C32" s="320" t="s">
        <v>119</v>
      </c>
      <c r="D32" s="321" t="s">
        <v>43</v>
      </c>
      <c r="E32" s="322"/>
      <c r="F32" s="384">
        <v>100000</v>
      </c>
      <c r="G32" s="385">
        <f t="shared" si="1"/>
        <v>100000</v>
      </c>
      <c r="H32" s="386">
        <f>F32</f>
        <v>100000</v>
      </c>
      <c r="I32" s="288"/>
      <c r="J32" s="288"/>
      <c r="K32" s="300"/>
      <c r="L32" s="278"/>
      <c r="M32" s="288"/>
      <c r="N32" s="288"/>
      <c r="O32" s="279"/>
      <c r="P32" s="296"/>
      <c r="Q32" s="297"/>
      <c r="R32" s="288"/>
    </row>
    <row r="33" spans="1:18" ht="14.25" customHeight="1" thickBot="1">
      <c r="A33" s="324">
        <v>28</v>
      </c>
      <c r="B33" s="323" t="s">
        <v>39</v>
      </c>
      <c r="C33" s="325" t="s">
        <v>120</v>
      </c>
      <c r="D33" s="326" t="s">
        <v>40</v>
      </c>
      <c r="E33" s="327"/>
      <c r="F33" s="387">
        <v>1300000</v>
      </c>
      <c r="G33" s="387">
        <f t="shared" si="1"/>
        <v>1300000</v>
      </c>
      <c r="H33" s="388">
        <f>F33</f>
        <v>1300000</v>
      </c>
      <c r="I33" s="288"/>
      <c r="J33" s="288"/>
      <c r="K33" s="300"/>
      <c r="L33" s="278"/>
      <c r="M33" s="288"/>
      <c r="N33" s="288"/>
      <c r="O33" s="279"/>
      <c r="P33" s="296"/>
      <c r="Q33" s="297"/>
      <c r="R33" s="288"/>
    </row>
    <row r="34" spans="1:18" ht="15">
      <c r="A34" s="328"/>
      <c r="B34" s="329"/>
      <c r="C34" s="330" t="s">
        <v>36</v>
      </c>
      <c r="D34" s="331"/>
      <c r="E34" s="332"/>
      <c r="F34" s="389">
        <f>SUM(F6:F33)</f>
        <v>19740000</v>
      </c>
      <c r="G34" s="389">
        <f>SUM(G6:G33)</f>
        <v>16690000</v>
      </c>
      <c r="H34" s="390">
        <f>SUM(H6:H33)</f>
        <v>16690000</v>
      </c>
      <c r="I34" s="333"/>
      <c r="J34" s="333"/>
      <c r="K34" s="334"/>
      <c r="L34" s="278"/>
      <c r="M34" s="335"/>
      <c r="N34" s="278"/>
      <c r="O34" s="336"/>
      <c r="P34" s="289"/>
      <c r="Q34" s="279"/>
      <c r="R34" s="282"/>
    </row>
    <row r="35" spans="1:18" ht="15">
      <c r="A35" s="337"/>
      <c r="B35" s="338"/>
      <c r="C35" s="339" t="s">
        <v>37</v>
      </c>
      <c r="D35" s="340"/>
      <c r="E35" s="340"/>
      <c r="F35" s="391">
        <v>500000</v>
      </c>
      <c r="G35" s="391">
        <v>850000</v>
      </c>
      <c r="H35" s="392"/>
      <c r="I35" s="333"/>
      <c r="J35" s="333"/>
      <c r="K35" s="334"/>
      <c r="L35" s="278"/>
      <c r="M35" s="335"/>
      <c r="N35" s="278"/>
      <c r="O35" s="336"/>
      <c r="P35" s="289"/>
      <c r="Q35" s="279"/>
      <c r="R35" s="282"/>
    </row>
    <row r="36" spans="1:18" ht="15.75" thickBot="1">
      <c r="A36" s="341"/>
      <c r="B36" s="342"/>
      <c r="C36" s="343" t="s">
        <v>150</v>
      </c>
      <c r="D36" s="344"/>
      <c r="E36" s="344"/>
      <c r="F36" s="393">
        <f>F34+F35</f>
        <v>20240000</v>
      </c>
      <c r="G36" s="393">
        <f>G34+G35</f>
        <v>17540000</v>
      </c>
      <c r="H36" s="394"/>
      <c r="I36" s="333"/>
      <c r="J36" s="333"/>
      <c r="K36" s="334"/>
      <c r="L36" s="278"/>
      <c r="M36" s="335"/>
      <c r="N36" s="278"/>
      <c r="O36" s="336"/>
      <c r="P36" s="289"/>
      <c r="Q36" s="279"/>
      <c r="R36" s="282"/>
    </row>
    <row r="37" spans="1:21" s="347" customFormat="1" ht="15">
      <c r="A37" s="251"/>
      <c r="B37" s="248"/>
      <c r="C37" s="248"/>
      <c r="D37" s="248"/>
      <c r="E37" s="345"/>
      <c r="F37" s="346"/>
      <c r="G37" s="346"/>
      <c r="H37" s="334"/>
      <c r="I37" s="333"/>
      <c r="J37" s="333"/>
      <c r="K37" s="334"/>
      <c r="L37" s="278"/>
      <c r="M37" s="335"/>
      <c r="N37" s="278"/>
      <c r="O37" s="336"/>
      <c r="P37" s="289"/>
      <c r="Q37" s="279"/>
      <c r="R37" s="282"/>
      <c r="S37" s="249"/>
      <c r="T37" s="249"/>
      <c r="U37" s="249"/>
    </row>
    <row r="38" spans="1:21" s="347" customFormat="1" ht="15">
      <c r="A38" s="261" t="s">
        <v>99</v>
      </c>
      <c r="B38" s="348"/>
      <c r="C38" s="248"/>
      <c r="D38" s="251"/>
      <c r="E38" s="345"/>
      <c r="F38" s="346"/>
      <c r="G38" s="346"/>
      <c r="H38" s="334"/>
      <c r="I38" s="333"/>
      <c r="J38" s="333"/>
      <c r="K38" s="334"/>
      <c r="L38" s="278"/>
      <c r="M38" s="335"/>
      <c r="N38" s="278"/>
      <c r="O38" s="336"/>
      <c r="P38" s="289"/>
      <c r="Q38" s="279"/>
      <c r="R38" s="282"/>
      <c r="S38" s="249"/>
      <c r="T38" s="249"/>
      <c r="U38" s="249"/>
    </row>
    <row r="39" spans="1:18" ht="14.25">
      <c r="A39" s="269" t="s">
        <v>100</v>
      </c>
      <c r="B39" s="348"/>
      <c r="D39" s="252"/>
      <c r="H39" s="333"/>
      <c r="I39" s="333"/>
      <c r="J39" s="333"/>
      <c r="K39" s="333"/>
      <c r="L39" s="333"/>
      <c r="M39" s="278"/>
      <c r="N39" s="278"/>
      <c r="O39" s="289"/>
      <c r="P39" s="289"/>
      <c r="Q39" s="279"/>
      <c r="R39" s="282"/>
    </row>
    <row r="40" spans="1:18" ht="14.25">
      <c r="A40" s="277" t="s">
        <v>131</v>
      </c>
      <c r="B40" s="348"/>
      <c r="D40" s="252"/>
      <c r="F40" s="350"/>
      <c r="G40" s="350"/>
      <c r="H40" s="333"/>
      <c r="I40" s="333"/>
      <c r="J40" s="333"/>
      <c r="K40" s="333"/>
      <c r="L40" s="333"/>
      <c r="M40" s="278"/>
      <c r="N40" s="278"/>
      <c r="O40" s="269"/>
      <c r="P40" s="252"/>
      <c r="Q40" s="297"/>
      <c r="R40" s="282"/>
    </row>
    <row r="41" spans="1:18" ht="14.25">
      <c r="A41" s="277" t="s">
        <v>103</v>
      </c>
      <c r="B41" s="348"/>
      <c r="D41" s="252"/>
      <c r="F41" s="252"/>
      <c r="G41" s="252"/>
      <c r="H41" s="333"/>
      <c r="I41" s="333"/>
      <c r="J41" s="333"/>
      <c r="K41" s="333"/>
      <c r="L41" s="333"/>
      <c r="M41" s="278"/>
      <c r="N41" s="278"/>
      <c r="O41" s="289"/>
      <c r="P41" s="289"/>
      <c r="Q41" s="279"/>
      <c r="R41" s="351"/>
    </row>
    <row r="42" spans="1:18" ht="14.25">
      <c r="A42" s="277" t="s">
        <v>45</v>
      </c>
      <c r="B42" s="348"/>
      <c r="D42" s="352"/>
      <c r="E42" s="352"/>
      <c r="F42" s="252"/>
      <c r="G42" s="252"/>
      <c r="H42" s="353"/>
      <c r="I42" s="333"/>
      <c r="J42" s="333"/>
      <c r="K42" s="333"/>
      <c r="L42" s="333"/>
      <c r="M42" s="278"/>
      <c r="N42" s="278"/>
      <c r="O42" s="289"/>
      <c r="P42" s="289"/>
      <c r="Q42" s="279"/>
      <c r="R42" s="282"/>
    </row>
    <row r="43" spans="1:18" ht="14.25">
      <c r="A43" s="261" t="s">
        <v>46</v>
      </c>
      <c r="B43" s="348"/>
      <c r="D43" s="354"/>
      <c r="E43" s="354"/>
      <c r="F43" s="252"/>
      <c r="G43" s="252"/>
      <c r="H43" s="333"/>
      <c r="I43" s="333"/>
      <c r="J43" s="333"/>
      <c r="K43" s="252"/>
      <c r="L43" s="252"/>
      <c r="M43" s="278"/>
      <c r="N43" s="278"/>
      <c r="O43" s="289"/>
      <c r="P43" s="289"/>
      <c r="Q43" s="279"/>
      <c r="R43" s="282"/>
    </row>
    <row r="44" spans="1:18" ht="15">
      <c r="A44" s="261" t="s">
        <v>32</v>
      </c>
      <c r="B44" s="348"/>
      <c r="C44" s="251"/>
      <c r="D44" s="354"/>
      <c r="E44" s="354"/>
      <c r="F44" s="252"/>
      <c r="G44" s="252"/>
      <c r="H44" s="333"/>
      <c r="J44" s="252"/>
      <c r="K44" s="355"/>
      <c r="L44" s="356"/>
      <c r="M44" s="278"/>
      <c r="N44" s="278"/>
      <c r="O44" s="280"/>
      <c r="P44" s="280"/>
      <c r="Q44" s="281"/>
      <c r="R44" s="351"/>
    </row>
    <row r="45" spans="1:18" ht="14.25">
      <c r="A45" s="252"/>
      <c r="B45" s="348"/>
      <c r="C45" s="252"/>
      <c r="H45" s="333"/>
      <c r="I45" s="333"/>
      <c r="J45" s="252"/>
      <c r="K45" s="252"/>
      <c r="L45" s="252"/>
      <c r="M45" s="278"/>
      <c r="N45" s="278"/>
      <c r="O45" s="280"/>
      <c r="P45" s="280"/>
      <c r="Q45" s="281"/>
      <c r="R45" s="351"/>
    </row>
    <row r="46" spans="3:18" ht="14.25">
      <c r="C46" s="252"/>
      <c r="H46" s="333"/>
      <c r="I46" s="333"/>
      <c r="J46" s="252"/>
      <c r="K46" s="252"/>
      <c r="L46" s="333"/>
      <c r="M46" s="278"/>
      <c r="N46" s="278"/>
      <c r="O46" s="289"/>
      <c r="P46" s="289"/>
      <c r="Q46" s="279"/>
      <c r="R46" s="351"/>
    </row>
    <row r="47" spans="1:18" ht="12.75" customHeight="1" hidden="1">
      <c r="A47" s="252"/>
      <c r="B47" s="348"/>
      <c r="C47" s="248" t="s">
        <v>32</v>
      </c>
      <c r="D47" s="354">
        <f>D42-D43</f>
        <v>0</v>
      </c>
      <c r="E47" s="354"/>
      <c r="H47" s="333"/>
      <c r="I47" s="333"/>
      <c r="J47" s="333"/>
      <c r="K47" s="333"/>
      <c r="L47" s="333"/>
      <c r="M47" s="278"/>
      <c r="N47" s="278"/>
      <c r="O47" s="289"/>
      <c r="P47" s="289"/>
      <c r="Q47" s="279"/>
      <c r="R47" s="351"/>
    </row>
    <row r="48" spans="1:18" ht="12.75" customHeight="1">
      <c r="A48" s="252"/>
      <c r="B48" s="348"/>
      <c r="H48" s="333"/>
      <c r="I48" s="333"/>
      <c r="J48" s="333"/>
      <c r="K48" s="333"/>
      <c r="L48" s="333"/>
      <c r="M48" s="278"/>
      <c r="N48" s="278"/>
      <c r="O48" s="289"/>
      <c r="P48" s="289"/>
      <c r="Q48" s="279"/>
      <c r="R48" s="351"/>
    </row>
    <row r="49" spans="1:18" ht="14.25">
      <c r="A49" s="252"/>
      <c r="B49" s="348"/>
      <c r="H49" s="333"/>
      <c r="I49" s="333"/>
      <c r="J49" s="252"/>
      <c r="K49" s="252"/>
      <c r="L49" s="333"/>
      <c r="M49" s="278"/>
      <c r="N49" s="278"/>
      <c r="O49" s="289"/>
      <c r="P49" s="289"/>
      <c r="Q49" s="279"/>
      <c r="R49" s="351"/>
    </row>
    <row r="50" spans="1:18" ht="14.25">
      <c r="A50" s="252"/>
      <c r="B50" s="348"/>
      <c r="H50" s="333"/>
      <c r="I50" s="333"/>
      <c r="J50" s="333"/>
      <c r="K50" s="333"/>
      <c r="L50" s="333"/>
      <c r="M50" s="278"/>
      <c r="N50" s="278"/>
      <c r="O50" s="289"/>
      <c r="P50" s="289"/>
      <c r="Q50" s="279"/>
      <c r="R50" s="351"/>
    </row>
    <row r="51" spans="1:18" ht="15">
      <c r="A51" s="252"/>
      <c r="B51" s="357"/>
      <c r="C51" s="251"/>
      <c r="H51" s="358"/>
      <c r="I51" s="358"/>
      <c r="J51" s="333"/>
      <c r="K51" s="333"/>
      <c r="L51" s="333"/>
      <c r="M51" s="278"/>
      <c r="N51" s="278"/>
      <c r="O51" s="289"/>
      <c r="P51" s="289"/>
      <c r="Q51" s="279"/>
      <c r="R51" s="351"/>
    </row>
    <row r="52" spans="1:18" ht="14.25">
      <c r="A52" s="252"/>
      <c r="B52" s="348"/>
      <c r="H52" s="333"/>
      <c r="I52" s="333"/>
      <c r="J52" s="333"/>
      <c r="K52" s="333"/>
      <c r="L52" s="333"/>
      <c r="M52" s="278"/>
      <c r="N52" s="278"/>
      <c r="O52" s="289"/>
      <c r="P52" s="289"/>
      <c r="Q52" s="279"/>
      <c r="R52" s="351"/>
    </row>
    <row r="53" spans="1:18" ht="14.25">
      <c r="A53" s="252"/>
      <c r="B53" s="348"/>
      <c r="C53" s="251"/>
      <c r="H53" s="333"/>
      <c r="I53" s="333"/>
      <c r="J53" s="333"/>
      <c r="K53" s="333"/>
      <c r="L53" s="333"/>
      <c r="M53" s="278"/>
      <c r="N53" s="278"/>
      <c r="O53" s="289"/>
      <c r="P53" s="289"/>
      <c r="Q53" s="279"/>
      <c r="R53" s="351"/>
    </row>
    <row r="54" spans="1:18" ht="14.25">
      <c r="A54" s="252"/>
      <c r="B54" s="348"/>
      <c r="H54" s="333"/>
      <c r="I54" s="333"/>
      <c r="J54" s="333"/>
      <c r="K54" s="333"/>
      <c r="L54" s="333"/>
      <c r="M54" s="278"/>
      <c r="N54" s="278"/>
      <c r="O54" s="289"/>
      <c r="P54" s="289"/>
      <c r="Q54" s="279"/>
      <c r="R54" s="351"/>
    </row>
    <row r="55" spans="1:18" ht="14.25">
      <c r="A55" s="252"/>
      <c r="B55" s="348"/>
      <c r="H55" s="333"/>
      <c r="I55" s="333"/>
      <c r="J55" s="333"/>
      <c r="K55" s="333"/>
      <c r="L55" s="333"/>
      <c r="M55" s="278"/>
      <c r="N55" s="278"/>
      <c r="O55" s="289"/>
      <c r="P55" s="289"/>
      <c r="Q55" s="279"/>
      <c r="R55" s="351"/>
    </row>
    <row r="56" spans="1:18" ht="14.25">
      <c r="A56" s="252"/>
      <c r="B56" s="348"/>
      <c r="F56" s="252"/>
      <c r="G56" s="252"/>
      <c r="H56" s="333"/>
      <c r="I56" s="333"/>
      <c r="J56" s="333"/>
      <c r="K56" s="333"/>
      <c r="L56" s="333"/>
      <c r="M56" s="278"/>
      <c r="N56" s="278"/>
      <c r="O56" s="289"/>
      <c r="P56" s="289"/>
      <c r="Q56" s="279"/>
      <c r="R56" s="351"/>
    </row>
    <row r="57" spans="1:19" ht="14.25">
      <c r="A57" s="252"/>
      <c r="B57" s="348"/>
      <c r="F57" s="252"/>
      <c r="G57" s="252"/>
      <c r="H57" s="333"/>
      <c r="I57" s="333"/>
      <c r="J57" s="359"/>
      <c r="K57" s="359"/>
      <c r="L57" s="359"/>
      <c r="M57" s="278"/>
      <c r="N57" s="278"/>
      <c r="O57" s="289"/>
      <c r="P57" s="289"/>
      <c r="Q57" s="279"/>
      <c r="R57" s="351"/>
      <c r="S57" s="249" t="s">
        <v>14</v>
      </c>
    </row>
    <row r="58" spans="1:18" ht="14.25">
      <c r="A58" s="349"/>
      <c r="F58" s="252"/>
      <c r="G58" s="252"/>
      <c r="H58" s="277"/>
      <c r="I58" s="277"/>
      <c r="J58" s="277"/>
      <c r="K58" s="277"/>
      <c r="L58" s="277"/>
      <c r="M58" s="300"/>
      <c r="N58" s="300"/>
      <c r="O58" s="296"/>
      <c r="P58" s="296"/>
      <c r="Q58" s="297"/>
      <c r="R58" s="282"/>
    </row>
    <row r="59" spans="1:18" ht="15">
      <c r="A59" s="349"/>
      <c r="B59" s="360"/>
      <c r="F59" s="252"/>
      <c r="G59" s="252"/>
      <c r="H59" s="277"/>
      <c r="I59" s="277"/>
      <c r="J59" s="277"/>
      <c r="K59" s="277"/>
      <c r="L59" s="277"/>
      <c r="M59" s="300"/>
      <c r="N59" s="300"/>
      <c r="O59" s="261"/>
      <c r="P59" s="261"/>
      <c r="Q59" s="297"/>
      <c r="R59" s="282"/>
    </row>
    <row r="60" spans="1:18" ht="15">
      <c r="A60" s="252"/>
      <c r="B60" s="360"/>
      <c r="H60" s="333"/>
      <c r="I60" s="333"/>
      <c r="J60" s="333"/>
      <c r="K60" s="333"/>
      <c r="L60" s="333"/>
      <c r="M60" s="278"/>
      <c r="N60" s="278"/>
      <c r="O60" s="289"/>
      <c r="P60" s="289"/>
      <c r="Q60" s="279"/>
      <c r="R60" s="350"/>
    </row>
    <row r="61" spans="1:18" ht="15">
      <c r="A61" s="252"/>
      <c r="B61" s="360"/>
      <c r="H61" s="333"/>
      <c r="I61" s="333"/>
      <c r="J61" s="333"/>
      <c r="K61" s="333"/>
      <c r="L61" s="333"/>
      <c r="M61" s="278"/>
      <c r="N61" s="278"/>
      <c r="O61" s="289"/>
      <c r="P61" s="289"/>
      <c r="Q61" s="279"/>
      <c r="R61" s="350"/>
    </row>
    <row r="62" spans="1:18" ht="15">
      <c r="A62" s="252"/>
      <c r="B62" s="357"/>
      <c r="H62" s="333"/>
      <c r="I62" s="333"/>
      <c r="J62" s="333"/>
      <c r="K62" s="333"/>
      <c r="L62" s="333"/>
      <c r="M62" s="278"/>
      <c r="N62" s="278"/>
      <c r="O62" s="289"/>
      <c r="P62" s="289"/>
      <c r="Q62" s="279"/>
      <c r="R62" s="350"/>
    </row>
    <row r="63" spans="1:18" ht="14.25">
      <c r="A63" s="252"/>
      <c r="B63" s="348"/>
      <c r="H63" s="333"/>
      <c r="I63" s="333"/>
      <c r="J63" s="333"/>
      <c r="K63" s="333"/>
      <c r="L63" s="333"/>
      <c r="M63" s="278"/>
      <c r="N63" s="278"/>
      <c r="O63" s="289"/>
      <c r="P63" s="289"/>
      <c r="Q63" s="279"/>
      <c r="R63" s="350"/>
    </row>
    <row r="64" spans="1:18" ht="15">
      <c r="A64" s="252"/>
      <c r="B64" s="357"/>
      <c r="C64" s="333"/>
      <c r="D64" s="251"/>
      <c r="E64" s="251"/>
      <c r="F64" s="361"/>
      <c r="G64" s="361"/>
      <c r="H64" s="333"/>
      <c r="I64" s="333"/>
      <c r="J64" s="333"/>
      <c r="K64" s="333"/>
      <c r="L64" s="333"/>
      <c r="M64" s="278"/>
      <c r="N64" s="278"/>
      <c r="O64" s="289"/>
      <c r="P64" s="289"/>
      <c r="Q64" s="279"/>
      <c r="R64" s="350"/>
    </row>
    <row r="65" spans="1:18" ht="14.25">
      <c r="A65" s="252"/>
      <c r="B65" s="348"/>
      <c r="C65" s="333"/>
      <c r="D65" s="251"/>
      <c r="E65" s="251"/>
      <c r="F65" s="361"/>
      <c r="G65" s="361"/>
      <c r="H65" s="333"/>
      <c r="I65" s="333"/>
      <c r="J65" s="333"/>
      <c r="K65" s="333"/>
      <c r="L65" s="333"/>
      <c r="M65" s="278"/>
      <c r="N65" s="278"/>
      <c r="O65" s="289"/>
      <c r="P65" s="289"/>
      <c r="Q65" s="279"/>
      <c r="R65" s="350"/>
    </row>
    <row r="66" spans="1:18" ht="14.25">
      <c r="A66" s="362"/>
      <c r="H66" s="277"/>
      <c r="I66" s="277"/>
      <c r="J66" s="277"/>
      <c r="K66" s="277"/>
      <c r="L66" s="277"/>
      <c r="M66" s="363"/>
      <c r="N66" s="300"/>
      <c r="O66" s="364"/>
      <c r="P66" s="364"/>
      <c r="Q66" s="365"/>
      <c r="R66" s="288"/>
    </row>
    <row r="67" spans="1:18" ht="15">
      <c r="A67" s="362"/>
      <c r="B67" s="360"/>
      <c r="C67" s="366"/>
      <c r="D67" s="366"/>
      <c r="E67" s="366"/>
      <c r="F67" s="277"/>
      <c r="G67" s="277"/>
      <c r="H67" s="277"/>
      <c r="I67" s="277"/>
      <c r="J67" s="277"/>
      <c r="K67" s="277"/>
      <c r="L67" s="277"/>
      <c r="M67" s="300"/>
      <c r="N67" s="300"/>
      <c r="O67" s="364"/>
      <c r="P67" s="364"/>
      <c r="Q67" s="365"/>
      <c r="R67" s="288"/>
    </row>
    <row r="68" spans="1:18" ht="15">
      <c r="A68" s="362"/>
      <c r="B68" s="360"/>
      <c r="C68" s="367"/>
      <c r="D68" s="367"/>
      <c r="E68" s="367"/>
      <c r="F68" s="252"/>
      <c r="G68" s="252"/>
      <c r="H68" s="333"/>
      <c r="I68" s="333"/>
      <c r="J68" s="333"/>
      <c r="K68" s="333"/>
      <c r="L68" s="333"/>
      <c r="M68" s="278"/>
      <c r="N68" s="278"/>
      <c r="O68" s="280"/>
      <c r="P68" s="280"/>
      <c r="Q68" s="281"/>
      <c r="R68" s="288"/>
    </row>
    <row r="69" spans="1:18" ht="15">
      <c r="A69" s="362"/>
      <c r="B69" s="360"/>
      <c r="C69" s="367"/>
      <c r="D69" s="367"/>
      <c r="E69" s="367"/>
      <c r="F69" s="252"/>
      <c r="G69" s="252"/>
      <c r="H69" s="333"/>
      <c r="I69" s="333"/>
      <c r="J69" s="333"/>
      <c r="K69" s="333"/>
      <c r="L69" s="333"/>
      <c r="M69" s="278"/>
      <c r="N69" s="278"/>
      <c r="O69" s="280"/>
      <c r="P69" s="280"/>
      <c r="Q69" s="281"/>
      <c r="R69" s="288"/>
    </row>
    <row r="70" spans="1:18" ht="15">
      <c r="A70" s="251"/>
      <c r="B70" s="251"/>
      <c r="H70" s="368"/>
      <c r="I70" s="368"/>
      <c r="J70" s="368"/>
      <c r="K70" s="368"/>
      <c r="L70" s="368"/>
      <c r="M70" s="361"/>
      <c r="N70" s="333"/>
      <c r="O70" s="358"/>
      <c r="P70" s="358"/>
      <c r="Q70" s="346"/>
      <c r="R70" s="361"/>
    </row>
    <row r="71" spans="1:18" ht="15">
      <c r="A71" s="251"/>
      <c r="B71" s="251"/>
      <c r="H71" s="368"/>
      <c r="I71" s="368"/>
      <c r="J71" s="368"/>
      <c r="K71" s="368"/>
      <c r="L71" s="368"/>
      <c r="M71" s="278"/>
      <c r="N71" s="333"/>
      <c r="O71" s="333"/>
      <c r="P71" s="333"/>
      <c r="Q71" s="346"/>
      <c r="R71" s="361"/>
    </row>
    <row r="72" spans="8:18" ht="15">
      <c r="H72" s="260"/>
      <c r="I72" s="260"/>
      <c r="J72" s="260"/>
      <c r="K72" s="260"/>
      <c r="L72" s="260"/>
      <c r="M72" s="361"/>
      <c r="N72" s="361"/>
      <c r="O72" s="361"/>
      <c r="P72" s="361"/>
      <c r="Q72" s="346"/>
      <c r="R72" s="361"/>
    </row>
    <row r="73" spans="1:18" ht="12" customHeight="1">
      <c r="A73" s="369"/>
      <c r="B73" s="370"/>
      <c r="C73" s="369"/>
      <c r="D73" s="369"/>
      <c r="E73" s="369"/>
      <c r="F73" s="260"/>
      <c r="G73" s="260"/>
      <c r="H73" s="252"/>
      <c r="I73" s="260"/>
      <c r="J73" s="260"/>
      <c r="K73" s="260"/>
      <c r="L73" s="260"/>
      <c r="M73" s="260"/>
      <c r="N73" s="260"/>
      <c r="O73" s="260"/>
      <c r="P73" s="260"/>
      <c r="Q73" s="252"/>
      <c r="R73" s="288"/>
    </row>
    <row r="74" spans="1:18" ht="12" customHeight="1">
      <c r="A74" s="251"/>
      <c r="B74" s="370"/>
      <c r="I74" s="252"/>
      <c r="J74" s="252"/>
      <c r="K74" s="252"/>
      <c r="L74" s="252"/>
      <c r="M74" s="252"/>
      <c r="N74" s="288"/>
      <c r="O74" s="349"/>
      <c r="P74" s="349"/>
      <c r="R74" s="349"/>
    </row>
    <row r="75" spans="1:18" ht="12" customHeight="1">
      <c r="A75" s="251"/>
      <c r="B75" s="251"/>
      <c r="C75" s="251"/>
      <c r="D75" s="251"/>
      <c r="E75" s="251"/>
      <c r="F75" s="252"/>
      <c r="G75" s="252"/>
      <c r="I75" s="252"/>
      <c r="J75" s="252"/>
      <c r="K75" s="252"/>
      <c r="L75" s="252"/>
      <c r="M75" s="252"/>
      <c r="N75" s="252"/>
      <c r="O75" s="252"/>
      <c r="P75" s="252"/>
      <c r="R75" s="252"/>
    </row>
    <row r="76" spans="1:13" ht="14.25">
      <c r="A76" s="251"/>
      <c r="B76" s="251"/>
      <c r="C76" s="251"/>
      <c r="D76" s="251"/>
      <c r="E76" s="251"/>
      <c r="F76" s="252"/>
      <c r="G76" s="252"/>
      <c r="K76" s="371"/>
      <c r="L76" s="371"/>
      <c r="M76" s="252"/>
    </row>
    <row r="77" spans="1:17" ht="14.25">
      <c r="A77" s="251"/>
      <c r="B77" s="251"/>
      <c r="C77" s="251"/>
      <c r="D77" s="251"/>
      <c r="E77" s="251"/>
      <c r="F77" s="252"/>
      <c r="G77" s="252"/>
      <c r="H77" s="252"/>
      <c r="O77" s="372"/>
      <c r="P77" s="372"/>
      <c r="Q77" s="262"/>
    </row>
    <row r="78" spans="8:17" ht="14.25">
      <c r="H78" s="252"/>
      <c r="M78" s="350"/>
      <c r="O78" s="262"/>
      <c r="P78" s="262"/>
      <c r="Q78" s="262"/>
    </row>
    <row r="79" spans="8:13" ht="14.25">
      <c r="H79" s="252"/>
      <c r="M79" s="350"/>
    </row>
    <row r="80" spans="6:8" ht="14.25">
      <c r="F80" s="249" t="s">
        <v>14</v>
      </c>
      <c r="H80" s="252"/>
    </row>
    <row r="98" ht="14.25">
      <c r="M98" s="350"/>
    </row>
    <row r="99" ht="14.25">
      <c r="M99" s="350"/>
    </row>
    <row r="100" ht="14.25">
      <c r="M100" s="350"/>
    </row>
    <row r="101" ht="14.25">
      <c r="M101" s="350"/>
    </row>
    <row r="102" ht="14.25">
      <c r="M102" s="350"/>
    </row>
  </sheetData>
  <mergeCells count="5">
    <mergeCell ref="B26:B30"/>
    <mergeCell ref="B6:B7"/>
    <mergeCell ref="B8:B15"/>
    <mergeCell ref="B16:B18"/>
    <mergeCell ref="B19:B25"/>
  </mergeCells>
  <printOptions/>
  <pageMargins left="0.42" right="0.26" top="0.47" bottom="0.39" header="0.28" footer="0.2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4" sqref="A4"/>
    </sheetView>
  </sheetViews>
  <sheetFormatPr defaultColWidth="9.00390625" defaultRowHeight="12.75"/>
  <cols>
    <col min="1" max="1" width="6.25390625" style="980" customWidth="1"/>
    <col min="2" max="2" width="11.25390625" style="980" customWidth="1"/>
    <col min="3" max="3" width="13.375" style="980" customWidth="1"/>
    <col min="4" max="4" width="13.625" style="980" customWidth="1"/>
    <col min="5" max="5" width="13.375" style="980" bestFit="1" customWidth="1"/>
    <col min="6" max="7" width="11.25390625" style="981" hidden="1" customWidth="1"/>
    <col min="8" max="8" width="17.375" style="981" hidden="1" customWidth="1"/>
    <col min="9" max="16384" width="9.125" style="982" customWidth="1"/>
  </cols>
  <sheetData>
    <row r="1" spans="1:2" ht="18.75" customHeight="1">
      <c r="A1" s="1205" t="s">
        <v>390</v>
      </c>
      <c r="B1" s="999"/>
    </row>
    <row r="2" spans="1:2" ht="18.75" customHeight="1">
      <c r="A2" s="1000"/>
      <c r="B2" s="999"/>
    </row>
    <row r="3" spans="1:2" ht="18.75" customHeight="1" thickBot="1">
      <c r="A3" s="1000"/>
      <c r="B3" s="999"/>
    </row>
    <row r="4" spans="1:8" s="1143" customFormat="1" ht="15" customHeight="1">
      <c r="A4" s="1141"/>
      <c r="B4" s="1142"/>
      <c r="C4" s="1270" t="s">
        <v>391</v>
      </c>
      <c r="D4" s="1271"/>
      <c r="E4" s="1272"/>
      <c r="F4" s="1273" t="s">
        <v>380</v>
      </c>
      <c r="G4" s="1274"/>
      <c r="H4" s="1274"/>
    </row>
    <row r="5" spans="1:8" s="1143" customFormat="1" ht="18" customHeight="1">
      <c r="A5" s="1144" t="s">
        <v>381</v>
      </c>
      <c r="B5" s="1145"/>
      <c r="C5" s="1146" t="s">
        <v>382</v>
      </c>
      <c r="D5" s="1147" t="s">
        <v>383</v>
      </c>
      <c r="E5" s="1148" t="s">
        <v>150</v>
      </c>
      <c r="F5" s="1146" t="s">
        <v>382</v>
      </c>
      <c r="G5" s="1147" t="s">
        <v>383</v>
      </c>
      <c r="H5" s="1148" t="s">
        <v>150</v>
      </c>
    </row>
    <row r="6" spans="1:8" s="1154" customFormat="1" ht="15">
      <c r="A6" s="1149"/>
      <c r="B6" s="1150"/>
      <c r="C6" s="1151">
        <v>1</v>
      </c>
      <c r="D6" s="1152">
        <v>2</v>
      </c>
      <c r="E6" s="1153">
        <v>3</v>
      </c>
      <c r="F6" s="1151"/>
      <c r="G6" s="1152"/>
      <c r="H6" s="1153"/>
    </row>
    <row r="7" spans="1:8" s="1143" customFormat="1" ht="15" customHeight="1">
      <c r="A7" s="1155">
        <v>11</v>
      </c>
      <c r="B7" s="1156" t="s">
        <v>138</v>
      </c>
      <c r="C7" s="1157">
        <v>19005</v>
      </c>
      <c r="D7" s="1158">
        <v>10108</v>
      </c>
      <c r="E7" s="1159">
        <f>SUM(C7:D7)</f>
        <v>29113</v>
      </c>
      <c r="F7" s="1160">
        <v>1583721.97</v>
      </c>
      <c r="G7" s="1161">
        <v>767889.01</v>
      </c>
      <c r="H7" s="1162">
        <f aca="true" t="shared" si="0" ref="H7:H24">F7+G7</f>
        <v>2351610.98</v>
      </c>
    </row>
    <row r="8" spans="1:8" s="1143" customFormat="1" ht="15" customHeight="1">
      <c r="A8" s="1163">
        <v>21</v>
      </c>
      <c r="B8" s="1164" t="s">
        <v>139</v>
      </c>
      <c r="C8" s="1165">
        <v>5223</v>
      </c>
      <c r="D8" s="1166">
        <v>1956</v>
      </c>
      <c r="E8" s="1167">
        <f aca="true" t="shared" si="1" ref="E8:E24">SUM(C8:D8)</f>
        <v>7179</v>
      </c>
      <c r="F8" s="1168">
        <v>435259</v>
      </c>
      <c r="G8" s="1169">
        <v>162966</v>
      </c>
      <c r="H8" s="1170">
        <f t="shared" si="0"/>
        <v>598225</v>
      </c>
    </row>
    <row r="9" spans="1:8" s="1143" customFormat="1" ht="15" customHeight="1">
      <c r="A9" s="1163">
        <v>22</v>
      </c>
      <c r="B9" s="1164" t="s">
        <v>140</v>
      </c>
      <c r="C9" s="1165">
        <v>1080</v>
      </c>
      <c r="D9" s="1166">
        <v>1085</v>
      </c>
      <c r="E9" s="1167">
        <f t="shared" si="1"/>
        <v>2165</v>
      </c>
      <c r="F9" s="1168">
        <v>89973</v>
      </c>
      <c r="G9" s="1169">
        <v>90380</v>
      </c>
      <c r="H9" s="1170">
        <f t="shared" si="0"/>
        <v>180353</v>
      </c>
    </row>
    <row r="10" spans="1:8" s="1143" customFormat="1" ht="15" customHeight="1">
      <c r="A10" s="1163">
        <v>23</v>
      </c>
      <c r="B10" s="1164" t="s">
        <v>141</v>
      </c>
      <c r="C10" s="1165">
        <v>5436</v>
      </c>
      <c r="D10" s="1166">
        <v>1527</v>
      </c>
      <c r="E10" s="1167">
        <f t="shared" si="1"/>
        <v>6963</v>
      </c>
      <c r="F10" s="1168">
        <v>452965.69</v>
      </c>
      <c r="G10" s="1169">
        <v>125997.31</v>
      </c>
      <c r="H10" s="1170">
        <f t="shared" si="0"/>
        <v>578963</v>
      </c>
    </row>
    <row r="11" spans="1:8" s="1143" customFormat="1" ht="15" customHeight="1">
      <c r="A11" s="1163">
        <v>31</v>
      </c>
      <c r="B11" s="1164" t="s">
        <v>142</v>
      </c>
      <c r="C11" s="1165">
        <v>40218</v>
      </c>
      <c r="D11" s="1166">
        <v>16985</v>
      </c>
      <c r="E11" s="1167">
        <f t="shared" si="1"/>
        <v>57203</v>
      </c>
      <c r="F11" s="1168">
        <v>3351530.84</v>
      </c>
      <c r="G11" s="1169">
        <v>1189315.2</v>
      </c>
      <c r="H11" s="1170">
        <f t="shared" si="0"/>
        <v>4540846.04</v>
      </c>
    </row>
    <row r="12" spans="1:8" s="1143" customFormat="1" ht="15" customHeight="1">
      <c r="A12" s="1163">
        <v>33</v>
      </c>
      <c r="B12" s="1164" t="s">
        <v>143</v>
      </c>
      <c r="C12" s="1165">
        <v>9921</v>
      </c>
      <c r="D12" s="1166">
        <v>2039</v>
      </c>
      <c r="E12" s="1167">
        <f t="shared" si="1"/>
        <v>11960</v>
      </c>
      <c r="F12" s="1168">
        <v>826761</v>
      </c>
      <c r="G12" s="1169">
        <v>169958</v>
      </c>
      <c r="H12" s="1170">
        <f t="shared" si="0"/>
        <v>996719</v>
      </c>
    </row>
    <row r="13" spans="1:8" s="1143" customFormat="1" ht="15" customHeight="1">
      <c r="A13" s="1163">
        <v>41</v>
      </c>
      <c r="B13" s="1164" t="s">
        <v>144</v>
      </c>
      <c r="C13" s="1165">
        <v>4063</v>
      </c>
      <c r="D13" s="1166">
        <v>1414</v>
      </c>
      <c r="E13" s="1167">
        <f t="shared" si="1"/>
        <v>5477</v>
      </c>
      <c r="F13" s="1168">
        <v>338582</v>
      </c>
      <c r="G13" s="1169">
        <v>117799</v>
      </c>
      <c r="H13" s="1170">
        <f t="shared" si="0"/>
        <v>456381</v>
      </c>
    </row>
    <row r="14" spans="1:8" s="1143" customFormat="1" ht="15" customHeight="1">
      <c r="A14" s="1163">
        <v>51</v>
      </c>
      <c r="B14" s="1164" t="s">
        <v>149</v>
      </c>
      <c r="C14" s="1165">
        <v>260</v>
      </c>
      <c r="D14" s="1166">
        <v>1833</v>
      </c>
      <c r="E14" s="1167">
        <f t="shared" si="1"/>
        <v>2093</v>
      </c>
      <c r="F14" s="1168">
        <v>21656</v>
      </c>
      <c r="G14" s="1169">
        <v>152743.29</v>
      </c>
      <c r="H14" s="1170">
        <f t="shared" si="0"/>
        <v>174399.29</v>
      </c>
    </row>
    <row r="15" spans="1:8" s="1143" customFormat="1" ht="15" customHeight="1">
      <c r="A15" s="1171">
        <v>56</v>
      </c>
      <c r="B15" s="1172" t="s">
        <v>145</v>
      </c>
      <c r="C15" s="1173">
        <v>4469</v>
      </c>
      <c r="D15" s="1174">
        <v>1229</v>
      </c>
      <c r="E15" s="1175">
        <f t="shared" si="1"/>
        <v>5698</v>
      </c>
      <c r="F15" s="1176">
        <v>372446</v>
      </c>
      <c r="G15" s="1177">
        <v>102390</v>
      </c>
      <c r="H15" s="1178">
        <f t="shared" si="0"/>
        <v>474836</v>
      </c>
    </row>
    <row r="16" spans="1:8" s="1143" customFormat="1" ht="15" customHeight="1">
      <c r="A16" s="1163">
        <v>81</v>
      </c>
      <c r="B16" s="1164" t="s">
        <v>38</v>
      </c>
      <c r="C16" s="1165">
        <v>5457</v>
      </c>
      <c r="D16" s="1166">
        <v>3843</v>
      </c>
      <c r="E16" s="1179">
        <f t="shared" si="1"/>
        <v>9300</v>
      </c>
      <c r="F16" s="1168">
        <v>454738</v>
      </c>
      <c r="G16" s="1169">
        <v>320232.71</v>
      </c>
      <c r="H16" s="1170">
        <f t="shared" si="0"/>
        <v>774970.71</v>
      </c>
    </row>
    <row r="17" spans="1:8" s="1143" customFormat="1" ht="15" customHeight="1">
      <c r="A17" s="1163">
        <v>83</v>
      </c>
      <c r="B17" s="1164" t="s">
        <v>306</v>
      </c>
      <c r="C17" s="1165">
        <v>232</v>
      </c>
      <c r="D17" s="1166">
        <v>395</v>
      </c>
      <c r="E17" s="1167">
        <f t="shared" si="1"/>
        <v>627</v>
      </c>
      <c r="F17" s="1168">
        <v>0</v>
      </c>
      <c r="G17" s="1169">
        <v>32946</v>
      </c>
      <c r="H17" s="1170">
        <f t="shared" si="0"/>
        <v>32946</v>
      </c>
    </row>
    <row r="18" spans="1:8" s="1143" customFormat="1" ht="15" customHeight="1">
      <c r="A18" s="1163">
        <v>84</v>
      </c>
      <c r="B18" s="1164" t="s">
        <v>307</v>
      </c>
      <c r="C18" s="1165"/>
      <c r="D18" s="1166">
        <v>30</v>
      </c>
      <c r="E18" s="1167">
        <f t="shared" si="1"/>
        <v>30</v>
      </c>
      <c r="F18" s="1168">
        <v>19379</v>
      </c>
      <c r="G18" s="1169">
        <v>2494</v>
      </c>
      <c r="H18" s="1170">
        <f t="shared" si="0"/>
        <v>21873</v>
      </c>
    </row>
    <row r="19" spans="1:8" s="1143" customFormat="1" ht="15" customHeight="1">
      <c r="A19" s="1163">
        <v>91</v>
      </c>
      <c r="B19" s="1164" t="s">
        <v>308</v>
      </c>
      <c r="C19" s="1165"/>
      <c r="D19" s="1166"/>
      <c r="E19" s="1167">
        <f t="shared" si="1"/>
        <v>0</v>
      </c>
      <c r="F19" s="1168">
        <v>0</v>
      </c>
      <c r="G19" s="1169">
        <v>0</v>
      </c>
      <c r="H19" s="1170">
        <f t="shared" si="0"/>
        <v>0</v>
      </c>
    </row>
    <row r="20" spans="1:8" s="1143" customFormat="1" ht="15" customHeight="1">
      <c r="A20" s="1163">
        <v>92</v>
      </c>
      <c r="B20" s="1164" t="s">
        <v>41</v>
      </c>
      <c r="C20" s="1165">
        <v>15401</v>
      </c>
      <c r="D20" s="1180">
        <v>20182</v>
      </c>
      <c r="E20" s="1167">
        <f t="shared" si="1"/>
        <v>35583</v>
      </c>
      <c r="F20" s="1168">
        <v>1283439</v>
      </c>
      <c r="G20" s="1169">
        <v>1681826</v>
      </c>
      <c r="H20" s="1170">
        <f t="shared" si="0"/>
        <v>2965265</v>
      </c>
    </row>
    <row r="21" spans="1:11" s="1143" customFormat="1" ht="15" customHeight="1">
      <c r="A21" s="1163">
        <v>94</v>
      </c>
      <c r="B21" s="1164" t="s">
        <v>309</v>
      </c>
      <c r="C21" s="1165">
        <v>83</v>
      </c>
      <c r="D21" s="1166">
        <v>363</v>
      </c>
      <c r="E21" s="1167">
        <f t="shared" si="1"/>
        <v>446</v>
      </c>
      <c r="F21" s="1168">
        <v>6911</v>
      </c>
      <c r="G21" s="1169">
        <v>30236</v>
      </c>
      <c r="H21" s="1170">
        <f t="shared" si="0"/>
        <v>37147</v>
      </c>
      <c r="K21" s="1181"/>
    </row>
    <row r="22" spans="1:8" s="1143" customFormat="1" ht="15" customHeight="1">
      <c r="A22" s="1163">
        <v>96</v>
      </c>
      <c r="B22" s="1164" t="s">
        <v>310</v>
      </c>
      <c r="C22" s="1165"/>
      <c r="D22" s="1166">
        <v>42</v>
      </c>
      <c r="E22" s="1167">
        <f t="shared" si="1"/>
        <v>42</v>
      </c>
      <c r="F22" s="1168">
        <v>0</v>
      </c>
      <c r="G22" s="1169">
        <v>3510</v>
      </c>
      <c r="H22" s="1170">
        <f t="shared" si="0"/>
        <v>3510</v>
      </c>
    </row>
    <row r="23" spans="1:8" s="1143" customFormat="1" ht="15" customHeight="1">
      <c r="A23" s="1163">
        <v>97</v>
      </c>
      <c r="B23" s="1164" t="s">
        <v>311</v>
      </c>
      <c r="C23" s="1165">
        <v>10</v>
      </c>
      <c r="D23" s="1166">
        <v>64</v>
      </c>
      <c r="E23" s="1167">
        <f t="shared" si="1"/>
        <v>74</v>
      </c>
      <c r="F23" s="1168">
        <v>823</v>
      </c>
      <c r="G23" s="1169">
        <v>5347</v>
      </c>
      <c r="H23" s="1170">
        <f t="shared" si="0"/>
        <v>6170</v>
      </c>
    </row>
    <row r="24" spans="1:8" s="1143" customFormat="1" ht="15" customHeight="1">
      <c r="A24" s="1171">
        <v>99</v>
      </c>
      <c r="B24" s="1172" t="s">
        <v>146</v>
      </c>
      <c r="C24" s="1173">
        <v>8390</v>
      </c>
      <c r="D24" s="1174">
        <v>1807</v>
      </c>
      <c r="E24" s="1182">
        <f t="shared" si="1"/>
        <v>10197</v>
      </c>
      <c r="F24" s="1176">
        <v>699155</v>
      </c>
      <c r="G24" s="1177">
        <v>150608</v>
      </c>
      <c r="H24" s="1178">
        <f t="shared" si="0"/>
        <v>849763</v>
      </c>
    </row>
    <row r="25" spans="1:8" s="1143" customFormat="1" ht="15">
      <c r="A25" s="1183" t="s">
        <v>150</v>
      </c>
      <c r="B25" s="1184"/>
      <c r="C25" s="1185">
        <f aca="true" t="shared" si="2" ref="C25:H25">SUM(C7:C24)</f>
        <v>119248</v>
      </c>
      <c r="D25" s="1186">
        <f t="shared" si="2"/>
        <v>64902</v>
      </c>
      <c r="E25" s="1187">
        <f t="shared" si="2"/>
        <v>184150</v>
      </c>
      <c r="F25" s="1188">
        <f t="shared" si="2"/>
        <v>9937340.5</v>
      </c>
      <c r="G25" s="1189">
        <f t="shared" si="2"/>
        <v>5106637.52</v>
      </c>
      <c r="H25" s="1190">
        <f t="shared" si="2"/>
        <v>15043978.02</v>
      </c>
    </row>
    <row r="26" spans="1:8" s="1143" customFormat="1" ht="15">
      <c r="A26" s="1191" t="s">
        <v>384</v>
      </c>
      <c r="B26" s="1192"/>
      <c r="C26" s="1193">
        <f aca="true" t="shared" si="3" ref="C26:H26">SUM(C7:C15)</f>
        <v>89675</v>
      </c>
      <c r="D26" s="1166">
        <f t="shared" si="3"/>
        <v>38176</v>
      </c>
      <c r="E26" s="1194">
        <f t="shared" si="3"/>
        <v>127851</v>
      </c>
      <c r="F26" s="1195">
        <f t="shared" si="3"/>
        <v>7472895.5</v>
      </c>
      <c r="G26" s="1169">
        <f t="shared" si="3"/>
        <v>2879437.81</v>
      </c>
      <c r="H26" s="1196">
        <f t="shared" si="3"/>
        <v>10352333.309999999</v>
      </c>
    </row>
    <row r="27" spans="1:8" s="1143" customFormat="1" ht="15.75" thickBot="1">
      <c r="A27" s="1197" t="s">
        <v>81</v>
      </c>
      <c r="B27" s="1198"/>
      <c r="C27" s="1199">
        <f aca="true" t="shared" si="4" ref="C27:H27">SUM(C16:C24)</f>
        <v>29573</v>
      </c>
      <c r="D27" s="1200">
        <f t="shared" si="4"/>
        <v>26726</v>
      </c>
      <c r="E27" s="1201">
        <f t="shared" si="4"/>
        <v>56299</v>
      </c>
      <c r="F27" s="1202">
        <f t="shared" si="4"/>
        <v>2464445</v>
      </c>
      <c r="G27" s="1203">
        <f t="shared" si="4"/>
        <v>2227199.71</v>
      </c>
      <c r="H27" s="1204">
        <f t="shared" si="4"/>
        <v>4691644.71</v>
      </c>
    </row>
    <row r="28" spans="1:8" s="984" customFormat="1" ht="11.25" hidden="1">
      <c r="A28" s="981"/>
      <c r="B28" s="981"/>
      <c r="C28" s="983">
        <f aca="true" t="shared" si="5" ref="C28:E30">C25/$E$25*100</f>
        <v>64.75590551181102</v>
      </c>
      <c r="D28" s="983">
        <f t="shared" si="5"/>
        <v>35.24409448818898</v>
      </c>
      <c r="E28" s="983">
        <f t="shared" si="5"/>
        <v>100</v>
      </c>
      <c r="F28" s="983"/>
      <c r="G28" s="983"/>
      <c r="H28" s="983"/>
    </row>
    <row r="29" spans="1:8" s="984" customFormat="1" ht="11.25" hidden="1">
      <c r="A29" s="981"/>
      <c r="B29" s="981"/>
      <c r="C29" s="983">
        <f t="shared" si="5"/>
        <v>48.69671463480858</v>
      </c>
      <c r="D29" s="983">
        <f t="shared" si="5"/>
        <v>20.730925875644854</v>
      </c>
      <c r="E29" s="983">
        <f t="shared" si="5"/>
        <v>69.42764051045344</v>
      </c>
      <c r="F29" s="983"/>
      <c r="G29" s="983"/>
      <c r="H29" s="983"/>
    </row>
    <row r="30" spans="1:8" s="984" customFormat="1" ht="11.25" hidden="1">
      <c r="A30" s="981"/>
      <c r="B30" s="981"/>
      <c r="C30" s="983">
        <f t="shared" si="5"/>
        <v>16.059190877002443</v>
      </c>
      <c r="D30" s="983">
        <f t="shared" si="5"/>
        <v>14.513168612544122</v>
      </c>
      <c r="E30" s="983">
        <f t="shared" si="5"/>
        <v>30.572359489546564</v>
      </c>
      <c r="F30" s="983"/>
      <c r="G30" s="983"/>
      <c r="H30" s="983"/>
    </row>
    <row r="31" spans="1:2" ht="12.75">
      <c r="A31" s="998" t="s">
        <v>385</v>
      </c>
      <c r="B31" s="998"/>
    </row>
    <row r="32" spans="1:8" s="986" customFormat="1" ht="12">
      <c r="A32" s="998" t="s">
        <v>386</v>
      </c>
      <c r="B32" s="998"/>
      <c r="C32" s="985"/>
      <c r="D32" s="985"/>
      <c r="E32" s="985"/>
      <c r="F32" s="985"/>
      <c r="G32" s="985"/>
      <c r="H32" s="985"/>
    </row>
    <row r="33" spans="3:8" s="986" customFormat="1" ht="12">
      <c r="C33" s="985"/>
      <c r="D33" s="985"/>
      <c r="E33" s="985"/>
      <c r="F33" s="985"/>
      <c r="G33" s="985"/>
      <c r="H33" s="985"/>
    </row>
    <row r="34" spans="1:8" s="986" customFormat="1" ht="12">
      <c r="A34" s="998"/>
      <c r="B34" s="998"/>
      <c r="C34" s="985"/>
      <c r="D34" s="985"/>
      <c r="E34" s="985"/>
      <c r="F34" s="985"/>
      <c r="G34" s="985"/>
      <c r="H34" s="985"/>
    </row>
    <row r="35" spans="1:8" s="1006" customFormat="1" ht="12.75">
      <c r="A35" s="1004" t="s">
        <v>389</v>
      </c>
      <c r="B35" s="1004"/>
      <c r="C35" s="1005"/>
      <c r="D35" s="1005"/>
      <c r="E35" s="1005"/>
      <c r="F35" s="1005"/>
      <c r="G35" s="1005"/>
      <c r="H35" s="1005"/>
    </row>
    <row r="36" spans="1:8" s="1003" customFormat="1" ht="12.75">
      <c r="A36" s="1000" t="s">
        <v>392</v>
      </c>
      <c r="B36" s="1000"/>
      <c r="C36" s="1001"/>
      <c r="D36" s="1001"/>
      <c r="E36" s="1001"/>
      <c r="F36" s="1002"/>
      <c r="G36" s="1002"/>
      <c r="H36" s="1002"/>
    </row>
    <row r="37" spans="1:8" s="1003" customFormat="1" ht="12.75">
      <c r="A37" s="1000"/>
      <c r="B37" s="1206" t="s">
        <v>411</v>
      </c>
      <c r="C37" s="1001"/>
      <c r="D37" s="1001"/>
      <c r="E37" s="1001"/>
      <c r="F37" s="1002"/>
      <c r="G37" s="1002"/>
      <c r="H37" s="1002"/>
    </row>
    <row r="38" spans="1:8" s="1003" customFormat="1" ht="12.75">
      <c r="A38" s="1000" t="s">
        <v>393</v>
      </c>
      <c r="B38" s="1000"/>
      <c r="C38" s="1000"/>
      <c r="D38" s="1001"/>
      <c r="E38" s="1001"/>
      <c r="F38" s="1002"/>
      <c r="G38" s="1002"/>
      <c r="H38" s="1002"/>
    </row>
    <row r="39" spans="1:8" s="1003" customFormat="1" ht="12.75">
      <c r="A39" s="1000" t="s">
        <v>394</v>
      </c>
      <c r="B39" s="1000"/>
      <c r="C39" s="1001"/>
      <c r="D39" s="1001"/>
      <c r="E39" s="1001"/>
      <c r="F39" s="1002"/>
      <c r="G39" s="1002"/>
      <c r="H39" s="1002"/>
    </row>
    <row r="40" spans="1:2" ht="12.75">
      <c r="A40" s="982"/>
      <c r="B40" s="982"/>
    </row>
    <row r="43" spans="1:2" ht="12.75">
      <c r="A43" s="999" t="s">
        <v>388</v>
      </c>
      <c r="B43" s="999"/>
    </row>
  </sheetData>
  <mergeCells count="2">
    <mergeCell ref="C4:E4"/>
    <mergeCell ref="F4:H4"/>
  </mergeCells>
  <printOptions/>
  <pageMargins left="0.82" right="0.29" top="1" bottom="1" header="0.4921259845" footer="0.4921259845"/>
  <pageSetup horizontalDpi="600" verticalDpi="600" orientation="portrait" paperSize="9" scale="75" r:id="rId1"/>
  <headerFooter alignWithMargins="0">
    <oddHeader>&amp;RPříloha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Smid</cp:lastModifiedBy>
  <cp:lastPrinted>2007-11-01T09:20:12Z</cp:lastPrinted>
  <dcterms:created xsi:type="dcterms:W3CDTF">2000-11-19T07:54:47Z</dcterms:created>
  <dcterms:modified xsi:type="dcterms:W3CDTF">2007-11-02T04:53:54Z</dcterms:modified>
  <cp:category/>
  <cp:version/>
  <cp:contentType/>
  <cp:contentStatus/>
</cp:coreProperties>
</file>