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120" firstSheet="1" activeTab="1"/>
  </bookViews>
  <sheets>
    <sheet name="titl" sheetId="1" r:id="rId1"/>
    <sheet name="MU v tis" sheetId="2" r:id="rId2"/>
    <sheet name="fak v tis" sheetId="3" r:id="rId3"/>
    <sheet name="ostatni v tis" sheetId="4" r:id="rId4"/>
    <sheet name="LF" sheetId="5" r:id="rId5"/>
    <sheet name="FF" sheetId="6" r:id="rId6"/>
    <sheet name="PrF" sheetId="7" r:id="rId7"/>
    <sheet name="FSS" sheetId="8" r:id="rId8"/>
    <sheet name="PřF" sheetId="9" r:id="rId9"/>
    <sheet name="FI" sheetId="10" r:id="rId10"/>
    <sheet name="PdF" sheetId="11" r:id="rId11"/>
    <sheet name="FSpS" sheetId="12" r:id="rId12"/>
    <sheet name="ESF" sheetId="13" r:id="rId13"/>
    <sheet name="fak" sheetId="14" r:id="rId14"/>
    <sheet name="SKM" sheetId="15" r:id="rId15"/>
    <sheet name="SUKB" sheetId="16" r:id="rId16"/>
    <sheet name="UCT" sheetId="17" r:id="rId17"/>
    <sheet name="SPSSN" sheetId="18" r:id="rId18"/>
    <sheet name="IBA" sheetId="19" r:id="rId19"/>
    <sheet name="ÚVT" sheetId="20" r:id="rId20"/>
    <sheet name="VMU" sheetId="21" r:id="rId21"/>
    <sheet name="CJV" sheetId="22" r:id="rId22"/>
    <sheet name="CZS" sheetId="23" r:id="rId23"/>
    <sheet name="RMU" sheetId="24" r:id="rId24"/>
    <sheet name="ostatni" sheetId="25" r:id="rId25"/>
    <sheet name="osnova07" sheetId="26" r:id="rId26"/>
  </sheets>
  <definedNames/>
  <calcPr fullCalcOnLoad="1"/>
</workbook>
</file>

<file path=xl/comments22.xml><?xml version="1.0" encoding="utf-8"?>
<comments xmlns="http://schemas.openxmlformats.org/spreadsheetml/2006/main">
  <authors>
    <author>Sulcova</author>
  </authors>
  <commentList>
    <comment ref="H5" authorId="0">
      <text>
        <r>
          <rPr>
            <b/>
            <sz val="8"/>
            <rFont val="Tahoma"/>
            <family val="0"/>
          </rPr>
          <t>Sulcova:</t>
        </r>
        <r>
          <rPr>
            <sz val="8"/>
            <rFont val="Tahoma"/>
            <family val="0"/>
          </rPr>
          <t xml:space="preserve">
navýšení mezd s ohledem na navýšení počtu zaměstnanců (schválení nové koncepce CJV)</t>
        </r>
      </text>
    </comment>
    <comment ref="H15" authorId="0">
      <text>
        <r>
          <rPr>
            <b/>
            <sz val="8"/>
            <rFont val="Tahoma"/>
            <family val="0"/>
          </rPr>
          <t>Sulcova:</t>
        </r>
        <r>
          <rPr>
            <sz val="8"/>
            <rFont val="Tahoma"/>
            <family val="0"/>
          </rPr>
          <t xml:space="preserve">
zahrnut příspěvek na stravné zaměstnanců CJV</t>
        </r>
      </text>
    </comment>
    <comment ref="M15" authorId="0">
      <text>
        <r>
          <rPr>
            <b/>
            <sz val="8"/>
            <rFont val="Tahoma"/>
            <family val="0"/>
          </rPr>
          <t>Sulcova:</t>
        </r>
        <r>
          <rPr>
            <sz val="8"/>
            <rFont val="Tahoma"/>
            <family val="0"/>
          </rPr>
          <t xml:space="preserve">
zahrnut SF v souladu s RUMBUREM</t>
        </r>
      </text>
    </comment>
  </commentList>
</comments>
</file>

<file path=xl/sharedStrings.xml><?xml version="1.0" encoding="utf-8"?>
<sst xmlns="http://schemas.openxmlformats.org/spreadsheetml/2006/main" count="1720" uniqueCount="148">
  <si>
    <t>Rozpočet 2007</t>
  </si>
  <si>
    <t>Plán</t>
  </si>
  <si>
    <t>Upravený</t>
  </si>
  <si>
    <t>bez</t>
  </si>
  <si>
    <t>Převody z fondů/použití fondů</t>
  </si>
  <si>
    <t>Skutečnost</t>
  </si>
  <si>
    <t>č.ř.</t>
  </si>
  <si>
    <t>činnost</t>
  </si>
  <si>
    <t>plán</t>
  </si>
  <si>
    <t>fondů</t>
  </si>
  <si>
    <t>FPP</t>
  </si>
  <si>
    <t>FÚUP</t>
  </si>
  <si>
    <t>FO</t>
  </si>
  <si>
    <t>Fstip</t>
  </si>
  <si>
    <t>Náklady celkem (ř.2+14až25)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</si>
  <si>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</si>
  <si>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</si>
  <si>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</si>
  <si>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</si>
  <si>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</si>
  <si>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</si>
  <si>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</si>
  <si>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</si>
  <si>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</si>
  <si>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</si>
  <si>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</si>
  <si>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</si>
  <si>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</si>
  <si>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</si>
  <si>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</si>
  <si>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</si>
  <si>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</si>
  <si>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</si>
  <si>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</si>
  <si>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115*,118*,114*</t>
  </si>
  <si>
    <t>G-FRVŠ</t>
  </si>
  <si>
    <t>116*</t>
  </si>
  <si>
    <t>Ostatní dotace ze SR a od úz.celků bez VaV</t>
  </si>
  <si>
    <t>13* bez 139*,14*</t>
  </si>
  <si>
    <t>OPRLZ, strukturální fondy aj.proj.spoluf.EU</t>
  </si>
  <si>
    <t>119*, 139*</t>
  </si>
  <si>
    <t xml:space="preserve">Účelové příspěvky bez VaV </t>
  </si>
  <si>
    <t>151*,161*</t>
  </si>
  <si>
    <t>Výzkumné záměry</t>
  </si>
  <si>
    <t>212*</t>
  </si>
  <si>
    <t>Projekty VaV ze SR a od úz.celků</t>
  </si>
  <si>
    <t>Projekty VaV z dotací ze zahr.</t>
  </si>
  <si>
    <t>261*</t>
  </si>
  <si>
    <t xml:space="preserve">Účelové příspěvky na VaV </t>
  </si>
  <si>
    <t>251*</t>
  </si>
  <si>
    <t>Doplňková činnost</t>
  </si>
  <si>
    <t>8*</t>
  </si>
  <si>
    <t>Výnosy celkem (ř.27 až 43)</t>
  </si>
  <si>
    <t>A-příspěvek na vzdělávací činnost</t>
  </si>
  <si>
    <t>111*</t>
  </si>
  <si>
    <t>Dotace na SKM, přísp.na ubytovací a soc.stip.</t>
  </si>
  <si>
    <t>12*, 117*</t>
  </si>
  <si>
    <t>Účelové příspěvky bez VaV</t>
  </si>
  <si>
    <t xml:space="preserve">VaV - dotace na specif. výzkum </t>
  </si>
  <si>
    <t>211*</t>
  </si>
  <si>
    <t>VaV - Výzkumné záměry</t>
  </si>
  <si>
    <t>VaV - ze SR a od úz.celků</t>
  </si>
  <si>
    <t xml:space="preserve">Účelové příspěvky  na VaV </t>
  </si>
  <si>
    <t>Vlastní zdroje (hl.č.za úplatu)</t>
  </si>
  <si>
    <t>Čerpání fondů</t>
  </si>
  <si>
    <t>4*</t>
  </si>
  <si>
    <t>Hospodářský výsledek dílčí (ř.27+32+36+41+42+43-2-25)</t>
  </si>
  <si>
    <t>Hospodářský výsledek (ř.26-1)</t>
  </si>
  <si>
    <t>Schváleno v AS fakulty dne:</t>
  </si>
  <si>
    <t>Podpis: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</si>
  <si>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</si>
  <si>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</si>
  <si>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</si>
  <si>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</si>
  <si>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Náklady na dotační odpisy plánujte na ř. 11, odpovídající částku účtovanou dle vyhl.504 do výnosů plánujte na ř. 41.</t>
  </si>
  <si>
    <t>Prostředky získané ze SR jako spolupříjemci (partneři) dotačních projektů plánujte - projekty VaV na ř. 24 a 40, ostatní (většinou projekty spolufinancované EU) na ř. 20 a 35</t>
  </si>
  <si>
    <r>
      <t xml:space="preserve">Hosp.středisko: </t>
    </r>
    <r>
      <rPr>
        <b/>
        <i/>
        <sz val="10"/>
        <rFont val="Arial CE"/>
        <family val="2"/>
      </rPr>
      <t>doplnit č.HS a název</t>
    </r>
  </si>
  <si>
    <r>
      <t>111*,12*,117*,152*,153*,157*,159*,167*,169*,</t>
    </r>
    <r>
      <rPr>
        <sz val="8"/>
        <color indexed="10"/>
        <rFont val="Arial CE"/>
        <family val="0"/>
      </rPr>
      <t>19*</t>
    </r>
    <r>
      <rPr>
        <sz val="8"/>
        <rFont val="Arial CE"/>
        <family val="2"/>
      </rPr>
      <t>,211*,257*,259*,267*,269*,4*</t>
    </r>
  </si>
  <si>
    <r>
      <t>213*,214*,</t>
    </r>
    <r>
      <rPr>
        <sz val="8"/>
        <rFont val="Arial CE"/>
        <family val="2"/>
      </rPr>
      <t>22*</t>
    </r>
  </si>
  <si>
    <r>
      <t>152*,153*,157*,159*,167*,169*,</t>
    </r>
    <r>
      <rPr>
        <sz val="8"/>
        <color indexed="10"/>
        <rFont val="Arial CE"/>
        <family val="0"/>
      </rPr>
      <t>19*</t>
    </r>
    <r>
      <rPr>
        <sz val="8"/>
        <rFont val="Arial CE"/>
        <family val="2"/>
      </rPr>
      <t>,257*,259*,267*,269*</t>
    </r>
  </si>
  <si>
    <t>11 - Lékařská fakulta</t>
  </si>
  <si>
    <t>21 - Filozofická fakulta</t>
  </si>
  <si>
    <t>22 - Právnická fakulta</t>
  </si>
  <si>
    <t>23 - Fakulta sociálních studií</t>
  </si>
  <si>
    <t>31 - Přírodovědecká fakulta</t>
  </si>
  <si>
    <t>33 - Fakulta informatiky</t>
  </si>
  <si>
    <t>41 - Pedagogická fakulta</t>
  </si>
  <si>
    <t>51 - Fakulta sportovních studií</t>
  </si>
  <si>
    <t>56 - Ekonomicko správní fakulta</t>
  </si>
  <si>
    <t>81 - SKM</t>
  </si>
  <si>
    <t>82 - SUKB</t>
  </si>
  <si>
    <t>83 - UCT</t>
  </si>
  <si>
    <t>84 - SPSSN</t>
  </si>
  <si>
    <t>85 - IBA</t>
  </si>
  <si>
    <t>92 - ÚVT</t>
  </si>
  <si>
    <t>94 - vydavatelství</t>
  </si>
  <si>
    <t>96 - CJV</t>
  </si>
  <si>
    <t>97 - CZS</t>
  </si>
  <si>
    <t>98 - RMU</t>
  </si>
  <si>
    <t>x</t>
  </si>
  <si>
    <t>Plán výměny NEI příspěvku za příspěvek na kapitálové výdaje je uveden v nákladech na ř.13 a činí částku:</t>
  </si>
  <si>
    <t>zak 1001</t>
  </si>
  <si>
    <t>zak 1002</t>
  </si>
  <si>
    <t>součet</t>
  </si>
  <si>
    <t>zak 1921</t>
  </si>
  <si>
    <t>součet SUKB</t>
  </si>
  <si>
    <t>ze sl.3</t>
  </si>
  <si>
    <t>(+)</t>
  </si>
  <si>
    <t>(-)</t>
  </si>
  <si>
    <t>sl.3+4</t>
  </si>
  <si>
    <t>sl.5 až 7</t>
  </si>
  <si>
    <t>LF</t>
  </si>
  <si>
    <t>PřF</t>
  </si>
  <si>
    <t>3a</t>
  </si>
  <si>
    <t>3b</t>
  </si>
  <si>
    <t>zak 5001,</t>
  </si>
  <si>
    <r>
      <t xml:space="preserve">Hosp.středisko: </t>
    </r>
    <r>
      <rPr>
        <b/>
        <i/>
        <sz val="10"/>
        <rFont val="Times New Roman"/>
        <family val="1"/>
      </rPr>
      <t>doplnit č.HS a název</t>
    </r>
  </si>
  <si>
    <t>SKM</t>
  </si>
  <si>
    <r>
      <t>Rozpočet 2007</t>
    </r>
    <r>
      <rPr>
        <sz val="10"/>
        <rFont val="Arial CE"/>
        <family val="0"/>
      </rPr>
      <t xml:space="preserve"> - v tis. Kč</t>
    </r>
  </si>
  <si>
    <t>SUKB</t>
  </si>
  <si>
    <t>UCT</t>
  </si>
  <si>
    <t>SPSSN</t>
  </si>
  <si>
    <t>IBA</t>
  </si>
  <si>
    <t>ÚVT</t>
  </si>
  <si>
    <t>VMU</t>
  </si>
  <si>
    <t>CJV</t>
  </si>
  <si>
    <t>CZS</t>
  </si>
  <si>
    <t>RMU</t>
  </si>
  <si>
    <t>celkem</t>
  </si>
  <si>
    <t>FF</t>
  </si>
  <si>
    <t>PrF</t>
  </si>
  <si>
    <t>FSS</t>
  </si>
  <si>
    <t>FI</t>
  </si>
  <si>
    <t>PdF</t>
  </si>
  <si>
    <t>FSpS</t>
  </si>
  <si>
    <t>ESF</t>
  </si>
  <si>
    <t>MU celkem - plán</t>
  </si>
  <si>
    <t>fakulty</t>
  </si>
  <si>
    <r>
      <t xml:space="preserve">Rozpočet 2007 </t>
    </r>
    <r>
      <rPr>
        <b/>
        <sz val="10"/>
        <rFont val="Arial CE"/>
        <family val="0"/>
      </rPr>
      <t>- v tis. Kč</t>
    </r>
  </si>
  <si>
    <t>přehled po fakultách - plán</t>
  </si>
  <si>
    <t>přehled režijních součástí MU - plán</t>
  </si>
  <si>
    <t>sumář režijních součástí MU - plán</t>
  </si>
  <si>
    <t>sumář fakult - plán</t>
  </si>
  <si>
    <t>Masarykova univerzita</t>
  </si>
  <si>
    <t>Žerotínovo nám. 9, 601 77  Brno</t>
  </si>
  <si>
    <t>Rozpočet MU 2007 - část neinvestiční</t>
  </si>
  <si>
    <t>Zpracovala: Ing.Foukalová</t>
  </si>
  <si>
    <t>V Brně dne 9.3.2007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</si>
</sst>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"/>
    <numFmt numFmtId="167" formatCode="#,##0.0"/>
    <numFmt numFmtId="168" formatCode="0.000000"/>
    <numFmt numFmtId="169" formatCode="0.0000000"/>
    <numFmt numFmtId="170" formatCode="0.000"/>
    <numFmt numFmtId="171" formatCode="0.0000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\ &quot;Kč&quot;"/>
    <numFmt numFmtId="187" formatCode="#,##0.00000000"/>
    <numFmt numFmtId="188" formatCode="0.00000000"/>
    <numFmt numFmtId="189" formatCode="#,##0.000000"/>
    <numFmt numFmtId="190" formatCode="#,##0.0000000"/>
    <numFmt numFmtId="191" formatCode="_-* #,##0.0\ _K_č_-;\-* #,##0.0\ _K_č_-;_-* &quot;-&quot;??\ _K_č_-;_-@_-"/>
    <numFmt numFmtId="192" formatCode="#,##0.00000"/>
    <numFmt numFmtId="193" formatCode="_-* #,##0\ _K_č_-;\-* #,##0\ _K_č_-;_-* &quot;-&quot;??\ _K_č_-;_-@_-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b/>
      <sz val="9"/>
      <name val="Arial CE"/>
      <family val="0"/>
    </font>
    <font>
      <sz val="8"/>
      <color indexed="10"/>
      <name val="Arial CE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9"/>
      <color indexed="12"/>
      <name val="Arial CE"/>
      <family val="0"/>
    </font>
    <font>
      <b/>
      <sz val="10"/>
      <color indexed="12"/>
      <name val="Arial CE"/>
      <family val="2"/>
    </font>
    <font>
      <i/>
      <sz val="9"/>
      <name val="Arial CE"/>
      <family val="0"/>
    </font>
    <font>
      <i/>
      <sz val="8"/>
      <name val="Arial CE"/>
      <family val="0"/>
    </font>
    <font>
      <i/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12"/>
      <name val="Times New Roman"/>
      <family val="1"/>
    </font>
    <font>
      <b/>
      <i/>
      <sz val="9"/>
      <name val="Arial CE"/>
      <family val="0"/>
    </font>
    <font>
      <sz val="12"/>
      <name val="Arial CE"/>
      <family val="0"/>
    </font>
    <font>
      <b/>
      <sz val="24"/>
      <name val="Arial CE"/>
      <family val="0"/>
    </font>
    <font>
      <b/>
      <sz val="16"/>
      <name val="Arial CE"/>
      <family val="0"/>
    </font>
    <font>
      <b/>
      <sz val="2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5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6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7" fillId="2" borderId="14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6" fillId="2" borderId="30" xfId="0" applyFont="1" applyFill="1" applyBorder="1" applyAlignment="1">
      <alignment/>
    </xf>
    <xf numFmtId="0" fontId="6" fillId="2" borderId="31" xfId="0" applyFont="1" applyFill="1" applyBorder="1" applyAlignment="1">
      <alignment/>
    </xf>
    <xf numFmtId="0" fontId="10" fillId="2" borderId="32" xfId="0" applyFont="1" applyFill="1" applyBorder="1" applyAlignment="1">
      <alignment horizontal="left"/>
    </xf>
    <xf numFmtId="0" fontId="6" fillId="2" borderId="33" xfId="0" applyFont="1" applyFill="1" applyBorder="1" applyAlignment="1">
      <alignment/>
    </xf>
    <xf numFmtId="0" fontId="11" fillId="2" borderId="31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7" fillId="2" borderId="34" xfId="0" applyFont="1" applyFill="1" applyBorder="1" applyAlignment="1">
      <alignment/>
    </xf>
    <xf numFmtId="0" fontId="0" fillId="0" borderId="35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0" fillId="0" borderId="42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0" fillId="3" borderId="44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23" xfId="0" applyFont="1" applyBorder="1" applyAlignment="1">
      <alignment horizontal="center"/>
    </xf>
    <xf numFmtId="0" fontId="17" fillId="0" borderId="0" xfId="0" applyFont="1" applyAlignment="1">
      <alignment/>
    </xf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7" xfId="0" applyFont="1" applyBorder="1" applyAlignment="1">
      <alignment/>
    </xf>
    <xf numFmtId="0" fontId="13" fillId="0" borderId="0" xfId="0" applyFont="1" applyAlignment="1">
      <alignment/>
    </xf>
    <xf numFmtId="3" fontId="5" fillId="0" borderId="26" xfId="21" applyNumberFormat="1" applyFont="1" applyBorder="1">
      <alignment/>
      <protection/>
    </xf>
    <xf numFmtId="3" fontId="18" fillId="0" borderId="45" xfId="21" applyNumberFormat="1" applyFont="1" applyBorder="1">
      <alignment/>
      <protection/>
    </xf>
    <xf numFmtId="3" fontId="18" fillId="0" borderId="26" xfId="21" applyNumberFormat="1" applyFont="1" applyBorder="1">
      <alignment/>
      <protection/>
    </xf>
    <xf numFmtId="3" fontId="5" fillId="0" borderId="23" xfId="21" applyNumberFormat="1" applyFont="1" applyBorder="1">
      <alignment/>
      <protection/>
    </xf>
    <xf numFmtId="3" fontId="6" fillId="2" borderId="34" xfId="0" applyNumberFormat="1" applyFont="1" applyFill="1" applyBorder="1" applyAlignment="1">
      <alignment/>
    </xf>
    <xf numFmtId="3" fontId="6" fillId="2" borderId="31" xfId="0" applyNumberFormat="1" applyFont="1" applyFill="1" applyBorder="1" applyAlignment="1">
      <alignment/>
    </xf>
    <xf numFmtId="3" fontId="10" fillId="2" borderId="31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" fontId="5" fillId="2" borderId="34" xfId="0" applyNumberFormat="1" applyFont="1" applyFill="1" applyBorder="1" applyAlignment="1">
      <alignment/>
    </xf>
    <xf numFmtId="3" fontId="0" fillId="0" borderId="21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19" fillId="0" borderId="27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28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/>
    </xf>
    <xf numFmtId="3" fontId="7" fillId="0" borderId="39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27" xfId="21" applyNumberFormat="1" applyFont="1" applyBorder="1">
      <alignment/>
      <protection/>
    </xf>
    <xf numFmtId="3" fontId="5" fillId="0" borderId="46" xfId="21" applyNumberFormat="1" applyFont="1" applyBorder="1">
      <alignment/>
      <protection/>
    </xf>
    <xf numFmtId="3" fontId="5" fillId="0" borderId="17" xfId="21" applyNumberFormat="1" applyFont="1" applyBorder="1">
      <alignment/>
      <protection/>
    </xf>
    <xf numFmtId="3" fontId="5" fillId="0" borderId="16" xfId="21" applyNumberFormat="1" applyFont="1" applyBorder="1">
      <alignment/>
      <protection/>
    </xf>
    <xf numFmtId="3" fontId="5" fillId="0" borderId="21" xfId="21" applyNumberFormat="1" applyFont="1" applyBorder="1">
      <alignment/>
      <protection/>
    </xf>
    <xf numFmtId="3" fontId="5" fillId="0" borderId="37" xfId="21" applyNumberFormat="1" applyFont="1" applyBorder="1">
      <alignment/>
      <protection/>
    </xf>
    <xf numFmtId="3" fontId="5" fillId="0" borderId="36" xfId="21" applyNumberFormat="1" applyFont="1" applyBorder="1">
      <alignment/>
      <protection/>
    </xf>
    <xf numFmtId="3" fontId="5" fillId="0" borderId="28" xfId="21" applyNumberFormat="1" applyFont="1" applyBorder="1">
      <alignment/>
      <protection/>
    </xf>
    <xf numFmtId="0" fontId="5" fillId="0" borderId="44" xfId="0" applyFont="1" applyBorder="1" applyAlignment="1">
      <alignment/>
    </xf>
    <xf numFmtId="0" fontId="0" fillId="0" borderId="0" xfId="0" applyFont="1" applyFill="1" applyBorder="1" applyAlignment="1">
      <alignment/>
    </xf>
    <xf numFmtId="3" fontId="5" fillId="0" borderId="47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1" fillId="2" borderId="34" xfId="0" applyNumberFormat="1" applyFont="1" applyFill="1" applyBorder="1" applyAlignment="1">
      <alignment/>
    </xf>
    <xf numFmtId="3" fontId="7" fillId="0" borderId="21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15" fillId="0" borderId="0" xfId="0" applyFont="1" applyAlignment="1">
      <alignment/>
    </xf>
    <xf numFmtId="3" fontId="7" fillId="0" borderId="27" xfId="0" applyNumberFormat="1" applyFont="1" applyFill="1" applyBorder="1" applyAlignment="1">
      <alignment/>
    </xf>
    <xf numFmtId="3" fontId="17" fillId="0" borderId="27" xfId="0" applyNumberFormat="1" applyFont="1" applyFill="1" applyBorder="1" applyAlignment="1">
      <alignment/>
    </xf>
    <xf numFmtId="3" fontId="5" fillId="0" borderId="20" xfId="0" applyNumberFormat="1" applyFont="1" applyBorder="1" applyAlignment="1">
      <alignment/>
    </xf>
    <xf numFmtId="3" fontId="18" fillId="0" borderId="4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2" xfId="0" applyFont="1" applyBorder="1" applyAlignment="1">
      <alignment/>
    </xf>
    <xf numFmtId="3" fontId="5" fillId="0" borderId="48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3" fontId="5" fillId="0" borderId="49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18" fillId="0" borderId="48" xfId="0" applyNumberFormat="1" applyFont="1" applyBorder="1" applyAlignment="1">
      <alignment/>
    </xf>
    <xf numFmtId="3" fontId="18" fillId="0" borderId="36" xfId="0" applyNumberFormat="1" applyFont="1" applyBorder="1" applyAlignment="1">
      <alignment/>
    </xf>
    <xf numFmtId="3" fontId="18" fillId="0" borderId="49" xfId="0" applyNumberFormat="1" applyFont="1" applyBorder="1" applyAlignment="1">
      <alignment/>
    </xf>
    <xf numFmtId="14" fontId="5" fillId="0" borderId="0" xfId="0" applyNumberFormat="1" applyFont="1" applyAlignment="1">
      <alignment horizontal="left"/>
    </xf>
    <xf numFmtId="3" fontId="10" fillId="2" borderId="31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0" fillId="2" borderId="53" xfId="0" applyNumberFormat="1" applyFont="1" applyFill="1" applyBorder="1" applyAlignment="1">
      <alignment/>
    </xf>
    <xf numFmtId="3" fontId="5" fillId="0" borderId="54" xfId="0" applyNumberFormat="1" applyFont="1" applyBorder="1" applyAlignment="1">
      <alignment/>
    </xf>
    <xf numFmtId="3" fontId="10" fillId="2" borderId="53" xfId="0" applyNumberFormat="1" applyFont="1" applyFill="1" applyBorder="1" applyAlignment="1">
      <alignment/>
    </xf>
    <xf numFmtId="3" fontId="17" fillId="0" borderId="27" xfId="0" applyNumberFormat="1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27" xfId="15" applyNumberFormat="1" applyFont="1" applyBorder="1" applyAlignment="1">
      <alignment/>
    </xf>
    <xf numFmtId="3" fontId="5" fillId="0" borderId="25" xfId="21" applyNumberFormat="1" applyFont="1" applyBorder="1">
      <alignment/>
      <protection/>
    </xf>
    <xf numFmtId="3" fontId="5" fillId="0" borderId="22" xfId="21" applyNumberFormat="1" applyFont="1" applyBorder="1">
      <alignment/>
      <protection/>
    </xf>
    <xf numFmtId="3" fontId="5" fillId="0" borderId="24" xfId="21" applyNumberFormat="1" applyFont="1" applyBorder="1">
      <alignment/>
      <protection/>
    </xf>
    <xf numFmtId="3" fontId="5" fillId="0" borderId="55" xfId="21" applyNumberFormat="1" applyFont="1" applyBorder="1">
      <alignment/>
      <protection/>
    </xf>
    <xf numFmtId="3" fontId="5" fillId="0" borderId="0" xfId="21" applyNumberFormat="1" applyFont="1" applyBorder="1">
      <alignment/>
      <protection/>
    </xf>
    <xf numFmtId="3" fontId="5" fillId="0" borderId="56" xfId="21" applyNumberFormat="1" applyFont="1" applyBorder="1">
      <alignment/>
      <protection/>
    </xf>
    <xf numFmtId="3" fontId="5" fillId="0" borderId="57" xfId="21" applyNumberFormat="1" applyFont="1" applyBorder="1">
      <alignment/>
      <protection/>
    </xf>
    <xf numFmtId="3" fontId="5" fillId="0" borderId="35" xfId="21" applyNumberFormat="1" applyFont="1" applyBorder="1">
      <alignment/>
      <protection/>
    </xf>
    <xf numFmtId="3" fontId="5" fillId="0" borderId="29" xfId="21" applyNumberFormat="1" applyFont="1" applyBorder="1">
      <alignment/>
      <protection/>
    </xf>
    <xf numFmtId="3" fontId="5" fillId="0" borderId="42" xfId="21" applyNumberFormat="1" applyFont="1" applyBorder="1">
      <alignment/>
      <protection/>
    </xf>
    <xf numFmtId="3" fontId="5" fillId="0" borderId="39" xfId="21" applyNumberFormat="1" applyFont="1" applyBorder="1">
      <alignment/>
      <protection/>
    </xf>
    <xf numFmtId="3" fontId="5" fillId="0" borderId="40" xfId="21" applyNumberFormat="1" applyFont="1" applyBorder="1">
      <alignment/>
      <protection/>
    </xf>
    <xf numFmtId="3" fontId="5" fillId="0" borderId="41" xfId="21" applyNumberFormat="1" applyFont="1" applyBorder="1">
      <alignment/>
      <protection/>
    </xf>
    <xf numFmtId="3" fontId="5" fillId="0" borderId="48" xfId="15" applyNumberFormat="1" applyFont="1" applyBorder="1" applyAlignment="1">
      <alignment/>
    </xf>
    <xf numFmtId="3" fontId="5" fillId="0" borderId="45" xfId="15" applyNumberFormat="1" applyFont="1" applyBorder="1" applyAlignment="1">
      <alignment/>
    </xf>
    <xf numFmtId="3" fontId="5" fillId="0" borderId="58" xfId="15" applyNumberFormat="1" applyFont="1" applyBorder="1" applyAlignment="1">
      <alignment/>
    </xf>
    <xf numFmtId="3" fontId="5" fillId="0" borderId="21" xfId="15" applyNumberFormat="1" applyFont="1" applyBorder="1" applyAlignment="1">
      <alignment/>
    </xf>
    <xf numFmtId="3" fontId="5" fillId="0" borderId="37" xfId="15" applyNumberFormat="1" applyFont="1" applyBorder="1" applyAlignment="1">
      <alignment/>
    </xf>
    <xf numFmtId="3" fontId="5" fillId="0" borderId="43" xfId="15" applyNumberFormat="1" applyFont="1" applyBorder="1" applyAlignment="1">
      <alignment/>
    </xf>
    <xf numFmtId="3" fontId="5" fillId="0" borderId="19" xfId="15" applyNumberFormat="1" applyFont="1" applyBorder="1" applyAlignment="1">
      <alignment/>
    </xf>
    <xf numFmtId="3" fontId="5" fillId="0" borderId="35" xfId="15" applyNumberFormat="1" applyFont="1" applyBorder="1" applyAlignment="1">
      <alignment/>
    </xf>
    <xf numFmtId="3" fontId="5" fillId="0" borderId="42" xfId="15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18" fillId="0" borderId="61" xfId="0" applyFont="1" applyBorder="1" applyAlignment="1">
      <alignment horizontal="center"/>
    </xf>
    <xf numFmtId="3" fontId="5" fillId="2" borderId="44" xfId="0" applyNumberFormat="1" applyFont="1" applyFill="1" applyBorder="1" applyAlignment="1">
      <alignment/>
    </xf>
    <xf numFmtId="3" fontId="5" fillId="0" borderId="62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4" borderId="62" xfId="0" applyNumberFormat="1" applyFont="1" applyFill="1" applyBorder="1" applyAlignment="1">
      <alignment/>
    </xf>
    <xf numFmtId="3" fontId="18" fillId="0" borderId="62" xfId="0" applyNumberFormat="1" applyFont="1" applyBorder="1" applyAlignment="1">
      <alignment/>
    </xf>
    <xf numFmtId="3" fontId="18" fillId="3" borderId="62" xfId="0" applyNumberFormat="1" applyFont="1" applyFill="1" applyBorder="1" applyAlignment="1">
      <alignment/>
    </xf>
    <xf numFmtId="3" fontId="18" fillId="5" borderId="62" xfId="0" applyNumberFormat="1" applyFont="1" applyFill="1" applyBorder="1" applyAlignment="1">
      <alignment/>
    </xf>
    <xf numFmtId="3" fontId="5" fillId="0" borderId="62" xfId="0" applyNumberFormat="1" applyFont="1" applyFill="1" applyBorder="1" applyAlignment="1">
      <alignment/>
    </xf>
    <xf numFmtId="3" fontId="5" fillId="0" borderId="63" xfId="0" applyNumberFormat="1" applyFont="1" applyBorder="1" applyAlignment="1">
      <alignment/>
    </xf>
    <xf numFmtId="3" fontId="5" fillId="3" borderId="63" xfId="0" applyNumberFormat="1" applyFont="1" applyFill="1" applyBorder="1" applyAlignment="1">
      <alignment/>
    </xf>
    <xf numFmtId="0" fontId="5" fillId="0" borderId="59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3" fillId="0" borderId="1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7" xfId="0" applyFont="1" applyBorder="1" applyAlignment="1">
      <alignment/>
    </xf>
    <xf numFmtId="0" fontId="25" fillId="0" borderId="8" xfId="0" applyFont="1" applyBorder="1" applyAlignment="1">
      <alignment/>
    </xf>
    <xf numFmtId="0" fontId="23" fillId="0" borderId="9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5" fillId="2" borderId="7" xfId="0" applyFont="1" applyFill="1" applyBorder="1" applyAlignment="1">
      <alignment/>
    </xf>
    <xf numFmtId="0" fontId="25" fillId="2" borderId="8" xfId="0" applyFont="1" applyFill="1" applyBorder="1" applyAlignment="1">
      <alignment/>
    </xf>
    <xf numFmtId="0" fontId="30" fillId="2" borderId="14" xfId="0" applyFont="1" applyFill="1" applyBorder="1" applyAlignment="1">
      <alignment horizontal="center"/>
    </xf>
    <xf numFmtId="3" fontId="24" fillId="2" borderId="34" xfId="0" applyNumberFormat="1" applyFont="1" applyFill="1" applyBorder="1" applyAlignment="1">
      <alignment/>
    </xf>
    <xf numFmtId="3" fontId="25" fillId="2" borderId="31" xfId="0" applyNumberFormat="1" applyFont="1" applyFill="1" applyBorder="1" applyAlignment="1">
      <alignment/>
    </xf>
    <xf numFmtId="3" fontId="31" fillId="2" borderId="31" xfId="0" applyNumberFormat="1" applyFont="1" applyFill="1" applyBorder="1" applyAlignment="1">
      <alignment/>
    </xf>
    <xf numFmtId="3" fontId="31" fillId="2" borderId="14" xfId="0" applyNumberFormat="1" applyFont="1" applyFill="1" applyBorder="1" applyAlignment="1">
      <alignment/>
    </xf>
    <xf numFmtId="3" fontId="26" fillId="2" borderId="34" xfId="0" applyNumberFormat="1" applyFont="1" applyFill="1" applyBorder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 horizontal="center"/>
    </xf>
    <xf numFmtId="3" fontId="30" fillId="0" borderId="21" xfId="0" applyNumberFormat="1" applyFont="1" applyBorder="1" applyAlignment="1">
      <alignment/>
    </xf>
    <xf numFmtId="3" fontId="30" fillId="0" borderId="16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17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0" fontId="30" fillId="0" borderId="0" xfId="0" applyFont="1" applyAlignment="1">
      <alignment/>
    </xf>
    <xf numFmtId="0" fontId="32" fillId="0" borderId="15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22" xfId="0" applyFont="1" applyBorder="1" applyAlignment="1">
      <alignment/>
    </xf>
    <xf numFmtId="0" fontId="32" fillId="0" borderId="23" xfId="0" applyFont="1" applyBorder="1" applyAlignment="1">
      <alignment horizontal="center"/>
    </xf>
    <xf numFmtId="3" fontId="32" fillId="0" borderId="27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3" fontId="26" fillId="0" borderId="26" xfId="0" applyNumberFormat="1" applyFont="1" applyBorder="1" applyAlignment="1">
      <alignment/>
    </xf>
    <xf numFmtId="3" fontId="26" fillId="0" borderId="23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6" fillId="0" borderId="27" xfId="0" applyNumberFormat="1" applyFont="1" applyBorder="1" applyAlignment="1">
      <alignment/>
    </xf>
    <xf numFmtId="0" fontId="32" fillId="0" borderId="0" xfId="0" applyFont="1" applyAlignment="1">
      <alignment/>
    </xf>
    <xf numFmtId="0" fontId="30" fillId="0" borderId="28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3" xfId="0" applyFont="1" applyBorder="1" applyAlignment="1">
      <alignment horizontal="center"/>
    </xf>
    <xf numFmtId="3" fontId="30" fillId="0" borderId="27" xfId="0" applyNumberFormat="1" applyFont="1" applyBorder="1" applyAlignment="1">
      <alignment/>
    </xf>
    <xf numFmtId="3" fontId="30" fillId="0" borderId="22" xfId="0" applyNumberFormat="1" applyFont="1" applyBorder="1" applyAlignment="1">
      <alignment/>
    </xf>
    <xf numFmtId="0" fontId="30" fillId="0" borderId="28" xfId="0" applyFont="1" applyFill="1" applyBorder="1" applyAlignment="1">
      <alignment/>
    </xf>
    <xf numFmtId="0" fontId="30" fillId="0" borderId="22" xfId="0" applyFont="1" applyFill="1" applyBorder="1" applyAlignment="1">
      <alignment/>
    </xf>
    <xf numFmtId="0" fontId="30" fillId="0" borderId="23" xfId="0" applyFont="1" applyFill="1" applyBorder="1" applyAlignment="1">
      <alignment horizontal="center"/>
    </xf>
    <xf numFmtId="3" fontId="26" fillId="0" borderId="64" xfId="0" applyNumberFormat="1" applyFont="1" applyBorder="1" applyAlignment="1">
      <alignment/>
    </xf>
    <xf numFmtId="0" fontId="25" fillId="2" borderId="30" xfId="0" applyFont="1" applyFill="1" applyBorder="1" applyAlignment="1">
      <alignment/>
    </xf>
    <xf numFmtId="0" fontId="25" fillId="2" borderId="31" xfId="0" applyFont="1" applyFill="1" applyBorder="1" applyAlignment="1">
      <alignment/>
    </xf>
    <xf numFmtId="3" fontId="30" fillId="0" borderId="28" xfId="0" applyNumberFormat="1" applyFont="1" applyBorder="1" applyAlignment="1">
      <alignment/>
    </xf>
    <xf numFmtId="3" fontId="26" fillId="0" borderId="28" xfId="0" applyNumberFormat="1" applyFont="1" applyBorder="1" applyAlignment="1">
      <alignment/>
    </xf>
    <xf numFmtId="3" fontId="26" fillId="0" borderId="36" xfId="0" applyNumberFormat="1" applyFont="1" applyBorder="1" applyAlignment="1">
      <alignment/>
    </xf>
    <xf numFmtId="3" fontId="26" fillId="0" borderId="37" xfId="0" applyNumberFormat="1" applyFont="1" applyBorder="1" applyAlignment="1">
      <alignment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40" xfId="0" applyFont="1" applyBorder="1" applyAlignment="1">
      <alignment horizontal="center"/>
    </xf>
    <xf numFmtId="3" fontId="30" fillId="0" borderId="43" xfId="0" applyNumberFormat="1" applyFont="1" applyBorder="1" applyAlignment="1">
      <alignment/>
    </xf>
    <xf numFmtId="3" fontId="30" fillId="0" borderId="39" xfId="0" applyNumberFormat="1" applyFont="1" applyBorder="1" applyAlignment="1">
      <alignment/>
    </xf>
    <xf numFmtId="3" fontId="26" fillId="0" borderId="39" xfId="0" applyNumberFormat="1" applyFont="1" applyBorder="1" applyAlignment="1">
      <alignment/>
    </xf>
    <xf numFmtId="3" fontId="26" fillId="0" borderId="40" xfId="0" applyNumberFormat="1" applyFont="1" applyBorder="1" applyAlignment="1">
      <alignment/>
    </xf>
    <xf numFmtId="3" fontId="26" fillId="0" borderId="43" xfId="0" applyNumberFormat="1" applyFont="1" applyBorder="1" applyAlignment="1">
      <alignment/>
    </xf>
    <xf numFmtId="0" fontId="30" fillId="0" borderId="7" xfId="0" applyFont="1" applyBorder="1" applyAlignment="1">
      <alignment/>
    </xf>
    <xf numFmtId="0" fontId="30" fillId="0" borderId="8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3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3" fontId="5" fillId="3" borderId="44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18" fillId="0" borderId="65" xfId="0" applyNumberFormat="1" applyFont="1" applyBorder="1" applyAlignment="1">
      <alignment/>
    </xf>
    <xf numFmtId="3" fontId="18" fillId="0" borderId="54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66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0" fontId="7" fillId="0" borderId="67" xfId="0" applyFont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2" borderId="69" xfId="0" applyFont="1" applyFill="1" applyBorder="1" applyAlignment="1">
      <alignment horizontal="center"/>
    </xf>
    <xf numFmtId="3" fontId="11" fillId="2" borderId="34" xfId="0" applyNumberFormat="1" applyFont="1" applyFill="1" applyBorder="1" applyAlignment="1">
      <alignment/>
    </xf>
    <xf numFmtId="3" fontId="18" fillId="0" borderId="66" xfId="0" applyNumberFormat="1" applyFont="1" applyBorder="1" applyAlignment="1">
      <alignment/>
    </xf>
    <xf numFmtId="3" fontId="18" fillId="0" borderId="40" xfId="0" applyNumberFormat="1" applyFont="1" applyBorder="1" applyAlignment="1">
      <alignment/>
    </xf>
    <xf numFmtId="3" fontId="5" fillId="0" borderId="70" xfId="0" applyNumberFormat="1" applyFont="1" applyBorder="1" applyAlignment="1">
      <alignment/>
    </xf>
    <xf numFmtId="0" fontId="5" fillId="0" borderId="7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11" fillId="2" borderId="30" xfId="0" applyNumberFormat="1" applyFont="1" applyFill="1" applyBorder="1" applyAlignment="1">
      <alignment/>
    </xf>
    <xf numFmtId="3" fontId="7" fillId="0" borderId="72" xfId="0" applyNumberFormat="1" applyFont="1" applyBorder="1" applyAlignment="1">
      <alignment/>
    </xf>
    <xf numFmtId="3" fontId="11" fillId="2" borderId="30" xfId="0" applyNumberFormat="1" applyFont="1" applyFill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11" fillId="2" borderId="32" xfId="0" applyNumberFormat="1" applyFont="1" applyFill="1" applyBorder="1" applyAlignment="1">
      <alignment/>
    </xf>
    <xf numFmtId="3" fontId="7" fillId="0" borderId="18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11" fillId="2" borderId="32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3" fontId="11" fillId="2" borderId="75" xfId="0" applyNumberFormat="1" applyFont="1" applyFill="1" applyBorder="1" applyAlignment="1">
      <alignment/>
    </xf>
    <xf numFmtId="3" fontId="7" fillId="0" borderId="76" xfId="0" applyNumberFormat="1" applyFont="1" applyBorder="1" applyAlignment="1">
      <alignment/>
    </xf>
    <xf numFmtId="3" fontId="18" fillId="0" borderId="63" xfId="0" applyNumberFormat="1" applyFont="1" applyBorder="1" applyAlignment="1">
      <alignment/>
    </xf>
    <xf numFmtId="3" fontId="11" fillId="2" borderId="75" xfId="0" applyNumberFormat="1" applyFont="1" applyFill="1" applyBorder="1" applyAlignment="1">
      <alignment/>
    </xf>
    <xf numFmtId="3" fontId="5" fillId="0" borderId="77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3" fontId="18" fillId="0" borderId="41" xfId="0" applyNumberFormat="1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3" fontId="10" fillId="2" borderId="34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/>
    </xf>
    <xf numFmtId="3" fontId="18" fillId="0" borderId="27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" fontId="11" fillId="2" borderId="31" xfId="0" applyNumberFormat="1" applyFont="1" applyFill="1" applyBorder="1" applyAlignment="1">
      <alignment/>
    </xf>
    <xf numFmtId="3" fontId="17" fillId="0" borderId="28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3" fontId="17" fillId="0" borderId="81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3" fontId="11" fillId="2" borderId="33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17" fillId="0" borderId="35" xfId="0" applyNumberFormat="1" applyFont="1" applyBorder="1" applyAlignment="1">
      <alignment/>
    </xf>
    <xf numFmtId="3" fontId="17" fillId="0" borderId="25" xfId="0" applyNumberFormat="1" applyFont="1" applyBorder="1" applyAlignment="1">
      <alignment/>
    </xf>
    <xf numFmtId="3" fontId="17" fillId="0" borderId="82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7" fillId="0" borderId="11" xfId="0" applyNumberFormat="1" applyFont="1" applyBorder="1" applyAlignment="1">
      <alignment/>
    </xf>
    <xf numFmtId="3" fontId="18" fillId="0" borderId="28" xfId="0" applyNumberFormat="1" applyFont="1" applyBorder="1" applyAlignment="1">
      <alignment/>
    </xf>
    <xf numFmtId="3" fontId="18" fillId="0" borderId="83" xfId="0" applyNumberFormat="1" applyFont="1" applyBorder="1" applyAlignment="1">
      <alignment/>
    </xf>
    <xf numFmtId="3" fontId="18" fillId="0" borderId="84" xfId="0" applyNumberFormat="1" applyFont="1" applyBorder="1" applyAlignment="1">
      <alignment/>
    </xf>
    <xf numFmtId="3" fontId="18" fillId="0" borderId="81" xfId="0" applyNumberFormat="1" applyFont="1" applyBorder="1" applyAlignment="1">
      <alignment/>
    </xf>
    <xf numFmtId="3" fontId="18" fillId="0" borderId="85" xfId="0" applyNumberFormat="1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1" fillId="0" borderId="21" xfId="0" applyNumberFormat="1" applyFont="1" applyBorder="1" applyAlignment="1">
      <alignment/>
    </xf>
    <xf numFmtId="3" fontId="34" fillId="0" borderId="37" xfId="0" applyNumberFormat="1" applyFont="1" applyBorder="1" applyAlignment="1">
      <alignment/>
    </xf>
    <xf numFmtId="3" fontId="34" fillId="0" borderId="27" xfId="0" applyNumberFormat="1" applyFont="1" applyBorder="1" applyAlignment="1">
      <alignment/>
    </xf>
    <xf numFmtId="3" fontId="34" fillId="0" borderId="85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14" fontId="26" fillId="0" borderId="0" xfId="0" applyNumberFormat="1" applyFont="1" applyAlignment="1">
      <alignment horizontal="left"/>
    </xf>
    <xf numFmtId="3" fontId="7" fillId="0" borderId="28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4" fontId="5" fillId="0" borderId="0" xfId="0" applyNumberFormat="1" applyFont="1" applyFill="1" applyAlignment="1">
      <alignment horizontal="left"/>
    </xf>
    <xf numFmtId="0" fontId="3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44" xfId="0" applyNumberFormat="1" applyFont="1" applyBorder="1" applyAlignment="1">
      <alignment/>
    </xf>
    <xf numFmtId="3" fontId="26" fillId="0" borderId="44" xfId="0" applyNumberFormat="1" applyFont="1" applyBorder="1" applyAlignment="1">
      <alignment/>
    </xf>
    <xf numFmtId="0" fontId="5" fillId="0" borderId="44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86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3" fontId="10" fillId="2" borderId="88" xfId="0" applyNumberFormat="1" applyFont="1" applyFill="1" applyBorder="1" applyAlignment="1">
      <alignment/>
    </xf>
    <xf numFmtId="3" fontId="5" fillId="0" borderId="89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" fillId="0" borderId="7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6" fillId="0" borderId="8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11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ní_Lis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33" sqref="A33:B33"/>
    </sheetView>
  </sheetViews>
  <sheetFormatPr defaultColWidth="9.00390625" defaultRowHeight="12.75"/>
  <sheetData>
    <row r="1" ht="15">
      <c r="A1" s="408" t="s">
        <v>143</v>
      </c>
    </row>
    <row r="2" ht="15">
      <c r="A2" s="408" t="s">
        <v>144</v>
      </c>
    </row>
    <row r="12" spans="2:13" ht="30">
      <c r="B12" s="422" t="s">
        <v>145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</row>
    <row r="13" spans="2:13" ht="20.25">
      <c r="B13" s="414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</row>
    <row r="14" spans="2:13" ht="26.25">
      <c r="B14" s="424" t="s">
        <v>8</v>
      </c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</row>
    <row r="32" ht="12.75">
      <c r="A32" t="s">
        <v>146</v>
      </c>
    </row>
    <row r="33" spans="1:2" ht="12.75">
      <c r="A33" s="421" t="s">
        <v>147</v>
      </c>
      <c r="B33" s="421"/>
    </row>
  </sheetData>
  <mergeCells count="2">
    <mergeCell ref="B12:M12"/>
    <mergeCell ref="B14:M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K8" sqref="K8"/>
    </sheetView>
  </sheetViews>
  <sheetFormatPr defaultColWidth="9.00390625" defaultRowHeight="12.75"/>
  <cols>
    <col min="1" max="1" width="8.25390625" style="248" customWidth="1"/>
    <col min="2" max="2" width="5.625" style="248" customWidth="1"/>
    <col min="3" max="3" width="6.25390625" style="248" customWidth="1"/>
    <col min="4" max="4" width="28.625" style="248" customWidth="1"/>
    <col min="5" max="5" width="3.75390625" style="315" bestFit="1" customWidth="1"/>
    <col min="6" max="6" width="11.25390625" style="274" customWidth="1"/>
    <col min="7" max="7" width="5.125" style="248" hidden="1" customWidth="1"/>
    <col min="8" max="8" width="10.875" style="311" customWidth="1"/>
    <col min="9" max="9" width="8.75390625" style="311" customWidth="1"/>
    <col min="10" max="11" width="8.00390625" style="311" customWidth="1"/>
    <col min="12" max="12" width="8.125" style="311" customWidth="1"/>
    <col min="13" max="13" width="9.625" style="311" customWidth="1"/>
    <col min="14" max="16384" width="9.125" style="248" customWidth="1"/>
  </cols>
  <sheetData>
    <row r="1" spans="1:13" ht="15.75" customHeight="1">
      <c r="A1" s="433" t="s">
        <v>0</v>
      </c>
      <c r="B1" s="434"/>
      <c r="C1" s="434"/>
      <c r="D1" s="435"/>
      <c r="E1" s="243"/>
      <c r="F1" s="244" t="s">
        <v>1</v>
      </c>
      <c r="G1" s="245" t="s">
        <v>2</v>
      </c>
      <c r="H1" s="246" t="s">
        <v>3</v>
      </c>
      <c r="I1" s="436" t="s">
        <v>4</v>
      </c>
      <c r="J1" s="437"/>
      <c r="K1" s="437"/>
      <c r="L1" s="438"/>
      <c r="M1" s="247" t="s">
        <v>5</v>
      </c>
    </row>
    <row r="2" spans="1:13" ht="14.25" thickBot="1">
      <c r="A2" s="249" t="s">
        <v>116</v>
      </c>
      <c r="B2" s="250"/>
      <c r="C2" s="439" t="s">
        <v>85</v>
      </c>
      <c r="D2" s="440"/>
      <c r="E2" s="251" t="s">
        <v>6</v>
      </c>
      <c r="F2" s="252">
        <v>2007</v>
      </c>
      <c r="G2" s="253" t="s">
        <v>8</v>
      </c>
      <c r="H2" s="254" t="s">
        <v>9</v>
      </c>
      <c r="I2" s="255" t="s">
        <v>10</v>
      </c>
      <c r="J2" s="256" t="s">
        <v>11</v>
      </c>
      <c r="K2" s="256" t="s">
        <v>12</v>
      </c>
      <c r="L2" s="256" t="s">
        <v>13</v>
      </c>
      <c r="M2" s="257">
        <v>2006</v>
      </c>
    </row>
    <row r="3" spans="1:13" ht="13.5" thickBot="1">
      <c r="A3" s="258" t="s">
        <v>14</v>
      </c>
      <c r="B3" s="259"/>
      <c r="C3" s="259"/>
      <c r="D3" s="259"/>
      <c r="E3" s="260">
        <v>1</v>
      </c>
      <c r="F3" s="261">
        <f>SUM(F5:F27)</f>
        <v>194782570</v>
      </c>
      <c r="G3" s="262">
        <f aca="true" t="shared" si="0" ref="G3:M3">SUM(G5:G27)</f>
        <v>0</v>
      </c>
      <c r="H3" s="263">
        <f t="shared" si="0"/>
        <v>178355290</v>
      </c>
      <c r="I3" s="264">
        <f t="shared" si="0"/>
        <v>14018233</v>
      </c>
      <c r="J3" s="264">
        <f t="shared" si="0"/>
        <v>409047</v>
      </c>
      <c r="K3" s="264">
        <f t="shared" si="0"/>
        <v>0</v>
      </c>
      <c r="L3" s="263">
        <f t="shared" si="0"/>
        <v>2000000</v>
      </c>
      <c r="M3" s="265">
        <f t="shared" si="0"/>
        <v>163600517</v>
      </c>
    </row>
    <row r="4" spans="1:13" s="274" customFormat="1" ht="12">
      <c r="A4" s="266" t="s">
        <v>15</v>
      </c>
      <c r="B4" s="267" t="s">
        <v>16</v>
      </c>
      <c r="C4" s="267"/>
      <c r="D4" s="267"/>
      <c r="E4" s="268">
        <v>2</v>
      </c>
      <c r="F4" s="269">
        <f>SUM(F5:F15)</f>
        <v>122356233</v>
      </c>
      <c r="G4" s="270">
        <f aca="true" t="shared" si="1" ref="G4:M4">SUM(G5:G15)</f>
        <v>0</v>
      </c>
      <c r="H4" s="271">
        <f t="shared" si="1"/>
        <v>106314000</v>
      </c>
      <c r="I4" s="272">
        <f t="shared" si="1"/>
        <v>14018233</v>
      </c>
      <c r="J4" s="272">
        <f t="shared" si="1"/>
        <v>24000</v>
      </c>
      <c r="K4" s="272">
        <f t="shared" si="1"/>
        <v>0</v>
      </c>
      <c r="L4" s="271">
        <f t="shared" si="1"/>
        <v>2000000</v>
      </c>
      <c r="M4" s="273">
        <f t="shared" si="1"/>
        <v>104967869</v>
      </c>
    </row>
    <row r="5" spans="1:13" s="285" customFormat="1" ht="12">
      <c r="A5" s="275"/>
      <c r="B5" s="276"/>
      <c r="C5" s="276" t="s">
        <v>17</v>
      </c>
      <c r="D5" s="277" t="s">
        <v>18</v>
      </c>
      <c r="E5" s="278">
        <v>3</v>
      </c>
      <c r="F5" s="279">
        <f>SUM(H5:L5)</f>
        <v>49000000</v>
      </c>
      <c r="G5" s="280"/>
      <c r="H5" s="281">
        <v>49000000</v>
      </c>
      <c r="I5" s="281"/>
      <c r="J5" s="282"/>
      <c r="K5" s="282"/>
      <c r="L5" s="283"/>
      <c r="M5" s="284">
        <v>41450955</v>
      </c>
    </row>
    <row r="6" spans="1:13" s="285" customFormat="1" ht="12">
      <c r="A6" s="275"/>
      <c r="B6" s="276"/>
      <c r="C6" s="276"/>
      <c r="D6" s="277" t="s">
        <v>19</v>
      </c>
      <c r="E6" s="278">
        <v>4</v>
      </c>
      <c r="F6" s="279">
        <f aca="true" t="shared" si="2" ref="F6:F45">SUM(H6:L6)</f>
        <v>2100000</v>
      </c>
      <c r="G6" s="280"/>
      <c r="H6" s="281">
        <v>1900000</v>
      </c>
      <c r="I6" s="281">
        <v>200000</v>
      </c>
      <c r="J6" s="282"/>
      <c r="K6" s="282"/>
      <c r="L6" s="283"/>
      <c r="M6" s="284">
        <v>1661205</v>
      </c>
    </row>
    <row r="7" spans="1:13" s="285" customFormat="1" ht="12">
      <c r="A7" s="275"/>
      <c r="B7" s="276"/>
      <c r="C7" s="276"/>
      <c r="D7" s="277" t="s">
        <v>20</v>
      </c>
      <c r="E7" s="278">
        <v>5</v>
      </c>
      <c r="F7" s="279">
        <f t="shared" si="2"/>
        <v>17465000</v>
      </c>
      <c r="G7" s="280"/>
      <c r="H7" s="281">
        <v>17435000</v>
      </c>
      <c r="I7" s="281">
        <v>30000</v>
      </c>
      <c r="J7" s="282"/>
      <c r="K7" s="282"/>
      <c r="L7" s="283"/>
      <c r="M7" s="284">
        <v>14722340</v>
      </c>
    </row>
    <row r="8" spans="1:13" s="285" customFormat="1" ht="12">
      <c r="A8" s="275"/>
      <c r="B8" s="276"/>
      <c r="C8" s="276"/>
      <c r="D8" s="277" t="s">
        <v>21</v>
      </c>
      <c r="E8" s="278">
        <v>6</v>
      </c>
      <c r="F8" s="279">
        <f t="shared" si="2"/>
        <v>4000000</v>
      </c>
      <c r="G8" s="280"/>
      <c r="H8" s="281">
        <v>3800000</v>
      </c>
      <c r="I8" s="281">
        <v>200000</v>
      </c>
      <c r="J8" s="282"/>
      <c r="K8" s="282"/>
      <c r="L8" s="283"/>
      <c r="M8" s="284">
        <v>3197042</v>
      </c>
    </row>
    <row r="9" spans="1:13" s="285" customFormat="1" ht="12">
      <c r="A9" s="275"/>
      <c r="B9" s="276"/>
      <c r="C9" s="276"/>
      <c r="D9" s="277" t="s">
        <v>22</v>
      </c>
      <c r="E9" s="278">
        <v>7</v>
      </c>
      <c r="F9" s="279">
        <f t="shared" si="2"/>
        <v>3815000</v>
      </c>
      <c r="G9" s="280"/>
      <c r="H9" s="281">
        <v>1760000</v>
      </c>
      <c r="I9" s="281">
        <v>2055000</v>
      </c>
      <c r="J9" s="282"/>
      <c r="K9" s="282"/>
      <c r="L9" s="283"/>
      <c r="M9" s="284">
        <v>2243654</v>
      </c>
    </row>
    <row r="10" spans="1:13" s="285" customFormat="1" ht="12">
      <c r="A10" s="275"/>
      <c r="B10" s="276"/>
      <c r="C10" s="276"/>
      <c r="D10" s="277" t="s">
        <v>23</v>
      </c>
      <c r="E10" s="278">
        <v>8</v>
      </c>
      <c r="F10" s="279">
        <f t="shared" si="2"/>
        <v>9500000</v>
      </c>
      <c r="G10" s="280"/>
      <c r="H10" s="281">
        <v>9500000</v>
      </c>
      <c r="I10" s="281"/>
      <c r="J10" s="282"/>
      <c r="K10" s="282"/>
      <c r="L10" s="283"/>
      <c r="M10" s="284">
        <v>7528886</v>
      </c>
    </row>
    <row r="11" spans="1:13" s="285" customFormat="1" ht="12">
      <c r="A11" s="275"/>
      <c r="B11" s="276"/>
      <c r="C11" s="276"/>
      <c r="D11" s="277" t="s">
        <v>24</v>
      </c>
      <c r="E11" s="278">
        <v>9</v>
      </c>
      <c r="F11" s="279">
        <f t="shared" si="2"/>
        <v>5150000</v>
      </c>
      <c r="G11" s="280"/>
      <c r="H11" s="281">
        <v>4450000</v>
      </c>
      <c r="I11" s="281">
        <v>700000</v>
      </c>
      <c r="J11" s="282"/>
      <c r="K11" s="282"/>
      <c r="L11" s="283"/>
      <c r="M11" s="284">
        <v>4252919</v>
      </c>
    </row>
    <row r="12" spans="1:13" s="285" customFormat="1" ht="12">
      <c r="A12" s="275"/>
      <c r="B12" s="276"/>
      <c r="C12" s="276"/>
      <c r="D12" s="277" t="s">
        <v>25</v>
      </c>
      <c r="E12" s="278">
        <v>10</v>
      </c>
      <c r="F12" s="279">
        <f t="shared" si="2"/>
        <v>1980000</v>
      </c>
      <c r="G12" s="280"/>
      <c r="H12" s="281">
        <v>1780000</v>
      </c>
      <c r="I12" s="281">
        <v>200000</v>
      </c>
      <c r="J12" s="282"/>
      <c r="K12" s="282"/>
      <c r="L12" s="283"/>
      <c r="M12" s="284">
        <v>1204434</v>
      </c>
    </row>
    <row r="13" spans="1:13" s="285" customFormat="1" ht="12">
      <c r="A13" s="275"/>
      <c r="B13" s="276"/>
      <c r="C13" s="276"/>
      <c r="D13" s="277" t="s">
        <v>26</v>
      </c>
      <c r="E13" s="278">
        <v>11</v>
      </c>
      <c r="F13" s="279">
        <f t="shared" si="2"/>
        <v>12620000</v>
      </c>
      <c r="G13" s="280"/>
      <c r="H13" s="281">
        <v>12320000</v>
      </c>
      <c r="I13" s="281">
        <v>300000</v>
      </c>
      <c r="J13" s="282"/>
      <c r="K13" s="282"/>
      <c r="L13" s="283"/>
      <c r="M13" s="284">
        <v>12466545</v>
      </c>
    </row>
    <row r="14" spans="1:13" s="285" customFormat="1" ht="12">
      <c r="A14" s="275"/>
      <c r="B14" s="276"/>
      <c r="C14" s="276"/>
      <c r="D14" s="277" t="s">
        <v>27</v>
      </c>
      <c r="E14" s="278">
        <v>12</v>
      </c>
      <c r="F14" s="279">
        <f t="shared" si="2"/>
        <v>4864000</v>
      </c>
      <c r="G14" s="280"/>
      <c r="H14" s="281">
        <v>2240000</v>
      </c>
      <c r="I14" s="281">
        <v>600000</v>
      </c>
      <c r="J14" s="282">
        <v>24000</v>
      </c>
      <c r="K14" s="282"/>
      <c r="L14" s="283">
        <v>2000000</v>
      </c>
      <c r="M14" s="284">
        <v>3415000</v>
      </c>
    </row>
    <row r="15" spans="1:13" s="285" customFormat="1" ht="12">
      <c r="A15" s="275"/>
      <c r="B15" s="276"/>
      <c r="C15" s="277"/>
      <c r="D15" s="277" t="s">
        <v>28</v>
      </c>
      <c r="E15" s="278">
        <v>13</v>
      </c>
      <c r="F15" s="279">
        <f t="shared" si="2"/>
        <v>11862233</v>
      </c>
      <c r="G15" s="280"/>
      <c r="H15" s="281">
        <v>2129000</v>
      </c>
      <c r="I15" s="281">
        <v>9733233</v>
      </c>
      <c r="J15" s="282"/>
      <c r="K15" s="282"/>
      <c r="L15" s="283"/>
      <c r="M15" s="284">
        <v>12824889</v>
      </c>
    </row>
    <row r="16" spans="1:13" s="274" customFormat="1" ht="12">
      <c r="A16" s="266"/>
      <c r="B16" s="286" t="s">
        <v>29</v>
      </c>
      <c r="C16" s="287"/>
      <c r="D16" s="287"/>
      <c r="E16" s="288">
        <v>14</v>
      </c>
      <c r="F16" s="289">
        <f t="shared" si="2"/>
        <v>3878550</v>
      </c>
      <c r="G16" s="290"/>
      <c r="H16" s="281">
        <v>3878550</v>
      </c>
      <c r="I16" s="281"/>
      <c r="J16" s="282"/>
      <c r="K16" s="282"/>
      <c r="L16" s="283"/>
      <c r="M16" s="284">
        <v>4035000</v>
      </c>
    </row>
    <row r="17" spans="1:13" s="274" customFormat="1" ht="12">
      <c r="A17" s="266"/>
      <c r="B17" s="286" t="s">
        <v>31</v>
      </c>
      <c r="C17" s="287"/>
      <c r="D17" s="287"/>
      <c r="E17" s="288">
        <v>15</v>
      </c>
      <c r="F17" s="289">
        <f t="shared" si="2"/>
        <v>500000</v>
      </c>
      <c r="G17" s="290"/>
      <c r="H17" s="281">
        <v>500000</v>
      </c>
      <c r="I17" s="281"/>
      <c r="J17" s="282"/>
      <c r="K17" s="282"/>
      <c r="L17" s="283"/>
      <c r="M17" s="284">
        <v>513000</v>
      </c>
    </row>
    <row r="18" spans="1:13" s="274" customFormat="1" ht="12">
      <c r="A18" s="266"/>
      <c r="B18" s="291" t="s">
        <v>33</v>
      </c>
      <c r="C18" s="292"/>
      <c r="D18" s="292"/>
      <c r="E18" s="293">
        <v>16</v>
      </c>
      <c r="F18" s="289">
        <f t="shared" si="2"/>
        <v>20339000</v>
      </c>
      <c r="G18" s="290"/>
      <c r="H18" s="281">
        <v>20339000</v>
      </c>
      <c r="I18" s="281"/>
      <c r="J18" s="282"/>
      <c r="K18" s="282"/>
      <c r="L18" s="283"/>
      <c r="M18" s="284">
        <v>7464815</v>
      </c>
    </row>
    <row r="19" spans="1:13" s="274" customFormat="1" ht="12">
      <c r="A19" s="266"/>
      <c r="B19" s="291" t="s">
        <v>35</v>
      </c>
      <c r="C19" s="292"/>
      <c r="D19" s="292"/>
      <c r="E19" s="293">
        <v>17</v>
      </c>
      <c r="F19" s="289">
        <f t="shared" si="2"/>
        <v>60000</v>
      </c>
      <c r="G19" s="290"/>
      <c r="H19" s="281">
        <v>60000</v>
      </c>
      <c r="I19" s="281"/>
      <c r="J19" s="282"/>
      <c r="K19" s="282"/>
      <c r="L19" s="283"/>
      <c r="M19" s="284">
        <v>95000</v>
      </c>
    </row>
    <row r="20" spans="1:13" s="274" customFormat="1" ht="12">
      <c r="A20" s="266"/>
      <c r="B20" s="291" t="s">
        <v>37</v>
      </c>
      <c r="C20" s="291"/>
      <c r="D20" s="291"/>
      <c r="E20" s="293">
        <v>18</v>
      </c>
      <c r="F20" s="289">
        <f t="shared" si="2"/>
        <v>0</v>
      </c>
      <c r="G20" s="290"/>
      <c r="H20" s="281"/>
      <c r="I20" s="281"/>
      <c r="J20" s="282"/>
      <c r="K20" s="282"/>
      <c r="L20" s="283"/>
      <c r="M20" s="284"/>
    </row>
    <row r="21" spans="1:13" s="274" customFormat="1" ht="12">
      <c r="A21" s="266"/>
      <c r="B21" s="291" t="s">
        <v>39</v>
      </c>
      <c r="C21" s="291"/>
      <c r="D21" s="291"/>
      <c r="E21" s="293">
        <v>19</v>
      </c>
      <c r="F21" s="289">
        <f t="shared" si="2"/>
        <v>0</v>
      </c>
      <c r="G21" s="290"/>
      <c r="H21" s="281"/>
      <c r="I21" s="281"/>
      <c r="J21" s="282"/>
      <c r="K21" s="282"/>
      <c r="L21" s="283"/>
      <c r="M21" s="284"/>
    </row>
    <row r="22" spans="1:13" s="274" customFormat="1" ht="12">
      <c r="A22" s="266"/>
      <c r="B22" s="291" t="s">
        <v>41</v>
      </c>
      <c r="C22" s="291"/>
      <c r="D22" s="291"/>
      <c r="E22" s="293">
        <v>20</v>
      </c>
      <c r="F22" s="289">
        <f t="shared" si="2"/>
        <v>0</v>
      </c>
      <c r="G22" s="290"/>
      <c r="H22" s="283"/>
      <c r="I22" s="282"/>
      <c r="J22" s="282"/>
      <c r="K22" s="282"/>
      <c r="L22" s="283"/>
      <c r="M22" s="284">
        <v>2002023</v>
      </c>
    </row>
    <row r="23" spans="1:13" s="274" customFormat="1" ht="12">
      <c r="A23" s="266"/>
      <c r="B23" s="291" t="s">
        <v>43</v>
      </c>
      <c r="C23" s="291"/>
      <c r="D23" s="291"/>
      <c r="E23" s="293">
        <v>21</v>
      </c>
      <c r="F23" s="289">
        <f t="shared" si="2"/>
        <v>11773438</v>
      </c>
      <c r="G23" s="290"/>
      <c r="H23" s="283">
        <v>11598000</v>
      </c>
      <c r="I23" s="282"/>
      <c r="J23" s="282">
        <v>175438</v>
      </c>
      <c r="K23" s="282"/>
      <c r="L23" s="283"/>
      <c r="M23" s="284">
        <v>11219863</v>
      </c>
    </row>
    <row r="24" spans="1:13" s="274" customFormat="1" ht="12">
      <c r="A24" s="266"/>
      <c r="B24" s="291" t="s">
        <v>45</v>
      </c>
      <c r="C24" s="291"/>
      <c r="D24" s="291"/>
      <c r="E24" s="293">
        <v>22</v>
      </c>
      <c r="F24" s="289">
        <f t="shared" si="2"/>
        <v>26270112</v>
      </c>
      <c r="G24" s="290"/>
      <c r="H24" s="283">
        <v>26088000</v>
      </c>
      <c r="I24" s="282"/>
      <c r="J24" s="282">
        <v>182112</v>
      </c>
      <c r="K24" s="282"/>
      <c r="L24" s="283"/>
      <c r="M24" s="284">
        <v>23481918</v>
      </c>
    </row>
    <row r="25" spans="1:14" s="274" customFormat="1" ht="12">
      <c r="A25" s="266"/>
      <c r="B25" s="291" t="s">
        <v>46</v>
      </c>
      <c r="C25" s="291"/>
      <c r="D25" s="291"/>
      <c r="E25" s="293">
        <v>23</v>
      </c>
      <c r="F25" s="289">
        <f t="shared" si="2"/>
        <v>3340237</v>
      </c>
      <c r="G25" s="290"/>
      <c r="H25" s="283">
        <v>3312740</v>
      </c>
      <c r="I25" s="282"/>
      <c r="J25" s="282">
        <v>27497</v>
      </c>
      <c r="K25" s="282"/>
      <c r="L25" s="283"/>
      <c r="M25" s="284">
        <v>1365463</v>
      </c>
      <c r="N25" s="360"/>
    </row>
    <row r="26" spans="1:13" s="274" customFormat="1" ht="12">
      <c r="A26" s="266"/>
      <c r="B26" s="291" t="s">
        <v>48</v>
      </c>
      <c r="C26" s="291"/>
      <c r="D26" s="291"/>
      <c r="E26" s="293">
        <v>24</v>
      </c>
      <c r="F26" s="289">
        <f t="shared" si="2"/>
        <v>6265000</v>
      </c>
      <c r="G26" s="290"/>
      <c r="H26" s="283">
        <v>6265000</v>
      </c>
      <c r="I26" s="282"/>
      <c r="J26" s="282"/>
      <c r="K26" s="282"/>
      <c r="L26" s="283"/>
      <c r="M26" s="284">
        <f>9809300-M25</f>
        <v>8443837</v>
      </c>
    </row>
    <row r="27" spans="1:13" s="274" customFormat="1" ht="12.75" thickBot="1">
      <c r="A27" s="266"/>
      <c r="B27" s="286" t="s">
        <v>50</v>
      </c>
      <c r="C27" s="286"/>
      <c r="D27" s="286"/>
      <c r="E27" s="288">
        <v>25</v>
      </c>
      <c r="F27" s="289">
        <f t="shared" si="2"/>
        <v>0</v>
      </c>
      <c r="G27" s="290"/>
      <c r="H27" s="283"/>
      <c r="I27" s="282"/>
      <c r="J27" s="282"/>
      <c r="K27" s="282"/>
      <c r="L27" s="283"/>
      <c r="M27" s="294">
        <v>11729</v>
      </c>
    </row>
    <row r="28" spans="1:13" ht="13.5" thickBot="1">
      <c r="A28" s="295" t="s">
        <v>52</v>
      </c>
      <c r="B28" s="296"/>
      <c r="C28" s="296"/>
      <c r="D28" s="296"/>
      <c r="E28" s="260">
        <v>26</v>
      </c>
      <c r="F28" s="261">
        <f>SUM(F29:F45)</f>
        <v>195002570</v>
      </c>
      <c r="G28" s="262">
        <f aca="true" t="shared" si="3" ref="G28:M28">SUM(G29:G45)</f>
        <v>0</v>
      </c>
      <c r="H28" s="263">
        <f t="shared" si="3"/>
        <v>178575290</v>
      </c>
      <c r="I28" s="264">
        <f t="shared" si="3"/>
        <v>14018233</v>
      </c>
      <c r="J28" s="264">
        <f t="shared" si="3"/>
        <v>409047</v>
      </c>
      <c r="K28" s="264">
        <f t="shared" si="3"/>
        <v>0</v>
      </c>
      <c r="L28" s="263">
        <f t="shared" si="3"/>
        <v>2000000</v>
      </c>
      <c r="M28" s="265">
        <f t="shared" si="3"/>
        <v>165677471</v>
      </c>
    </row>
    <row r="29" spans="1:13" s="274" customFormat="1" ht="12">
      <c r="A29" s="266" t="s">
        <v>15</v>
      </c>
      <c r="B29" s="287" t="s">
        <v>53</v>
      </c>
      <c r="C29" s="287"/>
      <c r="D29" s="287"/>
      <c r="E29" s="288">
        <v>27</v>
      </c>
      <c r="F29" s="289">
        <f t="shared" si="2"/>
        <v>84966000</v>
      </c>
      <c r="G29" s="270"/>
      <c r="H29" s="271">
        <v>84966000</v>
      </c>
      <c r="I29" s="272"/>
      <c r="J29" s="272"/>
      <c r="K29" s="272"/>
      <c r="L29" s="271"/>
      <c r="M29" s="273">
        <f>85482969-1725000-3822000</f>
        <v>79935969</v>
      </c>
    </row>
    <row r="30" spans="1:13" s="274" customFormat="1" ht="12">
      <c r="A30" s="266"/>
      <c r="B30" s="286" t="s">
        <v>29</v>
      </c>
      <c r="C30" s="286"/>
      <c r="D30" s="286"/>
      <c r="E30" s="288">
        <v>28</v>
      </c>
      <c r="F30" s="289">
        <f t="shared" si="2"/>
        <v>3878550</v>
      </c>
      <c r="G30" s="297"/>
      <c r="H30" s="298">
        <v>3878550</v>
      </c>
      <c r="I30" s="299"/>
      <c r="J30" s="299"/>
      <c r="K30" s="299"/>
      <c r="L30" s="298"/>
      <c r="M30" s="300">
        <v>4035000</v>
      </c>
    </row>
    <row r="31" spans="1:13" s="274" customFormat="1" ht="12">
      <c r="A31" s="266"/>
      <c r="B31" s="286" t="s">
        <v>31</v>
      </c>
      <c r="C31" s="286"/>
      <c r="D31" s="286"/>
      <c r="E31" s="288">
        <v>29</v>
      </c>
      <c r="F31" s="289">
        <f t="shared" si="2"/>
        <v>500000</v>
      </c>
      <c r="G31" s="297"/>
      <c r="H31" s="298">
        <v>500000</v>
      </c>
      <c r="I31" s="299"/>
      <c r="J31" s="299"/>
      <c r="K31" s="299"/>
      <c r="L31" s="298"/>
      <c r="M31" s="300">
        <v>513000</v>
      </c>
    </row>
    <row r="32" spans="1:13" s="274" customFormat="1" ht="12">
      <c r="A32" s="266"/>
      <c r="B32" s="291" t="s">
        <v>33</v>
      </c>
      <c r="C32" s="292"/>
      <c r="D32" s="292"/>
      <c r="E32" s="293">
        <v>30</v>
      </c>
      <c r="F32" s="289">
        <f t="shared" si="2"/>
        <v>20339000</v>
      </c>
      <c r="G32" s="297"/>
      <c r="H32" s="298">
        <v>20339000</v>
      </c>
      <c r="I32" s="299"/>
      <c r="J32" s="299"/>
      <c r="K32" s="299"/>
      <c r="L32" s="298"/>
      <c r="M32" s="300">
        <v>7464815</v>
      </c>
    </row>
    <row r="33" spans="1:13" s="274" customFormat="1" ht="12">
      <c r="A33" s="266"/>
      <c r="B33" s="291" t="s">
        <v>35</v>
      </c>
      <c r="C33" s="291"/>
      <c r="D33" s="291"/>
      <c r="E33" s="293">
        <v>31</v>
      </c>
      <c r="F33" s="289">
        <f t="shared" si="2"/>
        <v>60000</v>
      </c>
      <c r="G33" s="297"/>
      <c r="H33" s="298">
        <v>60000</v>
      </c>
      <c r="I33" s="299"/>
      <c r="J33" s="299"/>
      <c r="K33" s="299"/>
      <c r="L33" s="298"/>
      <c r="M33" s="300">
        <v>95000</v>
      </c>
    </row>
    <row r="34" spans="1:13" s="274" customFormat="1" ht="12">
      <c r="A34" s="266"/>
      <c r="B34" s="291" t="s">
        <v>55</v>
      </c>
      <c r="C34" s="291"/>
      <c r="D34" s="291"/>
      <c r="E34" s="293">
        <v>32</v>
      </c>
      <c r="F34" s="289">
        <f t="shared" si="2"/>
        <v>0</v>
      </c>
      <c r="G34" s="297"/>
      <c r="H34" s="298"/>
      <c r="I34" s="299"/>
      <c r="J34" s="299"/>
      <c r="K34" s="299"/>
      <c r="L34" s="298"/>
      <c r="M34" s="300"/>
    </row>
    <row r="35" spans="1:13" s="274" customFormat="1" ht="12">
      <c r="A35" s="266"/>
      <c r="B35" s="291" t="s">
        <v>37</v>
      </c>
      <c r="C35" s="291"/>
      <c r="D35" s="291"/>
      <c r="E35" s="293">
        <v>33</v>
      </c>
      <c r="F35" s="289">
        <f t="shared" si="2"/>
        <v>0</v>
      </c>
      <c r="G35" s="297"/>
      <c r="H35" s="298"/>
      <c r="I35" s="299"/>
      <c r="J35" s="299"/>
      <c r="K35" s="299"/>
      <c r="L35" s="298"/>
      <c r="M35" s="300"/>
    </row>
    <row r="36" spans="1:13" s="274" customFormat="1" ht="12">
      <c r="A36" s="266"/>
      <c r="B36" s="291" t="s">
        <v>39</v>
      </c>
      <c r="C36" s="291"/>
      <c r="D36" s="291"/>
      <c r="E36" s="293">
        <v>34</v>
      </c>
      <c r="F36" s="289">
        <f t="shared" si="2"/>
        <v>0</v>
      </c>
      <c r="G36" s="297"/>
      <c r="H36" s="298"/>
      <c r="I36" s="299"/>
      <c r="J36" s="299"/>
      <c r="K36" s="299"/>
      <c r="L36" s="298"/>
      <c r="M36" s="300"/>
    </row>
    <row r="37" spans="1:13" s="274" customFormat="1" ht="12">
      <c r="A37" s="266"/>
      <c r="B37" s="291" t="s">
        <v>57</v>
      </c>
      <c r="C37" s="291"/>
      <c r="D37" s="291"/>
      <c r="E37" s="293">
        <v>35</v>
      </c>
      <c r="F37" s="289">
        <f t="shared" si="2"/>
        <v>0</v>
      </c>
      <c r="G37" s="297"/>
      <c r="H37" s="298"/>
      <c r="I37" s="299"/>
      <c r="J37" s="299"/>
      <c r="K37" s="299"/>
      <c r="L37" s="298"/>
      <c r="M37" s="300">
        <v>2351697</v>
      </c>
    </row>
    <row r="38" spans="1:13" s="274" customFormat="1" ht="12">
      <c r="A38" s="266"/>
      <c r="B38" s="291" t="s">
        <v>58</v>
      </c>
      <c r="C38" s="291"/>
      <c r="D38" s="291"/>
      <c r="E38" s="293">
        <v>36</v>
      </c>
      <c r="F38" s="289">
        <f t="shared" si="2"/>
        <v>7044000</v>
      </c>
      <c r="G38" s="297"/>
      <c r="H38" s="298">
        <v>7044000</v>
      </c>
      <c r="I38" s="299"/>
      <c r="J38" s="299"/>
      <c r="K38" s="299"/>
      <c r="L38" s="298"/>
      <c r="M38" s="300">
        <v>6980000</v>
      </c>
    </row>
    <row r="39" spans="1:13" s="274" customFormat="1" ht="12">
      <c r="A39" s="266"/>
      <c r="B39" s="291" t="s">
        <v>60</v>
      </c>
      <c r="C39" s="291"/>
      <c r="D39" s="291"/>
      <c r="E39" s="293">
        <v>37</v>
      </c>
      <c r="F39" s="289">
        <f t="shared" si="2"/>
        <v>11773438</v>
      </c>
      <c r="G39" s="297"/>
      <c r="H39" s="298">
        <v>11598000</v>
      </c>
      <c r="I39" s="299"/>
      <c r="J39" s="299">
        <v>175438</v>
      </c>
      <c r="K39" s="299"/>
      <c r="L39" s="298"/>
      <c r="M39" s="300">
        <v>11219863</v>
      </c>
    </row>
    <row r="40" spans="1:13" s="274" customFormat="1" ht="12">
      <c r="A40" s="266"/>
      <c r="B40" s="291" t="s">
        <v>61</v>
      </c>
      <c r="C40" s="291"/>
      <c r="D40" s="291"/>
      <c r="E40" s="293">
        <v>38</v>
      </c>
      <c r="F40" s="289">
        <f t="shared" si="2"/>
        <v>26270112</v>
      </c>
      <c r="G40" s="297"/>
      <c r="H40" s="298">
        <v>26088000</v>
      </c>
      <c r="I40" s="299"/>
      <c r="J40" s="299">
        <v>182112</v>
      </c>
      <c r="K40" s="299"/>
      <c r="L40" s="298"/>
      <c r="M40" s="300">
        <v>23481918</v>
      </c>
    </row>
    <row r="41" spans="1:13" s="274" customFormat="1" ht="12">
      <c r="A41" s="266"/>
      <c r="B41" s="291" t="s">
        <v>46</v>
      </c>
      <c r="C41" s="291"/>
      <c r="D41" s="291"/>
      <c r="E41" s="293">
        <v>39</v>
      </c>
      <c r="F41" s="289">
        <f t="shared" si="2"/>
        <v>3340237</v>
      </c>
      <c r="G41" s="297"/>
      <c r="H41" s="298">
        <v>3312740</v>
      </c>
      <c r="I41" s="299"/>
      <c r="J41" s="299">
        <v>27497</v>
      </c>
      <c r="K41" s="299"/>
      <c r="L41" s="298"/>
      <c r="M41" s="300">
        <v>1365463</v>
      </c>
    </row>
    <row r="42" spans="1:13" s="274" customFormat="1" ht="12">
      <c r="A42" s="266"/>
      <c r="B42" s="291" t="s">
        <v>62</v>
      </c>
      <c r="C42" s="291"/>
      <c r="D42" s="291"/>
      <c r="E42" s="293">
        <v>40</v>
      </c>
      <c r="F42" s="289">
        <f t="shared" si="2"/>
        <v>6265000</v>
      </c>
      <c r="G42" s="297"/>
      <c r="H42" s="298">
        <v>6265000</v>
      </c>
      <c r="I42" s="299"/>
      <c r="J42" s="299"/>
      <c r="K42" s="299"/>
      <c r="L42" s="298"/>
      <c r="M42" s="300">
        <f>9809300-M41</f>
        <v>8443837</v>
      </c>
    </row>
    <row r="43" spans="1:13" s="274" customFormat="1" ht="12">
      <c r="A43" s="266"/>
      <c r="B43" s="291" t="s">
        <v>63</v>
      </c>
      <c r="C43" s="291"/>
      <c r="D43" s="291"/>
      <c r="E43" s="293">
        <v>41</v>
      </c>
      <c r="F43" s="289">
        <f t="shared" si="2"/>
        <v>14548000</v>
      </c>
      <c r="G43" s="297"/>
      <c r="H43" s="298">
        <v>14524000</v>
      </c>
      <c r="I43" s="299"/>
      <c r="J43" s="299">
        <v>24000</v>
      </c>
      <c r="K43" s="299"/>
      <c r="L43" s="298"/>
      <c r="M43" s="300">
        <v>16911609</v>
      </c>
    </row>
    <row r="44" spans="1:13" s="274" customFormat="1" ht="12">
      <c r="A44" s="266"/>
      <c r="B44" s="291" t="s">
        <v>64</v>
      </c>
      <c r="C44" s="291"/>
      <c r="D44" s="291"/>
      <c r="E44" s="293">
        <v>42</v>
      </c>
      <c r="F44" s="289">
        <f t="shared" si="2"/>
        <v>16018233</v>
      </c>
      <c r="G44" s="297"/>
      <c r="H44" s="139" t="s">
        <v>99</v>
      </c>
      <c r="I44" s="299">
        <v>14018233</v>
      </c>
      <c r="J44" s="299"/>
      <c r="K44" s="299"/>
      <c r="L44" s="298">
        <v>2000000</v>
      </c>
      <c r="M44" s="300">
        <v>2856300</v>
      </c>
    </row>
    <row r="45" spans="1:13" s="274" customFormat="1" ht="12">
      <c r="A45" s="301"/>
      <c r="B45" s="302" t="s">
        <v>50</v>
      </c>
      <c r="C45" s="302"/>
      <c r="D45" s="302"/>
      <c r="E45" s="303">
        <v>43</v>
      </c>
      <c r="F45" s="304">
        <f t="shared" si="2"/>
        <v>0</v>
      </c>
      <c r="G45" s="305"/>
      <c r="H45" s="306"/>
      <c r="I45" s="307"/>
      <c r="J45" s="307"/>
      <c r="K45" s="307"/>
      <c r="L45" s="306"/>
      <c r="M45" s="308">
        <v>23000</v>
      </c>
    </row>
    <row r="46" spans="1:13" s="274" customFormat="1" ht="12.75" thickBot="1">
      <c r="A46" s="309" t="s">
        <v>66</v>
      </c>
      <c r="B46" s="310"/>
      <c r="C46" s="310"/>
      <c r="D46" s="310"/>
      <c r="E46" s="288">
        <v>44</v>
      </c>
      <c r="F46" s="147">
        <f>F29+F34+F38+F43+F44+F45-F4-F27</f>
        <v>220000</v>
      </c>
      <c r="G46" s="146">
        <f>G29+G34+G38+G43+G44+G45+-G4-G27</f>
        <v>0</v>
      </c>
      <c r="H46" s="146">
        <f>H29+H34+H38+H43+H45-H4-H27</f>
        <v>220000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1727280</v>
      </c>
    </row>
    <row r="47" spans="1:13" ht="13.5" thickBot="1">
      <c r="A47" s="295" t="s">
        <v>67</v>
      </c>
      <c r="B47" s="296"/>
      <c r="C47" s="296"/>
      <c r="D47" s="296"/>
      <c r="E47" s="260">
        <v>45</v>
      </c>
      <c r="F47" s="261">
        <f>F28-F3</f>
        <v>220000</v>
      </c>
      <c r="G47" s="262">
        <f aca="true" t="shared" si="4" ref="G47:M47">G28-G3</f>
        <v>0</v>
      </c>
      <c r="H47" s="263">
        <f t="shared" si="4"/>
        <v>220000</v>
      </c>
      <c r="I47" s="264">
        <f t="shared" si="4"/>
        <v>0</v>
      </c>
      <c r="J47" s="264">
        <f t="shared" si="4"/>
        <v>0</v>
      </c>
      <c r="K47" s="264">
        <f t="shared" si="4"/>
        <v>0</v>
      </c>
      <c r="L47" s="263">
        <f t="shared" si="4"/>
        <v>0</v>
      </c>
      <c r="M47" s="265">
        <f t="shared" si="4"/>
        <v>2076954</v>
      </c>
    </row>
    <row r="48" spans="1:5" ht="12.75">
      <c r="A48" s="311" t="s">
        <v>68</v>
      </c>
      <c r="B48" s="311"/>
      <c r="C48" s="311"/>
      <c r="D48" s="402">
        <v>39146</v>
      </c>
      <c r="E48" s="312"/>
    </row>
    <row r="49" spans="1:7" ht="9" customHeight="1">
      <c r="A49" s="311"/>
      <c r="B49" s="311"/>
      <c r="C49" s="311"/>
      <c r="D49" s="311"/>
      <c r="E49" s="312"/>
      <c r="G49" s="311"/>
    </row>
    <row r="50" spans="1:10" ht="12.75">
      <c r="A50" s="313" t="s">
        <v>100</v>
      </c>
      <c r="B50" s="311"/>
      <c r="C50" s="311"/>
      <c r="D50" s="311"/>
      <c r="E50" s="312"/>
      <c r="F50" s="314"/>
      <c r="G50" s="311"/>
      <c r="J50" s="411">
        <v>3000000</v>
      </c>
    </row>
    <row r="51" spans="1:7" ht="12.75">
      <c r="A51" s="313"/>
      <c r="B51" s="313"/>
      <c r="C51" s="313"/>
      <c r="D51" s="313"/>
      <c r="E51" s="312"/>
      <c r="G51" s="311"/>
    </row>
    <row r="52" spans="1:7" ht="12.75">
      <c r="A52" s="313"/>
      <c r="B52" s="313"/>
      <c r="C52" s="313"/>
      <c r="D52" s="313"/>
      <c r="E52" s="312"/>
      <c r="G52" s="311"/>
    </row>
    <row r="53" spans="1:7" ht="12.75">
      <c r="A53" s="313"/>
      <c r="B53" s="313"/>
      <c r="C53" s="313"/>
      <c r="D53" s="313"/>
      <c r="E53" s="312"/>
      <c r="G53" s="311"/>
    </row>
    <row r="54" spans="1:7" ht="12.75">
      <c r="A54" s="313"/>
      <c r="B54" s="313"/>
      <c r="C54" s="313"/>
      <c r="D54" s="313"/>
      <c r="E54" s="312"/>
      <c r="G54" s="311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35">
      <selection activeCell="L59" sqref="L59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75390625" style="37" customWidth="1"/>
    <col min="7" max="7" width="5.125" style="0" hidden="1" customWidth="1"/>
    <col min="8" max="8" width="11.25390625" style="92" customWidth="1"/>
    <col min="9" max="11" width="8.00390625" style="92" customWidth="1"/>
    <col min="12" max="12" width="8.125" style="92" customWidth="1"/>
    <col min="13" max="13" width="9.62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86</v>
      </c>
      <c r="D2" s="432"/>
      <c r="E2" s="10" t="s">
        <v>6</v>
      </c>
      <c r="F2" s="16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>SUM(F5:F27)</f>
        <v>242690613</v>
      </c>
      <c r="G3" s="114">
        <f aca="true" t="shared" si="0" ref="G3:M3">SUM(G5:G27)</f>
        <v>0</v>
      </c>
      <c r="H3" s="115">
        <f t="shared" si="0"/>
        <v>241690613</v>
      </c>
      <c r="I3" s="116">
        <f t="shared" si="0"/>
        <v>0</v>
      </c>
      <c r="J3" s="116">
        <f t="shared" si="0"/>
        <v>468493</v>
      </c>
      <c r="K3" s="116">
        <f t="shared" si="0"/>
        <v>0</v>
      </c>
      <c r="L3" s="115">
        <f t="shared" si="0"/>
        <v>531507</v>
      </c>
      <c r="M3" s="117">
        <f t="shared" si="0"/>
        <v>229129807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>SUM(F5:F15)</f>
        <v>200812000</v>
      </c>
      <c r="G4" s="119">
        <f aca="true" t="shared" si="1" ref="G4:M4">SUM(G5:G15)</f>
        <v>0</v>
      </c>
      <c r="H4" s="120">
        <f t="shared" si="1"/>
        <v>200280493</v>
      </c>
      <c r="I4" s="121">
        <f t="shared" si="1"/>
        <v>0</v>
      </c>
      <c r="J4" s="121">
        <f t="shared" si="1"/>
        <v>0</v>
      </c>
      <c r="K4" s="121">
        <f t="shared" si="1"/>
        <v>0</v>
      </c>
      <c r="L4" s="120">
        <f t="shared" si="1"/>
        <v>531507</v>
      </c>
      <c r="M4" s="122">
        <f t="shared" si="1"/>
        <v>187005951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63">
        <f>SUM(H5:L5)</f>
        <v>109169000</v>
      </c>
      <c r="G5" s="124"/>
      <c r="H5" s="125">
        <v>109169000</v>
      </c>
      <c r="I5" s="125"/>
      <c r="J5" s="126"/>
      <c r="K5" s="126"/>
      <c r="L5" s="127"/>
      <c r="M5" s="128">
        <v>102027101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63">
        <f aca="true" t="shared" si="2" ref="F6:F45">SUM(H6:L6)</f>
        <v>6300000</v>
      </c>
      <c r="G6" s="124"/>
      <c r="H6" s="125">
        <v>6300000</v>
      </c>
      <c r="I6" s="125"/>
      <c r="J6" s="126"/>
      <c r="K6" s="126"/>
      <c r="L6" s="127"/>
      <c r="M6" s="128">
        <v>6300487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63">
        <f t="shared" si="2"/>
        <v>40500000</v>
      </c>
      <c r="G7" s="124"/>
      <c r="H7" s="125">
        <v>40500000</v>
      </c>
      <c r="I7" s="125"/>
      <c r="J7" s="126"/>
      <c r="K7" s="126"/>
      <c r="L7" s="127"/>
      <c r="M7" s="128">
        <v>36053696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63">
        <f t="shared" si="2"/>
        <v>4000000</v>
      </c>
      <c r="G8" s="124"/>
      <c r="H8" s="125">
        <v>4000000</v>
      </c>
      <c r="I8" s="125"/>
      <c r="J8" s="126"/>
      <c r="K8" s="126"/>
      <c r="L8" s="127"/>
      <c r="M8" s="128">
        <v>3714043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63">
        <f t="shared" si="2"/>
        <v>2500000</v>
      </c>
      <c r="G9" s="124"/>
      <c r="H9" s="125">
        <v>2500000</v>
      </c>
      <c r="I9" s="125"/>
      <c r="J9" s="126"/>
      <c r="K9" s="126"/>
      <c r="L9" s="127"/>
      <c r="M9" s="128">
        <v>2319465</v>
      </c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63">
        <f t="shared" si="2"/>
        <v>11499500</v>
      </c>
      <c r="G10" s="124"/>
      <c r="H10" s="125">
        <v>11499500</v>
      </c>
      <c r="I10" s="125"/>
      <c r="J10" s="126"/>
      <c r="K10" s="126"/>
      <c r="L10" s="127"/>
      <c r="M10" s="128">
        <v>10742130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63">
        <f t="shared" si="2"/>
        <v>11102000</v>
      </c>
      <c r="G11" s="124"/>
      <c r="H11" s="125">
        <v>11102000</v>
      </c>
      <c r="I11" s="125"/>
      <c r="J11" s="126"/>
      <c r="K11" s="126"/>
      <c r="L11" s="127"/>
      <c r="M11" s="128">
        <v>10564531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63">
        <f t="shared" si="2"/>
        <v>3500000</v>
      </c>
      <c r="G12" s="124"/>
      <c r="H12" s="125">
        <v>3500000</v>
      </c>
      <c r="I12" s="125"/>
      <c r="J12" s="126"/>
      <c r="K12" s="126"/>
      <c r="L12" s="127"/>
      <c r="M12" s="128">
        <v>2044527</v>
      </c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63">
        <f t="shared" si="2"/>
        <v>7462000</v>
      </c>
      <c r="G13" s="124"/>
      <c r="H13" s="125">
        <v>7462000</v>
      </c>
      <c r="I13" s="125"/>
      <c r="J13" s="126"/>
      <c r="K13" s="126"/>
      <c r="L13" s="127"/>
      <c r="M13" s="128">
        <v>7461405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63">
        <f t="shared" si="2"/>
        <v>1000000</v>
      </c>
      <c r="G14" s="124"/>
      <c r="H14" s="125">
        <v>468493</v>
      </c>
      <c r="I14" s="125"/>
      <c r="J14" s="126"/>
      <c r="K14" s="126"/>
      <c r="L14" s="127">
        <v>531507</v>
      </c>
      <c r="M14" s="128">
        <v>834975</v>
      </c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63">
        <f t="shared" si="2"/>
        <v>3779500</v>
      </c>
      <c r="G15" s="124"/>
      <c r="H15" s="125">
        <v>3779500</v>
      </c>
      <c r="I15" s="125"/>
      <c r="J15" s="126"/>
      <c r="K15" s="126"/>
      <c r="L15" s="127"/>
      <c r="M15" s="128">
        <v>4943591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5260125</v>
      </c>
      <c r="G16" s="130"/>
      <c r="H16" s="131">
        <v>5260125</v>
      </c>
      <c r="I16" s="131"/>
      <c r="J16" s="132"/>
      <c r="K16" s="132"/>
      <c r="L16" s="133"/>
      <c r="M16" s="134">
        <v>5767000</v>
      </c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207000</v>
      </c>
      <c r="G17" s="130"/>
      <c r="H17" s="131">
        <v>207000</v>
      </c>
      <c r="I17" s="131"/>
      <c r="J17" s="132"/>
      <c r="K17" s="132"/>
      <c r="L17" s="133"/>
      <c r="M17" s="134">
        <v>241955</v>
      </c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1517000</v>
      </c>
      <c r="G18" s="130"/>
      <c r="H18" s="131">
        <v>1517000</v>
      </c>
      <c r="I18" s="131"/>
      <c r="J18" s="132"/>
      <c r="K18" s="132"/>
      <c r="L18" s="133"/>
      <c r="M18" s="134">
        <v>8166000</v>
      </c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211000</v>
      </c>
      <c r="G19" s="130"/>
      <c r="H19" s="131">
        <v>211000</v>
      </c>
      <c r="I19" s="131"/>
      <c r="J19" s="132"/>
      <c r="K19" s="132"/>
      <c r="L19" s="133"/>
      <c r="M19" s="134">
        <v>820333</v>
      </c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1120000</v>
      </c>
      <c r="G20" s="130"/>
      <c r="H20" s="131">
        <v>1120000</v>
      </c>
      <c r="I20" s="131"/>
      <c r="J20" s="132"/>
      <c r="K20" s="132"/>
      <c r="L20" s="133"/>
      <c r="M20" s="134">
        <v>839000</v>
      </c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2"/>
        <v>6000000</v>
      </c>
      <c r="G21" s="130"/>
      <c r="H21" s="131">
        <v>6000000</v>
      </c>
      <c r="I21" s="131"/>
      <c r="J21" s="132"/>
      <c r="K21" s="132"/>
      <c r="L21" s="133"/>
      <c r="M21" s="134">
        <v>10182979</v>
      </c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2"/>
        <v>2615488</v>
      </c>
      <c r="G22" s="130"/>
      <c r="H22" s="133">
        <v>2146995</v>
      </c>
      <c r="I22" s="132"/>
      <c r="J22" s="132">
        <f>J37</f>
        <v>468493</v>
      </c>
      <c r="K22" s="132"/>
      <c r="L22" s="133"/>
      <c r="M22" s="134"/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2"/>
        <v>19689000</v>
      </c>
      <c r="G23" s="130"/>
      <c r="H23" s="133">
        <v>19689000</v>
      </c>
      <c r="I23" s="132"/>
      <c r="J23" s="132"/>
      <c r="K23" s="132"/>
      <c r="L23" s="133"/>
      <c r="M23" s="134">
        <v>8860000</v>
      </c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2"/>
        <v>5229000</v>
      </c>
      <c r="G24" s="130"/>
      <c r="H24" s="133">
        <v>5229000</v>
      </c>
      <c r="I24" s="132"/>
      <c r="J24" s="132"/>
      <c r="K24" s="132"/>
      <c r="L24" s="133"/>
      <c r="M24" s="134">
        <v>5591430</v>
      </c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>
        <v>1643271</v>
      </c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30000</v>
      </c>
      <c r="G27" s="130"/>
      <c r="H27" s="133">
        <v>30000</v>
      </c>
      <c r="I27" s="132"/>
      <c r="J27" s="132"/>
      <c r="K27" s="132"/>
      <c r="L27" s="133"/>
      <c r="M27" s="134">
        <v>11888</v>
      </c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>SUM(F29:F45)</f>
        <v>244190613</v>
      </c>
      <c r="G28" s="114">
        <f aca="true" t="shared" si="3" ref="G28:M28">SUM(G29:G45)</f>
        <v>0</v>
      </c>
      <c r="H28" s="115">
        <f t="shared" si="3"/>
        <v>243190613</v>
      </c>
      <c r="I28" s="116">
        <f t="shared" si="3"/>
        <v>0</v>
      </c>
      <c r="J28" s="116">
        <f t="shared" si="3"/>
        <v>468493</v>
      </c>
      <c r="K28" s="116">
        <f t="shared" si="3"/>
        <v>0</v>
      </c>
      <c r="L28" s="115">
        <f t="shared" si="3"/>
        <v>531507</v>
      </c>
      <c r="M28" s="117">
        <f t="shared" si="3"/>
        <v>232649318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40">
        <v>27</v>
      </c>
      <c r="F29" s="164">
        <f t="shared" si="2"/>
        <v>175889000</v>
      </c>
      <c r="G29" s="119"/>
      <c r="H29" s="120">
        <v>175889000</v>
      </c>
      <c r="I29" s="121"/>
      <c r="J29" s="121"/>
      <c r="K29" s="121"/>
      <c r="L29" s="120"/>
      <c r="M29" s="122">
        <v>159561718</v>
      </c>
    </row>
    <row r="30" spans="1:13" s="37" customFormat="1" ht="12">
      <c r="A30" s="28"/>
      <c r="B30" s="47" t="s">
        <v>29</v>
      </c>
      <c r="C30" s="47"/>
      <c r="D30" s="47"/>
      <c r="E30" s="40">
        <v>28</v>
      </c>
      <c r="F30" s="164">
        <f t="shared" si="2"/>
        <v>5260125</v>
      </c>
      <c r="G30" s="135"/>
      <c r="H30" s="136">
        <v>5260125</v>
      </c>
      <c r="I30" s="137"/>
      <c r="J30" s="137"/>
      <c r="K30" s="137"/>
      <c r="L30" s="136"/>
      <c r="M30" s="138">
        <v>5767000</v>
      </c>
    </row>
    <row r="31" spans="1:13" s="37" customFormat="1" ht="12">
      <c r="A31" s="28"/>
      <c r="B31" s="47" t="s">
        <v>31</v>
      </c>
      <c r="C31" s="47"/>
      <c r="D31" s="47"/>
      <c r="E31" s="40">
        <v>29</v>
      </c>
      <c r="F31" s="164">
        <f t="shared" si="2"/>
        <v>207000</v>
      </c>
      <c r="G31" s="135"/>
      <c r="H31" s="136">
        <v>207000</v>
      </c>
      <c r="I31" s="137"/>
      <c r="J31" s="137"/>
      <c r="K31" s="137"/>
      <c r="L31" s="136"/>
      <c r="M31" s="138">
        <v>241955</v>
      </c>
    </row>
    <row r="32" spans="1:13" s="37" customFormat="1" ht="12">
      <c r="A32" s="28"/>
      <c r="B32" s="48" t="s">
        <v>33</v>
      </c>
      <c r="C32" s="49"/>
      <c r="D32" s="49"/>
      <c r="E32" s="50">
        <v>30</v>
      </c>
      <c r="F32" s="164">
        <f t="shared" si="2"/>
        <v>1517000</v>
      </c>
      <c r="G32" s="135"/>
      <c r="H32" s="136">
        <v>1517000</v>
      </c>
      <c r="I32" s="137"/>
      <c r="J32" s="137"/>
      <c r="K32" s="137"/>
      <c r="L32" s="136"/>
      <c r="M32" s="138">
        <v>8166000</v>
      </c>
    </row>
    <row r="33" spans="1:13" s="37" customFormat="1" ht="12">
      <c r="A33" s="28"/>
      <c r="B33" s="48" t="s">
        <v>35</v>
      </c>
      <c r="C33" s="48"/>
      <c r="D33" s="48"/>
      <c r="E33" s="50">
        <v>31</v>
      </c>
      <c r="F33" s="164">
        <f t="shared" si="2"/>
        <v>211000</v>
      </c>
      <c r="G33" s="135"/>
      <c r="H33" s="136">
        <v>211000</v>
      </c>
      <c r="I33" s="137"/>
      <c r="J33" s="137"/>
      <c r="K33" s="137"/>
      <c r="L33" s="136"/>
      <c r="M33" s="138">
        <v>820333</v>
      </c>
    </row>
    <row r="34" spans="1:13" s="37" customFormat="1" ht="12">
      <c r="A34" s="28"/>
      <c r="B34" s="48" t="s">
        <v>55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</row>
    <row r="35" spans="1:13" s="37" customFormat="1" ht="12">
      <c r="A35" s="28"/>
      <c r="B35" s="48" t="s">
        <v>37</v>
      </c>
      <c r="C35" s="48"/>
      <c r="D35" s="48"/>
      <c r="E35" s="50">
        <v>33</v>
      </c>
      <c r="F35" s="164">
        <f t="shared" si="2"/>
        <v>1120000</v>
      </c>
      <c r="G35" s="135"/>
      <c r="H35" s="136">
        <v>1120000</v>
      </c>
      <c r="I35" s="137"/>
      <c r="J35" s="137"/>
      <c r="K35" s="137"/>
      <c r="L35" s="136"/>
      <c r="M35" s="138">
        <v>839000</v>
      </c>
    </row>
    <row r="36" spans="1:13" s="37" customFormat="1" ht="12">
      <c r="A36" s="28"/>
      <c r="B36" s="48" t="s">
        <v>39</v>
      </c>
      <c r="C36" s="48"/>
      <c r="D36" s="48"/>
      <c r="E36" s="50">
        <v>34</v>
      </c>
      <c r="F36" s="164">
        <f t="shared" si="2"/>
        <v>6000000</v>
      </c>
      <c r="G36" s="135"/>
      <c r="H36" s="136">
        <v>6000000</v>
      </c>
      <c r="I36" s="137"/>
      <c r="J36" s="137"/>
      <c r="K36" s="137"/>
      <c r="L36" s="136"/>
      <c r="M36" s="138">
        <v>10205026</v>
      </c>
    </row>
    <row r="37" spans="1:13" s="37" customFormat="1" ht="12">
      <c r="A37" s="28"/>
      <c r="B37" s="48" t="s">
        <v>57</v>
      </c>
      <c r="C37" s="48"/>
      <c r="D37" s="48"/>
      <c r="E37" s="50">
        <v>35</v>
      </c>
      <c r="F37" s="164">
        <f t="shared" si="2"/>
        <v>2615488</v>
      </c>
      <c r="G37" s="135"/>
      <c r="H37" s="136">
        <v>2146995</v>
      </c>
      <c r="I37" s="137"/>
      <c r="J37" s="137">
        <v>468493</v>
      </c>
      <c r="K37" s="137"/>
      <c r="L37" s="136"/>
      <c r="M37" s="138"/>
    </row>
    <row r="38" spans="1:13" s="37" customFormat="1" ht="12">
      <c r="A38" s="28"/>
      <c r="B38" s="48" t="s">
        <v>58</v>
      </c>
      <c r="C38" s="48"/>
      <c r="D38" s="48"/>
      <c r="E38" s="50">
        <v>36</v>
      </c>
      <c r="F38" s="164">
        <f t="shared" si="2"/>
        <v>3766000</v>
      </c>
      <c r="G38" s="135"/>
      <c r="H38" s="136">
        <v>3766000</v>
      </c>
      <c r="I38" s="137"/>
      <c r="J38" s="137"/>
      <c r="K38" s="137"/>
      <c r="L38" s="136"/>
      <c r="M38" s="138">
        <v>3134000</v>
      </c>
    </row>
    <row r="39" spans="1:13" s="37" customFormat="1" ht="12">
      <c r="A39" s="28"/>
      <c r="B39" s="48" t="s">
        <v>60</v>
      </c>
      <c r="C39" s="48"/>
      <c r="D39" s="48"/>
      <c r="E39" s="50">
        <v>37</v>
      </c>
      <c r="F39" s="164">
        <f t="shared" si="2"/>
        <v>19689000</v>
      </c>
      <c r="G39" s="135"/>
      <c r="H39" s="136">
        <v>19689000</v>
      </c>
      <c r="I39" s="137"/>
      <c r="J39" s="137"/>
      <c r="K39" s="137"/>
      <c r="L39" s="136"/>
      <c r="M39" s="138">
        <v>8860000</v>
      </c>
    </row>
    <row r="40" spans="1:13" s="37" customFormat="1" ht="12">
      <c r="A40" s="28"/>
      <c r="B40" s="48" t="s">
        <v>61</v>
      </c>
      <c r="C40" s="48"/>
      <c r="D40" s="48"/>
      <c r="E40" s="50">
        <v>38</v>
      </c>
      <c r="F40" s="164">
        <f t="shared" si="2"/>
        <v>5229000</v>
      </c>
      <c r="G40" s="135"/>
      <c r="H40" s="136">
        <v>5229000</v>
      </c>
      <c r="I40" s="137"/>
      <c r="J40" s="137"/>
      <c r="K40" s="137"/>
      <c r="L40" s="136"/>
      <c r="M40" s="138">
        <v>5591430</v>
      </c>
    </row>
    <row r="41" spans="1:13" s="37" customFormat="1" ht="12">
      <c r="A41" s="28"/>
      <c r="B41" s="48" t="s">
        <v>46</v>
      </c>
      <c r="C41" s="48"/>
      <c r="D41" s="48"/>
      <c r="E41" s="50">
        <v>39</v>
      </c>
      <c r="F41" s="164">
        <f t="shared" si="2"/>
        <v>0</v>
      </c>
      <c r="G41" s="135"/>
      <c r="H41" s="136"/>
      <c r="I41" s="137"/>
      <c r="J41" s="137"/>
      <c r="K41" s="137"/>
      <c r="L41" s="136"/>
      <c r="M41" s="138">
        <v>1643271</v>
      </c>
    </row>
    <row r="42" spans="1:13" s="37" customFormat="1" ht="12">
      <c r="A42" s="28"/>
      <c r="B42" s="48" t="s">
        <v>62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/>
    </row>
    <row r="43" spans="1:13" s="37" customFormat="1" ht="12">
      <c r="A43" s="28"/>
      <c r="B43" s="48" t="s">
        <v>63</v>
      </c>
      <c r="C43" s="48"/>
      <c r="D43" s="48"/>
      <c r="E43" s="50">
        <v>41</v>
      </c>
      <c r="F43" s="164">
        <f t="shared" si="2"/>
        <v>22105493</v>
      </c>
      <c r="G43" s="135"/>
      <c r="H43" s="136">
        <v>22105493</v>
      </c>
      <c r="I43" s="137"/>
      <c r="J43" s="137"/>
      <c r="K43" s="137"/>
      <c r="L43" s="136"/>
      <c r="M43" s="138">
        <v>27267947</v>
      </c>
    </row>
    <row r="44" spans="1:13" s="37" customFormat="1" ht="12">
      <c r="A44" s="28"/>
      <c r="B44" s="48" t="s">
        <v>64</v>
      </c>
      <c r="C44" s="48"/>
      <c r="D44" s="48"/>
      <c r="E44" s="50">
        <v>42</v>
      </c>
      <c r="F44" s="164">
        <f t="shared" si="2"/>
        <v>531507</v>
      </c>
      <c r="G44" s="135"/>
      <c r="H44" s="139" t="s">
        <v>99</v>
      </c>
      <c r="I44" s="137"/>
      <c r="J44" s="137"/>
      <c r="K44" s="137"/>
      <c r="L44" s="136">
        <f>L14</f>
        <v>531507</v>
      </c>
      <c r="M44" s="138">
        <v>539750</v>
      </c>
    </row>
    <row r="45" spans="1:13" s="37" customFormat="1" ht="12">
      <c r="A45" s="65"/>
      <c r="B45" s="66" t="s">
        <v>50</v>
      </c>
      <c r="C45" s="66"/>
      <c r="D45" s="66"/>
      <c r="E45" s="67">
        <v>43</v>
      </c>
      <c r="F45" s="165">
        <f t="shared" si="2"/>
        <v>50000</v>
      </c>
      <c r="G45" s="141"/>
      <c r="H45" s="142">
        <v>50000</v>
      </c>
      <c r="I45" s="143"/>
      <c r="J45" s="143"/>
      <c r="K45" s="143"/>
      <c r="L45" s="142"/>
      <c r="M45" s="144">
        <v>11888</v>
      </c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66">
        <f>F29+F34+F38+F43+F44+F45-F4-F27</f>
        <v>1500000</v>
      </c>
      <c r="G46" s="146">
        <f>G29+G34+G38+G43+G44+G45+-G4-G27</f>
        <v>0</v>
      </c>
      <c r="H46" s="146">
        <f>H29+H34+H38+H43+H45-H4-H27</f>
        <v>1500000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3497464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61">
        <f>F28-F3</f>
        <v>1500000</v>
      </c>
      <c r="G47" s="114">
        <f aca="true" t="shared" si="4" ref="G47:M47">G28-G3</f>
        <v>0</v>
      </c>
      <c r="H47" s="115">
        <f t="shared" si="4"/>
        <v>1500000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3519511</v>
      </c>
    </row>
    <row r="48" spans="1:5" ht="12.75">
      <c r="A48" s="80" t="s">
        <v>68</v>
      </c>
      <c r="B48" s="80"/>
      <c r="C48" s="80"/>
      <c r="D48" s="407">
        <v>39148</v>
      </c>
      <c r="E48" s="81"/>
    </row>
    <row r="49" spans="5:13" s="80" customFormat="1" ht="9" customHeight="1"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>
      <c r="A50" s="84" t="s">
        <v>100</v>
      </c>
      <c r="E50" s="81"/>
      <c r="F50" s="167"/>
      <c r="H50" s="92"/>
      <c r="J50" s="410">
        <v>500000</v>
      </c>
      <c r="L50" s="92"/>
      <c r="M50" s="92"/>
    </row>
    <row r="51" spans="1:13" s="80" customFormat="1" ht="12">
      <c r="A51" s="84"/>
      <c r="B51" s="84"/>
      <c r="C51" s="84"/>
      <c r="D51" s="84"/>
      <c r="E51" s="81"/>
      <c r="F51" s="37"/>
      <c r="H51" s="92"/>
      <c r="I51" s="92"/>
      <c r="J51" s="92"/>
      <c r="K51" s="92"/>
      <c r="L51" s="92"/>
      <c r="M51" s="92"/>
    </row>
    <row r="52" spans="1:6" s="92" customFormat="1" ht="12">
      <c r="A52" s="84"/>
      <c r="B52" s="84"/>
      <c r="C52" s="84"/>
      <c r="D52" s="84"/>
      <c r="E52" s="90"/>
      <c r="F52" s="37"/>
    </row>
    <row r="53" spans="1:6" s="92" customFormat="1" ht="12">
      <c r="A53" s="84"/>
      <c r="B53" s="84"/>
      <c r="C53" s="84"/>
      <c r="D53" s="84"/>
      <c r="E53" s="90"/>
      <c r="F53" s="37"/>
    </row>
    <row r="54" spans="1:6" s="92" customFormat="1" ht="12">
      <c r="A54" s="84"/>
      <c r="B54" s="84"/>
      <c r="C54" s="84"/>
      <c r="D54" s="84"/>
      <c r="E54" s="90"/>
      <c r="F54" s="37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C2" sqref="C2:D2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125" style="37" customWidth="1"/>
    <col min="7" max="7" width="1.625" style="0" hidden="1" customWidth="1"/>
    <col min="8" max="8" width="11.25390625" style="92" customWidth="1"/>
    <col min="9" max="11" width="8.00390625" style="92" customWidth="1"/>
    <col min="12" max="12" width="8.125" style="92" customWidth="1"/>
    <col min="13" max="13" width="9.62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87</v>
      </c>
      <c r="D2" s="432"/>
      <c r="E2" s="10" t="s">
        <v>6</v>
      </c>
      <c r="F2" s="16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>SUM(F5:F27)</f>
        <v>78023000</v>
      </c>
      <c r="G3" s="114">
        <f aca="true" t="shared" si="0" ref="G3:M3">SUM(G5:G27)</f>
        <v>0</v>
      </c>
      <c r="H3" s="115">
        <f t="shared" si="0"/>
        <v>76653000</v>
      </c>
      <c r="I3" s="116">
        <f t="shared" si="0"/>
        <v>800000</v>
      </c>
      <c r="J3" s="116">
        <f t="shared" si="0"/>
        <v>0</v>
      </c>
      <c r="K3" s="116">
        <f t="shared" si="0"/>
        <v>70000</v>
      </c>
      <c r="L3" s="115">
        <f t="shared" si="0"/>
        <v>500000</v>
      </c>
      <c r="M3" s="117">
        <f t="shared" si="0"/>
        <v>76775516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>SUM(F5:F15)</f>
        <v>70038000</v>
      </c>
      <c r="G4" s="119">
        <f aca="true" t="shared" si="1" ref="G4:M4">SUM(G5:G15)</f>
        <v>0</v>
      </c>
      <c r="H4" s="120">
        <f t="shared" si="1"/>
        <v>68668000</v>
      </c>
      <c r="I4" s="121">
        <f t="shared" si="1"/>
        <v>800000</v>
      </c>
      <c r="J4" s="121">
        <f t="shared" si="1"/>
        <v>0</v>
      </c>
      <c r="K4" s="121">
        <f t="shared" si="1"/>
        <v>70000</v>
      </c>
      <c r="L4" s="120">
        <f t="shared" si="1"/>
        <v>500000</v>
      </c>
      <c r="M4" s="122">
        <f t="shared" si="1"/>
        <v>68240772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63">
        <f>SUM(H5:L5)</f>
        <v>34690000</v>
      </c>
      <c r="G5" s="124"/>
      <c r="H5" s="125">
        <v>34620000</v>
      </c>
      <c r="I5" s="125"/>
      <c r="J5" s="126"/>
      <c r="K5" s="126">
        <v>70000</v>
      </c>
      <c r="L5" s="127"/>
      <c r="M5" s="128">
        <v>34695744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63">
        <f aca="true" t="shared" si="2" ref="F6:F45">SUM(H6:L6)</f>
        <v>1798000</v>
      </c>
      <c r="G6" s="124"/>
      <c r="H6" s="125">
        <v>1798000</v>
      </c>
      <c r="I6" s="125"/>
      <c r="J6" s="126"/>
      <c r="K6" s="126"/>
      <c r="L6" s="127"/>
      <c r="M6" s="128">
        <v>1441708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63">
        <f t="shared" si="2"/>
        <v>12224000</v>
      </c>
      <c r="G7" s="124"/>
      <c r="H7" s="125">
        <v>12224000</v>
      </c>
      <c r="I7" s="125"/>
      <c r="J7" s="126"/>
      <c r="K7" s="126"/>
      <c r="L7" s="127"/>
      <c r="M7" s="128">
        <v>12157033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63">
        <f t="shared" si="2"/>
        <v>3920900</v>
      </c>
      <c r="G8" s="124"/>
      <c r="H8" s="125">
        <v>3920900</v>
      </c>
      <c r="I8" s="125"/>
      <c r="J8" s="126"/>
      <c r="K8" s="126"/>
      <c r="L8" s="127"/>
      <c r="M8" s="128">
        <v>3412254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63">
        <f t="shared" si="2"/>
        <v>356000</v>
      </c>
      <c r="G9" s="124"/>
      <c r="H9" s="125">
        <v>356000</v>
      </c>
      <c r="I9" s="125"/>
      <c r="J9" s="126"/>
      <c r="K9" s="126"/>
      <c r="L9" s="127"/>
      <c r="M9" s="128">
        <v>241933</v>
      </c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63">
        <f t="shared" si="2"/>
        <v>3800500</v>
      </c>
      <c r="G10" s="124"/>
      <c r="H10" s="125">
        <v>3000500</v>
      </c>
      <c r="I10" s="125">
        <v>800000</v>
      </c>
      <c r="J10" s="126"/>
      <c r="K10" s="126"/>
      <c r="L10" s="127"/>
      <c r="M10" s="128">
        <v>3655167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63">
        <f t="shared" si="2"/>
        <v>6880000</v>
      </c>
      <c r="G11" s="124"/>
      <c r="H11" s="125">
        <v>6880000</v>
      </c>
      <c r="I11" s="125"/>
      <c r="J11" s="126"/>
      <c r="K11" s="126"/>
      <c r="L11" s="127"/>
      <c r="M11" s="128">
        <v>6759196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63">
        <f t="shared" si="2"/>
        <v>1250000</v>
      </c>
      <c r="G12" s="124"/>
      <c r="H12" s="125">
        <v>1250000</v>
      </c>
      <c r="I12" s="125"/>
      <c r="J12" s="126"/>
      <c r="K12" s="126"/>
      <c r="L12" s="127"/>
      <c r="M12" s="128">
        <v>978195</v>
      </c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63">
        <f t="shared" si="2"/>
        <v>1212000</v>
      </c>
      <c r="G13" s="124"/>
      <c r="H13" s="125">
        <v>1212000</v>
      </c>
      <c r="I13" s="125"/>
      <c r="J13" s="126"/>
      <c r="K13" s="126"/>
      <c r="L13" s="127"/>
      <c r="M13" s="128">
        <v>1212331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63">
        <f t="shared" si="2"/>
        <v>760000</v>
      </c>
      <c r="G14" s="124"/>
      <c r="H14" s="125">
        <v>260000</v>
      </c>
      <c r="I14" s="125"/>
      <c r="J14" s="126"/>
      <c r="K14" s="126"/>
      <c r="L14" s="127">
        <v>500000</v>
      </c>
      <c r="M14" s="128">
        <v>460231</v>
      </c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63">
        <f t="shared" si="2"/>
        <v>3146600</v>
      </c>
      <c r="G15" s="124"/>
      <c r="H15" s="125">
        <v>3146600</v>
      </c>
      <c r="I15" s="125"/>
      <c r="J15" s="126"/>
      <c r="K15" s="126"/>
      <c r="L15" s="127"/>
      <c r="M15" s="128">
        <v>3226980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1500000</v>
      </c>
      <c r="G16" s="130"/>
      <c r="H16" s="131">
        <v>1500000</v>
      </c>
      <c r="I16" s="131"/>
      <c r="J16" s="132"/>
      <c r="K16" s="132"/>
      <c r="L16" s="133"/>
      <c r="M16" s="134">
        <v>1500000</v>
      </c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80000</v>
      </c>
      <c r="G17" s="130"/>
      <c r="H17" s="131">
        <v>80000</v>
      </c>
      <c r="I17" s="131"/>
      <c r="J17" s="132"/>
      <c r="K17" s="132"/>
      <c r="L17" s="133"/>
      <c r="M17" s="134">
        <v>81000</v>
      </c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1620000</v>
      </c>
      <c r="G18" s="130"/>
      <c r="H18" s="131">
        <v>1620000</v>
      </c>
      <c r="I18" s="131"/>
      <c r="J18" s="132"/>
      <c r="K18" s="132"/>
      <c r="L18" s="133"/>
      <c r="M18" s="134">
        <v>1391700</v>
      </c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680000</v>
      </c>
      <c r="G19" s="130"/>
      <c r="H19" s="131">
        <v>680000</v>
      </c>
      <c r="I19" s="131"/>
      <c r="J19" s="132"/>
      <c r="K19" s="132"/>
      <c r="L19" s="133"/>
      <c r="M19" s="134">
        <v>1070000</v>
      </c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/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2"/>
        <v>3000000</v>
      </c>
      <c r="G22" s="130"/>
      <c r="H22" s="133">
        <v>3000000</v>
      </c>
      <c r="I22" s="132"/>
      <c r="J22" s="132"/>
      <c r="K22" s="132"/>
      <c r="L22" s="133"/>
      <c r="M22" s="134">
        <v>2999227</v>
      </c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/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2"/>
        <v>0</v>
      </c>
      <c r="G24" s="130"/>
      <c r="H24" s="133"/>
      <c r="I24" s="132"/>
      <c r="J24" s="132"/>
      <c r="K24" s="132"/>
      <c r="L24" s="133"/>
      <c r="M24" s="134"/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2"/>
        <v>150000</v>
      </c>
      <c r="G25" s="130"/>
      <c r="H25" s="133">
        <v>150000</v>
      </c>
      <c r="I25" s="132"/>
      <c r="J25" s="132"/>
      <c r="K25" s="132"/>
      <c r="L25" s="133"/>
      <c r="M25" s="134"/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>
        <v>247113</v>
      </c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955000</v>
      </c>
      <c r="G27" s="130"/>
      <c r="H27" s="133">
        <v>955000</v>
      </c>
      <c r="I27" s="132"/>
      <c r="J27" s="132"/>
      <c r="K27" s="132"/>
      <c r="L27" s="133"/>
      <c r="M27" s="134">
        <v>1245704</v>
      </c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>SUM(F29:F45)</f>
        <v>78023000</v>
      </c>
      <c r="G28" s="114">
        <f aca="true" t="shared" si="3" ref="G28:M28">SUM(G29:G45)</f>
        <v>0</v>
      </c>
      <c r="H28" s="115">
        <f t="shared" si="3"/>
        <v>76653000</v>
      </c>
      <c r="I28" s="116">
        <f t="shared" si="3"/>
        <v>800000</v>
      </c>
      <c r="J28" s="116">
        <f t="shared" si="3"/>
        <v>0</v>
      </c>
      <c r="K28" s="116">
        <f t="shared" si="3"/>
        <v>70000</v>
      </c>
      <c r="L28" s="115">
        <f t="shared" si="3"/>
        <v>500000</v>
      </c>
      <c r="M28" s="117">
        <f t="shared" si="3"/>
        <v>77537971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40">
        <v>27</v>
      </c>
      <c r="F29" s="164">
        <f t="shared" si="2"/>
        <v>61465000</v>
      </c>
      <c r="G29" s="119"/>
      <c r="H29" s="120">
        <v>61465000</v>
      </c>
      <c r="I29" s="121"/>
      <c r="J29" s="121"/>
      <c r="K29" s="121"/>
      <c r="L29" s="120"/>
      <c r="M29" s="122">
        <v>60671504</v>
      </c>
    </row>
    <row r="30" spans="1:13" s="37" customFormat="1" ht="12">
      <c r="A30" s="28"/>
      <c r="B30" s="47" t="s">
        <v>29</v>
      </c>
      <c r="C30" s="47"/>
      <c r="D30" s="47"/>
      <c r="E30" s="40">
        <v>28</v>
      </c>
      <c r="F30" s="164">
        <f t="shared" si="2"/>
        <v>1500000</v>
      </c>
      <c r="G30" s="135"/>
      <c r="H30" s="136">
        <f>H16</f>
        <v>1500000</v>
      </c>
      <c r="I30" s="137"/>
      <c r="J30" s="137"/>
      <c r="K30" s="137"/>
      <c r="L30" s="136"/>
      <c r="M30" s="138">
        <f>M16</f>
        <v>1500000</v>
      </c>
    </row>
    <row r="31" spans="1:13" s="37" customFormat="1" ht="12">
      <c r="A31" s="28"/>
      <c r="B31" s="47" t="s">
        <v>31</v>
      </c>
      <c r="C31" s="47"/>
      <c r="D31" s="47"/>
      <c r="E31" s="40">
        <v>29</v>
      </c>
      <c r="F31" s="164">
        <f t="shared" si="2"/>
        <v>80000</v>
      </c>
      <c r="G31" s="135"/>
      <c r="H31" s="136">
        <f>H17</f>
        <v>80000</v>
      </c>
      <c r="I31" s="137"/>
      <c r="J31" s="137"/>
      <c r="K31" s="137"/>
      <c r="L31" s="136"/>
      <c r="M31" s="138">
        <f>M17</f>
        <v>81000</v>
      </c>
    </row>
    <row r="32" spans="1:13" s="37" customFormat="1" ht="12">
      <c r="A32" s="28"/>
      <c r="B32" s="48" t="s">
        <v>33</v>
      </c>
      <c r="C32" s="49"/>
      <c r="D32" s="49"/>
      <c r="E32" s="50">
        <v>30</v>
      </c>
      <c r="F32" s="164">
        <f t="shared" si="2"/>
        <v>1620000</v>
      </c>
      <c r="G32" s="135"/>
      <c r="H32" s="136">
        <f>H18</f>
        <v>1620000</v>
      </c>
      <c r="I32" s="137"/>
      <c r="J32" s="137"/>
      <c r="K32" s="137"/>
      <c r="L32" s="136"/>
      <c r="M32" s="138">
        <f>M18</f>
        <v>1391700</v>
      </c>
    </row>
    <row r="33" spans="1:13" s="37" customFormat="1" ht="12">
      <c r="A33" s="28"/>
      <c r="B33" s="48" t="s">
        <v>35</v>
      </c>
      <c r="C33" s="48"/>
      <c r="D33" s="48"/>
      <c r="E33" s="50">
        <v>31</v>
      </c>
      <c r="F33" s="164">
        <f t="shared" si="2"/>
        <v>680000</v>
      </c>
      <c r="G33" s="135"/>
      <c r="H33" s="136">
        <f>H19</f>
        <v>680000</v>
      </c>
      <c r="I33" s="137"/>
      <c r="J33" s="137"/>
      <c r="K33" s="137"/>
      <c r="L33" s="136"/>
      <c r="M33" s="138">
        <f>M19</f>
        <v>1070000</v>
      </c>
    </row>
    <row r="34" spans="1:13" s="37" customFormat="1" ht="12">
      <c r="A34" s="28"/>
      <c r="B34" s="48" t="s">
        <v>55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</row>
    <row r="35" spans="1:13" s="37" customFormat="1" ht="12">
      <c r="A35" s="28"/>
      <c r="B35" s="48" t="s">
        <v>37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/>
    </row>
    <row r="36" spans="1:13" s="37" customFormat="1" ht="12">
      <c r="A36" s="28"/>
      <c r="B36" s="48" t="s">
        <v>39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/>
    </row>
    <row r="37" spans="1:13" s="37" customFormat="1" ht="12">
      <c r="A37" s="28"/>
      <c r="B37" s="48" t="s">
        <v>57</v>
      </c>
      <c r="C37" s="48"/>
      <c r="D37" s="48"/>
      <c r="E37" s="50">
        <v>35</v>
      </c>
      <c r="F37" s="164">
        <f t="shared" si="2"/>
        <v>3000000</v>
      </c>
      <c r="G37" s="135"/>
      <c r="H37" s="136">
        <f>H22</f>
        <v>3000000</v>
      </c>
      <c r="I37" s="137"/>
      <c r="J37" s="137"/>
      <c r="K37" s="137"/>
      <c r="L37" s="136"/>
      <c r="M37" s="138">
        <f>M22</f>
        <v>2999227</v>
      </c>
    </row>
    <row r="38" spans="1:13" s="37" customFormat="1" ht="12">
      <c r="A38" s="28"/>
      <c r="B38" s="48" t="s">
        <v>58</v>
      </c>
      <c r="C38" s="48"/>
      <c r="D38" s="48"/>
      <c r="E38" s="50">
        <v>36</v>
      </c>
      <c r="F38" s="164">
        <f t="shared" si="2"/>
        <v>158000</v>
      </c>
      <c r="G38" s="135"/>
      <c r="H38" s="136">
        <v>158000</v>
      </c>
      <c r="I38" s="137"/>
      <c r="J38" s="137"/>
      <c r="K38" s="137"/>
      <c r="L38" s="136"/>
      <c r="M38" s="138">
        <v>297000</v>
      </c>
    </row>
    <row r="39" spans="1:13" s="37" customFormat="1" ht="12">
      <c r="A39" s="28"/>
      <c r="B39" s="48" t="s">
        <v>60</v>
      </c>
      <c r="C39" s="48"/>
      <c r="D39" s="48"/>
      <c r="E39" s="50">
        <v>37</v>
      </c>
      <c r="F39" s="164">
        <f t="shared" si="2"/>
        <v>0</v>
      </c>
      <c r="G39" s="135"/>
      <c r="H39" s="136"/>
      <c r="I39" s="137"/>
      <c r="J39" s="137"/>
      <c r="K39" s="137"/>
      <c r="L39" s="136"/>
      <c r="M39" s="138"/>
    </row>
    <row r="40" spans="1:13" s="37" customFormat="1" ht="12">
      <c r="A40" s="28"/>
      <c r="B40" s="48" t="s">
        <v>61</v>
      </c>
      <c r="C40" s="48"/>
      <c r="D40" s="48"/>
      <c r="E40" s="50">
        <v>38</v>
      </c>
      <c r="F40" s="164">
        <f t="shared" si="2"/>
        <v>0</v>
      </c>
      <c r="G40" s="135"/>
      <c r="H40" s="136"/>
      <c r="I40" s="137"/>
      <c r="J40" s="137"/>
      <c r="K40" s="137"/>
      <c r="L40" s="136"/>
      <c r="M40" s="138"/>
    </row>
    <row r="41" spans="1:13" s="37" customFormat="1" ht="12">
      <c r="A41" s="28"/>
      <c r="B41" s="48" t="s">
        <v>46</v>
      </c>
      <c r="C41" s="48"/>
      <c r="D41" s="48"/>
      <c r="E41" s="50">
        <v>39</v>
      </c>
      <c r="F41" s="164">
        <f t="shared" si="2"/>
        <v>0</v>
      </c>
      <c r="G41" s="135"/>
      <c r="H41" s="136"/>
      <c r="I41" s="137"/>
      <c r="J41" s="137"/>
      <c r="K41" s="137"/>
      <c r="L41" s="136"/>
      <c r="M41" s="138"/>
    </row>
    <row r="42" spans="1:13" s="37" customFormat="1" ht="12">
      <c r="A42" s="28"/>
      <c r="B42" s="48" t="s">
        <v>62</v>
      </c>
      <c r="C42" s="48"/>
      <c r="D42" s="48"/>
      <c r="E42" s="50">
        <v>40</v>
      </c>
      <c r="F42" s="164">
        <f t="shared" si="2"/>
        <v>150000</v>
      </c>
      <c r="G42" s="135"/>
      <c r="H42" s="136">
        <f>H25</f>
        <v>150000</v>
      </c>
      <c r="I42" s="137"/>
      <c r="J42" s="137"/>
      <c r="K42" s="137"/>
      <c r="L42" s="136"/>
      <c r="M42" s="138">
        <f>M26</f>
        <v>247113</v>
      </c>
    </row>
    <row r="43" spans="1:13" s="37" customFormat="1" ht="12">
      <c r="A43" s="28"/>
      <c r="B43" s="48" t="s">
        <v>63</v>
      </c>
      <c r="C43" s="48"/>
      <c r="D43" s="48"/>
      <c r="E43" s="50">
        <v>41</v>
      </c>
      <c r="F43" s="164">
        <f t="shared" si="2"/>
        <v>7000000</v>
      </c>
      <c r="G43" s="135"/>
      <c r="H43" s="136">
        <v>7000000</v>
      </c>
      <c r="I43" s="137"/>
      <c r="J43" s="137"/>
      <c r="K43" s="137"/>
      <c r="L43" s="136"/>
      <c r="M43" s="138">
        <v>7588804</v>
      </c>
    </row>
    <row r="44" spans="1:13" s="37" customFormat="1" ht="12">
      <c r="A44" s="28"/>
      <c r="B44" s="48" t="s">
        <v>64</v>
      </c>
      <c r="C44" s="48"/>
      <c r="D44" s="48"/>
      <c r="E44" s="50">
        <v>42</v>
      </c>
      <c r="F44" s="164">
        <f t="shared" si="2"/>
        <v>1370000</v>
      </c>
      <c r="G44" s="135"/>
      <c r="H44" s="139" t="s">
        <v>99</v>
      </c>
      <c r="I44" s="137">
        <v>800000</v>
      </c>
      <c r="J44" s="137"/>
      <c r="K44" s="137">
        <v>70000</v>
      </c>
      <c r="L44" s="136">
        <v>500000</v>
      </c>
      <c r="M44" s="138">
        <v>398200</v>
      </c>
    </row>
    <row r="45" spans="1:13" s="37" customFormat="1" ht="12">
      <c r="A45" s="65"/>
      <c r="B45" s="66" t="s">
        <v>50</v>
      </c>
      <c r="C45" s="66"/>
      <c r="D45" s="66"/>
      <c r="E45" s="67">
        <v>43</v>
      </c>
      <c r="F45" s="165">
        <f t="shared" si="2"/>
        <v>1000000</v>
      </c>
      <c r="G45" s="141"/>
      <c r="H45" s="142">
        <v>1000000</v>
      </c>
      <c r="I45" s="143"/>
      <c r="J45" s="143"/>
      <c r="K45" s="143"/>
      <c r="L45" s="142"/>
      <c r="M45" s="144">
        <v>1293423</v>
      </c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66">
        <f>F29+F34+F38+F43+F44+F45-F4-F27</f>
        <v>0</v>
      </c>
      <c r="G46" s="146">
        <f>G29+G34+G38+G43+G44+G45+-G4-G27</f>
        <v>0</v>
      </c>
      <c r="H46" s="146">
        <f>H29+H34+H38+H43+H45-H4-H27</f>
        <v>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762455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61">
        <f>F28-F3</f>
        <v>0</v>
      </c>
      <c r="G47" s="114">
        <f aca="true" t="shared" si="4" ref="G47:M47">G28-G3</f>
        <v>0</v>
      </c>
      <c r="H47" s="115">
        <f t="shared" si="4"/>
        <v>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762455</v>
      </c>
    </row>
    <row r="48" spans="1:5" ht="12.75">
      <c r="A48" s="80" t="s">
        <v>68</v>
      </c>
      <c r="B48" s="80"/>
      <c r="C48" s="80"/>
      <c r="D48" s="407">
        <v>39149</v>
      </c>
      <c r="E48" s="81"/>
    </row>
    <row r="49" spans="5:13" s="80" customFormat="1" ht="9" customHeight="1"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>
      <c r="A50" s="84" t="s">
        <v>100</v>
      </c>
      <c r="E50" s="81"/>
      <c r="F50" s="167"/>
      <c r="H50" s="92"/>
      <c r="J50" s="156"/>
      <c r="L50" s="92"/>
      <c r="M50" s="92"/>
    </row>
    <row r="51" spans="1:13" s="80" customFormat="1" ht="12">
      <c r="A51" s="84"/>
      <c r="B51" s="84"/>
      <c r="C51" s="84"/>
      <c r="D51" s="84"/>
      <c r="E51" s="81"/>
      <c r="F51" s="37"/>
      <c r="H51" s="92"/>
      <c r="I51" s="92"/>
      <c r="J51" s="92"/>
      <c r="K51" s="92"/>
      <c r="L51" s="92"/>
      <c r="M51" s="92"/>
    </row>
    <row r="52" spans="1:6" s="92" customFormat="1" ht="12">
      <c r="A52" s="84"/>
      <c r="B52" s="84"/>
      <c r="C52" s="84"/>
      <c r="D52" s="84"/>
      <c r="E52" s="90"/>
      <c r="F52" s="37"/>
    </row>
    <row r="53" spans="1:6" s="92" customFormat="1" ht="12">
      <c r="A53" s="84"/>
      <c r="B53" s="84"/>
      <c r="C53" s="84"/>
      <c r="D53" s="84"/>
      <c r="E53" s="90"/>
      <c r="F53" s="37"/>
    </row>
    <row r="54" spans="1:6" s="92" customFormat="1" ht="12">
      <c r="A54" s="84"/>
      <c r="B54" s="84"/>
      <c r="C54" s="84"/>
      <c r="D54" s="84"/>
      <c r="E54" s="90"/>
      <c r="F54" s="37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9" sqref="A9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00390625" style="37" customWidth="1"/>
    <col min="7" max="7" width="5.125" style="0" hidden="1" customWidth="1"/>
    <col min="8" max="8" width="10.875" style="192" customWidth="1"/>
    <col min="9" max="11" width="8.00390625" style="92" customWidth="1"/>
    <col min="12" max="12" width="8.125" style="92" customWidth="1"/>
    <col min="13" max="13" width="10.62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98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88</v>
      </c>
      <c r="D2" s="432"/>
      <c r="E2" s="10" t="s">
        <v>6</v>
      </c>
      <c r="F2" s="160">
        <v>2007</v>
      </c>
      <c r="G2" s="13" t="s">
        <v>8</v>
      </c>
      <c r="H2" s="199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>SUM(F5:F27)</f>
        <v>142844000</v>
      </c>
      <c r="G3" s="114">
        <f aca="true" t="shared" si="0" ref="G3:M3">SUM(G5:G27)</f>
        <v>0</v>
      </c>
      <c r="H3" s="190">
        <f t="shared" si="0"/>
        <v>141844000</v>
      </c>
      <c r="I3" s="116">
        <f t="shared" si="0"/>
        <v>0</v>
      </c>
      <c r="J3" s="116">
        <f t="shared" si="0"/>
        <v>0</v>
      </c>
      <c r="K3" s="116">
        <f t="shared" si="0"/>
        <v>0</v>
      </c>
      <c r="L3" s="115">
        <f t="shared" si="0"/>
        <v>1000000</v>
      </c>
      <c r="M3" s="117">
        <f t="shared" si="0"/>
        <v>148165913.49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>SUM(F5:F15)</f>
        <v>106624000</v>
      </c>
      <c r="G4" s="119">
        <f aca="true" t="shared" si="1" ref="G4:M4">SUM(G5:G15)</f>
        <v>0</v>
      </c>
      <c r="H4" s="191">
        <f t="shared" si="1"/>
        <v>105624000</v>
      </c>
      <c r="I4" s="121">
        <f t="shared" si="1"/>
        <v>0</v>
      </c>
      <c r="J4" s="121">
        <f t="shared" si="1"/>
        <v>0</v>
      </c>
      <c r="K4" s="121">
        <f t="shared" si="1"/>
        <v>0</v>
      </c>
      <c r="L4" s="120">
        <f t="shared" si="1"/>
        <v>1000000</v>
      </c>
      <c r="M4" s="122">
        <f t="shared" si="1"/>
        <v>107814607.72999999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97">
        <f>SUM(H5:L5)</f>
        <v>56000000</v>
      </c>
      <c r="G5" s="124"/>
      <c r="H5" s="214">
        <v>56000000</v>
      </c>
      <c r="I5" s="176"/>
      <c r="J5" s="177"/>
      <c r="K5" s="177"/>
      <c r="L5" s="178"/>
      <c r="M5" s="200">
        <v>55975438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97">
        <f aca="true" t="shared" si="2" ref="F6:F45">SUM(H6:L6)</f>
        <v>2300000</v>
      </c>
      <c r="G6" s="124"/>
      <c r="H6" s="215">
        <v>2300000</v>
      </c>
      <c r="I6" s="176"/>
      <c r="J6" s="177"/>
      <c r="K6" s="177"/>
      <c r="L6" s="178"/>
      <c r="M6" s="200">
        <v>2466369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97">
        <f t="shared" si="2"/>
        <v>20720000</v>
      </c>
      <c r="G7" s="124"/>
      <c r="H7" s="215">
        <f>H5*0.37</f>
        <v>20720000</v>
      </c>
      <c r="I7" s="176"/>
      <c r="J7" s="177"/>
      <c r="K7" s="177"/>
      <c r="L7" s="178"/>
      <c r="M7" s="200">
        <v>20001109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97">
        <f t="shared" si="2"/>
        <v>1400000</v>
      </c>
      <c r="G8" s="124"/>
      <c r="H8" s="215">
        <v>1400000</v>
      </c>
      <c r="I8" s="176"/>
      <c r="J8" s="177"/>
      <c r="K8" s="177"/>
      <c r="L8" s="178"/>
      <c r="M8" s="200">
        <v>1466251.75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97">
        <f t="shared" si="2"/>
        <v>700000</v>
      </c>
      <c r="G9" s="124"/>
      <c r="H9" s="215">
        <v>700000</v>
      </c>
      <c r="I9" s="176"/>
      <c r="J9" s="177"/>
      <c r="K9" s="177"/>
      <c r="L9" s="178"/>
      <c r="M9" s="200">
        <v>866162.25</v>
      </c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97">
        <f t="shared" si="2"/>
        <v>6000000</v>
      </c>
      <c r="G10" s="124"/>
      <c r="H10" s="215">
        <v>6000000</v>
      </c>
      <c r="I10" s="176"/>
      <c r="J10" s="177"/>
      <c r="K10" s="177"/>
      <c r="L10" s="178"/>
      <c r="M10" s="200">
        <v>6322128.53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97">
        <f t="shared" si="2"/>
        <v>7000000</v>
      </c>
      <c r="G11" s="124"/>
      <c r="H11" s="215">
        <v>7000000</v>
      </c>
      <c r="I11" s="176"/>
      <c r="J11" s="177"/>
      <c r="K11" s="177"/>
      <c r="L11" s="178"/>
      <c r="M11" s="200">
        <v>7294962.02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97">
        <f t="shared" si="2"/>
        <v>1100000</v>
      </c>
      <c r="G12" s="124"/>
      <c r="H12" s="215">
        <v>1100000</v>
      </c>
      <c r="I12" s="176"/>
      <c r="J12" s="177"/>
      <c r="K12" s="177"/>
      <c r="L12" s="178"/>
      <c r="M12" s="200">
        <v>1041331.88</v>
      </c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97">
        <f t="shared" si="2"/>
        <v>6397000</v>
      </c>
      <c r="G13" s="124"/>
      <c r="H13" s="215">
        <v>6397000</v>
      </c>
      <c r="I13" s="176"/>
      <c r="J13" s="177"/>
      <c r="K13" s="177"/>
      <c r="L13" s="178"/>
      <c r="M13" s="200">
        <v>6397327.84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97">
        <f t="shared" si="2"/>
        <v>2600000</v>
      </c>
      <c r="G14" s="124"/>
      <c r="H14" s="215">
        <v>1600000</v>
      </c>
      <c r="I14" s="176"/>
      <c r="J14" s="177"/>
      <c r="K14" s="177"/>
      <c r="L14" s="127">
        <v>1000000</v>
      </c>
      <c r="M14" s="200">
        <v>2605569.6</v>
      </c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97">
        <f t="shared" si="2"/>
        <v>2407000</v>
      </c>
      <c r="G15" s="124"/>
      <c r="H15" s="215">
        <v>2407000</v>
      </c>
      <c r="I15" s="176"/>
      <c r="J15" s="177"/>
      <c r="K15" s="177"/>
      <c r="L15" s="178"/>
      <c r="M15" s="200">
        <v>3377957.86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5746000</v>
      </c>
      <c r="G16" s="130"/>
      <c r="H16" s="215">
        <v>5746000</v>
      </c>
      <c r="I16" s="173"/>
      <c r="J16" s="174"/>
      <c r="K16" s="174"/>
      <c r="L16" s="175"/>
      <c r="M16" s="200">
        <v>5746000</v>
      </c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301000</v>
      </c>
      <c r="G17" s="130"/>
      <c r="H17" s="215">
        <v>301000</v>
      </c>
      <c r="I17" s="173"/>
      <c r="J17" s="174"/>
      <c r="K17" s="174"/>
      <c r="L17" s="175"/>
      <c r="M17" s="200">
        <v>500000</v>
      </c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5347000</v>
      </c>
      <c r="G18" s="130"/>
      <c r="H18" s="215">
        <v>5347000</v>
      </c>
      <c r="I18" s="173"/>
      <c r="J18" s="174"/>
      <c r="K18" s="174"/>
      <c r="L18" s="175"/>
      <c r="M18" s="200">
        <v>2862000</v>
      </c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410000</v>
      </c>
      <c r="G19" s="130"/>
      <c r="H19" s="215">
        <v>410000</v>
      </c>
      <c r="I19" s="173"/>
      <c r="J19" s="174"/>
      <c r="K19" s="174"/>
      <c r="L19" s="175"/>
      <c r="M19" s="200">
        <v>0</v>
      </c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0</v>
      </c>
      <c r="G20" s="130"/>
      <c r="H20" s="215">
        <v>0</v>
      </c>
      <c r="I20" s="173"/>
      <c r="J20" s="174"/>
      <c r="K20" s="174"/>
      <c r="L20" s="175"/>
      <c r="M20" s="200">
        <v>249824</v>
      </c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2"/>
        <v>0</v>
      </c>
      <c r="G21" s="130"/>
      <c r="H21" s="215">
        <v>0</v>
      </c>
      <c r="I21" s="173"/>
      <c r="J21" s="174"/>
      <c r="K21" s="174"/>
      <c r="L21" s="175"/>
      <c r="M21" s="200">
        <v>1718064.1</v>
      </c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2"/>
        <v>0</v>
      </c>
      <c r="G22" s="130"/>
      <c r="H22" s="215">
        <v>0</v>
      </c>
      <c r="I22" s="173"/>
      <c r="J22" s="174"/>
      <c r="K22" s="174"/>
      <c r="L22" s="175"/>
      <c r="M22" s="200">
        <v>0</v>
      </c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2"/>
        <v>400000</v>
      </c>
      <c r="G23" s="130"/>
      <c r="H23" s="215">
        <v>400000</v>
      </c>
      <c r="I23" s="173"/>
      <c r="J23" s="174"/>
      <c r="K23" s="174"/>
      <c r="L23" s="175"/>
      <c r="M23" s="200">
        <v>884000</v>
      </c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2"/>
        <v>21325000</v>
      </c>
      <c r="G24" s="130"/>
      <c r="H24" s="215">
        <v>21325000</v>
      </c>
      <c r="I24" s="173"/>
      <c r="J24" s="174"/>
      <c r="K24" s="174"/>
      <c r="L24" s="175"/>
      <c r="M24" s="200">
        <v>22095646.11</v>
      </c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2"/>
        <v>0</v>
      </c>
      <c r="G25" s="130"/>
      <c r="H25" s="215">
        <v>0</v>
      </c>
      <c r="I25" s="173"/>
      <c r="J25" s="174"/>
      <c r="K25" s="174"/>
      <c r="L25" s="175"/>
      <c r="M25" s="200">
        <v>0</v>
      </c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2"/>
        <v>189000</v>
      </c>
      <c r="G26" s="130"/>
      <c r="H26" s="215">
        <v>189000</v>
      </c>
      <c r="I26" s="173"/>
      <c r="J26" s="174"/>
      <c r="K26" s="174"/>
      <c r="L26" s="175"/>
      <c r="M26" s="200">
        <v>417739</v>
      </c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2502000</v>
      </c>
      <c r="G27" s="130"/>
      <c r="H27" s="216">
        <v>2502000</v>
      </c>
      <c r="I27" s="173"/>
      <c r="J27" s="174"/>
      <c r="K27" s="174"/>
      <c r="L27" s="175"/>
      <c r="M27" s="200">
        <v>5878032.55</v>
      </c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>SUM(F29:F45)</f>
        <v>143859000</v>
      </c>
      <c r="G28" s="114">
        <f aca="true" t="shared" si="3" ref="G28:M28">SUM(G29:G45)</f>
        <v>0</v>
      </c>
      <c r="H28" s="196">
        <f t="shared" si="3"/>
        <v>142859000</v>
      </c>
      <c r="I28" s="194">
        <f t="shared" si="3"/>
        <v>0</v>
      </c>
      <c r="J28" s="116">
        <f t="shared" si="3"/>
        <v>0</v>
      </c>
      <c r="K28" s="116">
        <f t="shared" si="3"/>
        <v>0</v>
      </c>
      <c r="L28" s="115">
        <f t="shared" si="3"/>
        <v>1000000</v>
      </c>
      <c r="M28" s="117">
        <f t="shared" si="3"/>
        <v>149923996.10999998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40">
        <v>27</v>
      </c>
      <c r="F29" s="164">
        <f t="shared" si="2"/>
        <v>86706000</v>
      </c>
      <c r="G29" s="119"/>
      <c r="H29" s="220">
        <v>86706000</v>
      </c>
      <c r="I29" s="171"/>
      <c r="J29" s="121"/>
      <c r="K29" s="121"/>
      <c r="L29" s="120"/>
      <c r="M29" s="217">
        <v>85657703</v>
      </c>
    </row>
    <row r="30" spans="1:13" s="37" customFormat="1" ht="12">
      <c r="A30" s="28"/>
      <c r="B30" s="47" t="s">
        <v>29</v>
      </c>
      <c r="C30" s="47"/>
      <c r="D30" s="47"/>
      <c r="E30" s="40">
        <v>28</v>
      </c>
      <c r="F30" s="164">
        <f t="shared" si="2"/>
        <v>5746000</v>
      </c>
      <c r="G30" s="135"/>
      <c r="H30" s="221">
        <v>5746000</v>
      </c>
      <c r="I30" s="195"/>
      <c r="J30" s="137"/>
      <c r="K30" s="137"/>
      <c r="L30" s="136"/>
      <c r="M30" s="218">
        <v>5746000</v>
      </c>
    </row>
    <row r="31" spans="1:13" s="37" customFormat="1" ht="12">
      <c r="A31" s="28"/>
      <c r="B31" s="47" t="s">
        <v>31</v>
      </c>
      <c r="C31" s="47"/>
      <c r="D31" s="47"/>
      <c r="E31" s="40">
        <v>29</v>
      </c>
      <c r="F31" s="164">
        <f t="shared" si="2"/>
        <v>301000</v>
      </c>
      <c r="G31" s="135"/>
      <c r="H31" s="221">
        <v>301000</v>
      </c>
      <c r="I31" s="195"/>
      <c r="J31" s="137"/>
      <c r="K31" s="137"/>
      <c r="L31" s="136"/>
      <c r="M31" s="218">
        <v>500000</v>
      </c>
    </row>
    <row r="32" spans="1:13" s="37" customFormat="1" ht="12">
      <c r="A32" s="28"/>
      <c r="B32" s="48" t="s">
        <v>33</v>
      </c>
      <c r="C32" s="49"/>
      <c r="D32" s="49"/>
      <c r="E32" s="50">
        <v>30</v>
      </c>
      <c r="F32" s="164">
        <f t="shared" si="2"/>
        <v>5347000</v>
      </c>
      <c r="G32" s="135"/>
      <c r="H32" s="221">
        <v>5347000</v>
      </c>
      <c r="I32" s="195"/>
      <c r="J32" s="137"/>
      <c r="K32" s="137"/>
      <c r="L32" s="136"/>
      <c r="M32" s="218">
        <v>2862000</v>
      </c>
    </row>
    <row r="33" spans="1:13" s="37" customFormat="1" ht="12">
      <c r="A33" s="28"/>
      <c r="B33" s="48" t="s">
        <v>35</v>
      </c>
      <c r="C33" s="48"/>
      <c r="D33" s="48"/>
      <c r="E33" s="50">
        <v>31</v>
      </c>
      <c r="F33" s="164">
        <f t="shared" si="2"/>
        <v>410000</v>
      </c>
      <c r="G33" s="135"/>
      <c r="H33" s="221">
        <v>410000</v>
      </c>
      <c r="I33" s="195"/>
      <c r="J33" s="137"/>
      <c r="K33" s="137"/>
      <c r="L33" s="136"/>
      <c r="M33" s="218">
        <v>0</v>
      </c>
    </row>
    <row r="34" spans="1:13" s="37" customFormat="1" ht="12">
      <c r="A34" s="28"/>
      <c r="B34" s="48" t="s">
        <v>55</v>
      </c>
      <c r="C34" s="48"/>
      <c r="D34" s="48"/>
      <c r="E34" s="50">
        <v>32</v>
      </c>
      <c r="F34" s="164">
        <f t="shared" si="2"/>
        <v>0</v>
      </c>
      <c r="G34" s="135"/>
      <c r="H34" s="221">
        <v>0</v>
      </c>
      <c r="I34" s="195"/>
      <c r="J34" s="137"/>
      <c r="K34" s="137"/>
      <c r="L34" s="136"/>
      <c r="M34" s="218">
        <v>0</v>
      </c>
    </row>
    <row r="35" spans="1:13" s="37" customFormat="1" ht="12">
      <c r="A35" s="28"/>
      <c r="B35" s="48" t="s">
        <v>37</v>
      </c>
      <c r="C35" s="48"/>
      <c r="D35" s="48"/>
      <c r="E35" s="50">
        <v>33</v>
      </c>
      <c r="F35" s="164">
        <f t="shared" si="2"/>
        <v>0</v>
      </c>
      <c r="G35" s="135"/>
      <c r="H35" s="221">
        <v>0</v>
      </c>
      <c r="I35" s="137"/>
      <c r="J35" s="137"/>
      <c r="K35" s="137"/>
      <c r="L35" s="136"/>
      <c r="M35" s="218">
        <v>249824</v>
      </c>
    </row>
    <row r="36" spans="1:13" s="37" customFormat="1" ht="12">
      <c r="A36" s="28"/>
      <c r="B36" s="48" t="s">
        <v>39</v>
      </c>
      <c r="C36" s="48"/>
      <c r="D36" s="48"/>
      <c r="E36" s="50">
        <v>34</v>
      </c>
      <c r="F36" s="164">
        <f t="shared" si="2"/>
        <v>0</v>
      </c>
      <c r="G36" s="135"/>
      <c r="H36" s="221">
        <v>0</v>
      </c>
      <c r="I36" s="137"/>
      <c r="J36" s="137"/>
      <c r="K36" s="137"/>
      <c r="L36" s="136"/>
      <c r="M36" s="218">
        <v>0</v>
      </c>
    </row>
    <row r="37" spans="1:13" s="37" customFormat="1" ht="12">
      <c r="A37" s="28"/>
      <c r="B37" s="48" t="s">
        <v>57</v>
      </c>
      <c r="C37" s="48"/>
      <c r="D37" s="48"/>
      <c r="E37" s="50">
        <v>35</v>
      </c>
      <c r="F37" s="164">
        <f t="shared" si="2"/>
        <v>0</v>
      </c>
      <c r="G37" s="135"/>
      <c r="H37" s="221">
        <v>0</v>
      </c>
      <c r="I37" s="137"/>
      <c r="J37" s="137"/>
      <c r="K37" s="137"/>
      <c r="L37" s="136"/>
      <c r="M37" s="218">
        <v>1693358.44</v>
      </c>
    </row>
    <row r="38" spans="1:13" s="37" customFormat="1" ht="12">
      <c r="A38" s="28"/>
      <c r="B38" s="48" t="s">
        <v>58</v>
      </c>
      <c r="C38" s="48"/>
      <c r="D38" s="48"/>
      <c r="E38" s="50">
        <v>36</v>
      </c>
      <c r="F38" s="164">
        <f t="shared" si="2"/>
        <v>5362000</v>
      </c>
      <c r="G38" s="135"/>
      <c r="H38" s="221">
        <v>5362000</v>
      </c>
      <c r="I38" s="137"/>
      <c r="J38" s="137"/>
      <c r="K38" s="137"/>
      <c r="L38" s="136"/>
      <c r="M38" s="218">
        <v>4708000</v>
      </c>
    </row>
    <row r="39" spans="1:13" s="37" customFormat="1" ht="12">
      <c r="A39" s="28"/>
      <c r="B39" s="48" t="s">
        <v>60</v>
      </c>
      <c r="C39" s="48"/>
      <c r="D39" s="48"/>
      <c r="E39" s="50">
        <v>37</v>
      </c>
      <c r="F39" s="164">
        <f t="shared" si="2"/>
        <v>400000</v>
      </c>
      <c r="G39" s="135"/>
      <c r="H39" s="221">
        <v>400000</v>
      </c>
      <c r="I39" s="137"/>
      <c r="J39" s="137"/>
      <c r="K39" s="137"/>
      <c r="L39" s="136"/>
      <c r="M39" s="218">
        <v>884000</v>
      </c>
    </row>
    <row r="40" spans="1:13" s="37" customFormat="1" ht="12">
      <c r="A40" s="28"/>
      <c r="B40" s="48" t="s">
        <v>61</v>
      </c>
      <c r="C40" s="48"/>
      <c r="D40" s="48"/>
      <c r="E40" s="50">
        <v>38</v>
      </c>
      <c r="F40" s="164">
        <f t="shared" si="2"/>
        <v>21325000</v>
      </c>
      <c r="G40" s="135"/>
      <c r="H40" s="221">
        <v>21325000</v>
      </c>
      <c r="I40" s="137"/>
      <c r="J40" s="137"/>
      <c r="K40" s="137"/>
      <c r="L40" s="136"/>
      <c r="M40" s="218">
        <v>22095646.11</v>
      </c>
    </row>
    <row r="41" spans="1:13" s="37" customFormat="1" ht="12">
      <c r="A41" s="28"/>
      <c r="B41" s="48" t="s">
        <v>46</v>
      </c>
      <c r="C41" s="48"/>
      <c r="D41" s="48"/>
      <c r="E41" s="50">
        <v>39</v>
      </c>
      <c r="F41" s="164">
        <f t="shared" si="2"/>
        <v>0</v>
      </c>
      <c r="G41" s="135"/>
      <c r="H41" s="221">
        <v>0</v>
      </c>
      <c r="I41" s="137"/>
      <c r="J41" s="137"/>
      <c r="K41" s="137"/>
      <c r="L41" s="136"/>
      <c r="M41" s="218">
        <v>0</v>
      </c>
    </row>
    <row r="42" spans="1:13" s="37" customFormat="1" ht="12">
      <c r="A42" s="28"/>
      <c r="B42" s="48" t="s">
        <v>62</v>
      </c>
      <c r="C42" s="48"/>
      <c r="D42" s="48"/>
      <c r="E42" s="50">
        <v>40</v>
      </c>
      <c r="F42" s="164">
        <f t="shared" si="2"/>
        <v>189000</v>
      </c>
      <c r="G42" s="135"/>
      <c r="H42" s="221">
        <v>189000</v>
      </c>
      <c r="I42" s="137"/>
      <c r="J42" s="137"/>
      <c r="K42" s="137"/>
      <c r="L42" s="136"/>
      <c r="M42" s="218">
        <v>417739</v>
      </c>
    </row>
    <row r="43" spans="1:13" s="37" customFormat="1" ht="12">
      <c r="A43" s="28"/>
      <c r="B43" s="48" t="s">
        <v>63</v>
      </c>
      <c r="C43" s="48"/>
      <c r="D43" s="48"/>
      <c r="E43" s="50">
        <v>41</v>
      </c>
      <c r="F43" s="164">
        <f t="shared" si="2"/>
        <v>13095000</v>
      </c>
      <c r="G43" s="135"/>
      <c r="H43" s="221">
        <v>13095000</v>
      </c>
      <c r="I43" s="137"/>
      <c r="J43" s="137"/>
      <c r="K43" s="137"/>
      <c r="L43" s="136"/>
      <c r="M43" s="218">
        <v>17134257.3</v>
      </c>
    </row>
    <row r="44" spans="1:13" s="37" customFormat="1" ht="12">
      <c r="A44" s="28"/>
      <c r="B44" s="48" t="s">
        <v>64</v>
      </c>
      <c r="C44" s="48"/>
      <c r="D44" s="48"/>
      <c r="E44" s="50">
        <v>42</v>
      </c>
      <c r="F44" s="164">
        <f t="shared" si="2"/>
        <v>1000000</v>
      </c>
      <c r="G44" s="135"/>
      <c r="H44" s="139" t="s">
        <v>99</v>
      </c>
      <c r="I44" s="137"/>
      <c r="J44" s="137"/>
      <c r="K44" s="137"/>
      <c r="L44" s="136">
        <v>1000000</v>
      </c>
      <c r="M44" s="218">
        <v>923600</v>
      </c>
    </row>
    <row r="45" spans="1:13" s="37" customFormat="1" ht="12">
      <c r="A45" s="65"/>
      <c r="B45" s="66" t="s">
        <v>50</v>
      </c>
      <c r="C45" s="66"/>
      <c r="D45" s="66"/>
      <c r="E45" s="67">
        <v>43</v>
      </c>
      <c r="F45" s="165">
        <f t="shared" si="2"/>
        <v>3978000</v>
      </c>
      <c r="G45" s="141"/>
      <c r="H45" s="222">
        <v>3978000</v>
      </c>
      <c r="I45" s="143"/>
      <c r="J45" s="143"/>
      <c r="K45" s="143"/>
      <c r="L45" s="142"/>
      <c r="M45" s="219">
        <v>7051868.26</v>
      </c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47">
        <f>F29+F34+F38+F43+F44+F45-F4-F27</f>
        <v>1015000</v>
      </c>
      <c r="G46" s="146">
        <f>G29+G34+G38+G43+G44+G45+-G4-G27</f>
        <v>0</v>
      </c>
      <c r="H46" s="146">
        <f>H29+H34+H38+H43+H45-H4-H27</f>
        <v>1015000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1782788.2800000133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61">
        <f>F28-F3</f>
        <v>1015000</v>
      </c>
      <c r="G47" s="114">
        <f aca="true" t="shared" si="4" ref="G47:M47">G28-G3</f>
        <v>0</v>
      </c>
      <c r="H47" s="190">
        <f t="shared" si="4"/>
        <v>1015000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1758082.619999975</v>
      </c>
    </row>
    <row r="48" spans="1:5" ht="12.75">
      <c r="A48" s="80" t="s">
        <v>68</v>
      </c>
      <c r="B48" s="80"/>
      <c r="C48" s="80"/>
      <c r="D48" s="189">
        <v>39132</v>
      </c>
      <c r="E48" s="81"/>
    </row>
    <row r="49" spans="5:13" s="80" customFormat="1" ht="9" customHeight="1">
      <c r="E49" s="81"/>
      <c r="F49" s="37"/>
      <c r="H49" s="192"/>
      <c r="I49" s="92"/>
      <c r="J49" s="92"/>
      <c r="K49" s="92"/>
      <c r="L49" s="92"/>
      <c r="M49" s="92"/>
    </row>
    <row r="50" spans="1:13" s="80" customFormat="1" ht="12">
      <c r="A50" s="84" t="s">
        <v>100</v>
      </c>
      <c r="E50" s="81"/>
      <c r="F50" s="167"/>
      <c r="H50" s="192"/>
      <c r="I50" s="92"/>
      <c r="J50" s="156"/>
      <c r="K50" s="92"/>
      <c r="L50" s="92"/>
      <c r="M50" s="92"/>
    </row>
    <row r="51" spans="5:13" s="84" customFormat="1" ht="12">
      <c r="E51" s="86"/>
      <c r="F51" s="168"/>
      <c r="H51" s="193"/>
      <c r="I51" s="108"/>
      <c r="J51" s="108"/>
      <c r="K51" s="108"/>
      <c r="L51" s="108"/>
      <c r="M51" s="108"/>
    </row>
    <row r="52" spans="5:13" s="84" customFormat="1" ht="12">
      <c r="E52" s="86"/>
      <c r="F52" s="168"/>
      <c r="H52" s="193"/>
      <c r="I52" s="108"/>
      <c r="J52" s="108"/>
      <c r="K52" s="108"/>
      <c r="L52" s="108"/>
      <c r="M52" s="108"/>
    </row>
    <row r="53" spans="5:13" s="84" customFormat="1" ht="12">
      <c r="E53" s="86"/>
      <c r="F53" s="168"/>
      <c r="H53" s="193"/>
      <c r="I53" s="108"/>
      <c r="J53" s="108"/>
      <c r="K53" s="108"/>
      <c r="L53" s="108"/>
      <c r="M53" s="108"/>
    </row>
    <row r="54" spans="1:13" s="80" customFormat="1" ht="12">
      <c r="A54" s="84"/>
      <c r="B54" s="84"/>
      <c r="C54" s="84"/>
      <c r="D54" s="84"/>
      <c r="E54" s="81"/>
      <c r="F54" s="37"/>
      <c r="H54" s="192"/>
      <c r="I54" s="92"/>
      <c r="J54" s="92"/>
      <c r="K54" s="92"/>
      <c r="L54" s="92"/>
      <c r="M54" s="92"/>
    </row>
    <row r="55" spans="1:8" s="92" customFormat="1" ht="12">
      <c r="A55" s="84"/>
      <c r="B55" s="84"/>
      <c r="C55" s="84"/>
      <c r="D55" s="84"/>
      <c r="E55" s="90"/>
      <c r="F55" s="37"/>
      <c r="H55" s="192"/>
    </row>
    <row r="56" spans="1:8" s="92" customFormat="1" ht="12">
      <c r="A56" s="84"/>
      <c r="B56" s="84"/>
      <c r="C56" s="84"/>
      <c r="D56" s="84"/>
      <c r="E56" s="90"/>
      <c r="F56" s="37"/>
      <c r="H56" s="192"/>
    </row>
    <row r="57" spans="1:8" s="92" customFormat="1" ht="12">
      <c r="A57" s="84"/>
      <c r="B57" s="84"/>
      <c r="C57" s="84"/>
      <c r="D57" s="84"/>
      <c r="E57" s="90"/>
      <c r="F57" s="37"/>
      <c r="H57" s="192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43">
      <selection activeCell="A50" sqref="A5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4.00390625" style="37" customWidth="1"/>
    <col min="7" max="7" width="5.125" style="0" hidden="1" customWidth="1"/>
    <col min="8" max="8" width="12.25390625" style="92" customWidth="1"/>
    <col min="9" max="9" width="9.25390625" style="92" customWidth="1"/>
    <col min="10" max="10" width="8.875" style="92" customWidth="1"/>
    <col min="11" max="11" width="8.00390625" style="92" customWidth="1"/>
    <col min="12" max="12" width="9.375" style="92" customWidth="1"/>
    <col min="13" max="13" width="11.625" style="80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362" t="s">
        <v>5</v>
      </c>
    </row>
    <row r="2" spans="1:13" s="18" customFormat="1" ht="13.5" thickBot="1">
      <c r="A2" s="7" t="s">
        <v>76</v>
      </c>
      <c r="B2" s="8"/>
      <c r="C2" s="431" t="s">
        <v>142</v>
      </c>
      <c r="D2" s="432"/>
      <c r="E2" s="10" t="s">
        <v>6</v>
      </c>
      <c r="F2" s="16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363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 aca="true" t="shared" si="0" ref="F3:M3">SUM(F5:F27)</f>
        <v>2439399185.6763377</v>
      </c>
      <c r="G3" s="114">
        <f t="shared" si="0"/>
        <v>0</v>
      </c>
      <c r="H3" s="115">
        <f t="shared" si="0"/>
        <v>2371240323.1813383</v>
      </c>
      <c r="I3" s="116">
        <f t="shared" si="0"/>
        <v>35464233.175</v>
      </c>
      <c r="J3" s="116">
        <f t="shared" si="0"/>
        <v>15059122.319999998</v>
      </c>
      <c r="K3" s="116">
        <f t="shared" si="0"/>
        <v>5234000</v>
      </c>
      <c r="L3" s="115">
        <f t="shared" si="0"/>
        <v>12401507</v>
      </c>
      <c r="M3" s="364">
        <f t="shared" si="0"/>
        <v>2274243322.86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 aca="true" t="shared" si="1" ref="F4:M4">SUM(F5:F15)</f>
        <v>1621690142.356338</v>
      </c>
      <c r="G4" s="119">
        <f t="shared" si="1"/>
        <v>0</v>
      </c>
      <c r="H4" s="120">
        <f t="shared" si="1"/>
        <v>1568276413.181338</v>
      </c>
      <c r="I4" s="121">
        <f t="shared" si="1"/>
        <v>35464233.175</v>
      </c>
      <c r="J4" s="121">
        <f t="shared" si="1"/>
        <v>313989</v>
      </c>
      <c r="K4" s="121">
        <f t="shared" si="1"/>
        <v>5234000</v>
      </c>
      <c r="L4" s="120">
        <f t="shared" si="1"/>
        <v>12401507</v>
      </c>
      <c r="M4" s="365">
        <f t="shared" si="1"/>
        <v>1493641540.67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63">
        <f aca="true" t="shared" si="2" ref="F5:F27">SUM(H5:L5)</f>
        <v>789121177.6265206</v>
      </c>
      <c r="G5" s="124"/>
      <c r="H5" s="323">
        <f>LF!H5+'FF'!H5+PrF!H5+FSS!H5+PřF!H5+'FI'!H5+PdF!H5+FSpS!H5+ESF!H5</f>
        <v>773231172.1265206</v>
      </c>
      <c r="I5" s="187">
        <f>LF!I5+'FF'!I5+PrF!I5+FSS!I5+PřF!I5+'FI'!I5+PdF!I5+FSpS!I5+ESF!I5</f>
        <v>12077370.5</v>
      </c>
      <c r="J5" s="187">
        <f>LF!J5+'FF'!J5+PrF!J5+FSS!J5+PřF!J5+'FI'!J5+PdF!J5+FSpS!J5+ESF!J5</f>
        <v>0</v>
      </c>
      <c r="K5" s="187">
        <f>LF!K5+'FF'!K5+PrF!K5+FSS!K5+PřF!K5+'FI'!K5+PdF!K5+FSpS!K5+ESF!K5</f>
        <v>3812635</v>
      </c>
      <c r="L5" s="324">
        <f>LF!L5+'FF'!L5+PrF!L5+FSS!L5+PřF!L5+'FI'!L5+PdF!L5+FSpS!L5+ESF!L5</f>
        <v>0</v>
      </c>
      <c r="M5" s="366">
        <f>LF!M5+'FF'!M5+PrF!M5+FSS!M5+PřF!M5+'FI'!M5+PdF!M5+FSpS!M5+ESF!M5</f>
        <v>730331850.5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63">
        <f t="shared" si="2"/>
        <v>27401000</v>
      </c>
      <c r="G6" s="124"/>
      <c r="H6" s="323">
        <f>LF!H6+'FF'!H6+PrF!H6+FSS!H6+PřF!H6+'FI'!H6+PdF!H6+FSpS!H6+ESF!H6</f>
        <v>27201000</v>
      </c>
      <c r="I6" s="187">
        <f>LF!I6+'FF'!I6+PrF!I6+FSS!I6+PřF!I6+'FI'!I6+PdF!I6+FSpS!I6+ESF!I6</f>
        <v>200000</v>
      </c>
      <c r="J6" s="187">
        <f>LF!J6+'FF'!J6+PrF!J6+FSS!J6+PřF!J6+'FI'!J6+PdF!J6+FSpS!J6+ESF!J6</f>
        <v>0</v>
      </c>
      <c r="K6" s="187">
        <f>LF!K6+'FF'!K6+PrF!K6+FSS!K6+PřF!K6+'FI'!K6+PdF!K6+FSpS!K6+ESF!K6</f>
        <v>0</v>
      </c>
      <c r="L6" s="324">
        <f>LF!L6+'FF'!L6+PrF!L6+FSS!L6+PřF!L6+'FI'!L6+PdF!L6+FSpS!L6+ESF!L6</f>
        <v>0</v>
      </c>
      <c r="M6" s="366">
        <f>LF!M6+'FF'!M6+PrF!M6+FSS!M6+PřF!M6+'FI'!M6+PdF!M6+FSpS!M6+ESF!M6</f>
        <v>24769161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63">
        <f t="shared" si="2"/>
        <v>291488675.61181265</v>
      </c>
      <c r="G7" s="124"/>
      <c r="H7" s="323">
        <f>LF!H7+'FF'!H7+PrF!H7+FSS!H7+PřF!H7+'FI'!H7+PdF!H7+FSpS!H7+ESF!H7</f>
        <v>285594680.93681264</v>
      </c>
      <c r="I7" s="187">
        <f>LF!I7+'FF'!I7+PrF!I7+FSS!I7+PřF!I7+'FI'!I7+PdF!I7+FSpS!I7+ESF!I7</f>
        <v>4472629.675</v>
      </c>
      <c r="J7" s="187">
        <f>LF!J7+'FF'!J7+PrF!J7+FSS!J7+PřF!J7+'FI'!J7+PdF!J7+FSpS!J7+ESF!J7</f>
        <v>0</v>
      </c>
      <c r="K7" s="187">
        <f>LF!K7+'FF'!K7+PrF!K7+FSS!K7+PřF!K7+'FI'!K7+PdF!K7+FSpS!K7+ESF!K7</f>
        <v>1421365</v>
      </c>
      <c r="L7" s="324">
        <f>LF!L7+'FF'!L7+PrF!L7+FSS!L7+PřF!L7+'FI'!L7+PdF!L7+FSpS!L7+ESF!L7</f>
        <v>0</v>
      </c>
      <c r="M7" s="366">
        <f>LF!M7+'FF'!M7+PrF!M7+FSS!M7+PřF!M7+'FI'!M7+PdF!M7+FSpS!M7+ESF!M7</f>
        <v>257755634.9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63">
        <f t="shared" si="2"/>
        <v>60440400</v>
      </c>
      <c r="G8" s="124"/>
      <c r="H8" s="323">
        <f>LF!H8+'FF'!H8+PrF!H8+FSS!H8+PřF!H8+'FI'!H8+PdF!H8+FSpS!H8+ESF!H8</f>
        <v>60240400</v>
      </c>
      <c r="I8" s="187">
        <f>LF!I8+'FF'!I8+PrF!I8+FSS!I8+PřF!I8+'FI'!I8+PdF!I8+FSpS!I8+ESF!I8</f>
        <v>200000</v>
      </c>
      <c r="J8" s="187">
        <f>LF!J8+'FF'!J8+PrF!J8+FSS!J8+PřF!J8+'FI'!J8+PdF!J8+FSpS!J8+ESF!J8</f>
        <v>0</v>
      </c>
      <c r="K8" s="187">
        <f>LF!K8+'FF'!K8+PrF!K8+FSS!K8+PřF!K8+'FI'!K8+PdF!K8+FSpS!K8+ESF!K8</f>
        <v>0</v>
      </c>
      <c r="L8" s="324">
        <f>LF!L8+'FF'!L8+PrF!L8+FSS!L8+PřF!L8+'FI'!L8+PdF!L8+FSpS!L8+ESF!L8</f>
        <v>0</v>
      </c>
      <c r="M8" s="366">
        <f>LF!M8+'FF'!M8+PrF!M8+FSS!M8+PřF!M8+'FI'!M8+PdF!M8+FSpS!M8+ESF!M8</f>
        <v>46299599.95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63">
        <f t="shared" si="2"/>
        <v>17917000</v>
      </c>
      <c r="G9" s="124"/>
      <c r="H9" s="323">
        <f>LF!H9+'FF'!H9+PrF!H9+FSS!H9+PřF!H9+'FI'!H9+PdF!H9+FSpS!H9+ESF!H9</f>
        <v>15862000</v>
      </c>
      <c r="I9" s="187">
        <f>LF!I9+'FF'!I9+PrF!I9+FSS!I9+PřF!I9+'FI'!I9+PdF!I9+FSpS!I9+ESF!I9</f>
        <v>2055000</v>
      </c>
      <c r="J9" s="187">
        <f>LF!J9+'FF'!J9+PrF!J9+FSS!J9+PřF!J9+'FI'!J9+PdF!J9+FSpS!J9+ESF!J9</f>
        <v>0</v>
      </c>
      <c r="K9" s="187">
        <f>LF!K9+'FF'!K9+PrF!K9+FSS!K9+PřF!K9+'FI'!K9+PdF!K9+FSpS!K9+ESF!K9</f>
        <v>0</v>
      </c>
      <c r="L9" s="324">
        <f>LF!L9+'FF'!L9+PrF!L9+FSS!L9+PřF!L9+'FI'!L9+PdF!L9+FSpS!L9+ESF!L9</f>
        <v>0</v>
      </c>
      <c r="M9" s="366">
        <f>LF!M9+'FF'!M9+PrF!M9+FSS!M9+PřF!M9+'FI'!M9+PdF!M9+FSpS!M9+ESF!M9</f>
        <v>14598551.35</v>
      </c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63">
        <f t="shared" si="2"/>
        <v>102133620</v>
      </c>
      <c r="G10" s="124"/>
      <c r="H10" s="323">
        <f>LF!H10+'FF'!H10+PrF!H10+FSS!H10+PřF!H10+'FI'!H10+PdF!H10+FSpS!H10+ESF!H10</f>
        <v>98270000</v>
      </c>
      <c r="I10" s="187">
        <f>LF!I10+'FF'!I10+PrF!I10+FSS!I10+PřF!I10+'FI'!I10+PdF!I10+FSpS!I10+ESF!I10</f>
        <v>3848000</v>
      </c>
      <c r="J10" s="187">
        <f>LF!J10+'FF'!J10+PrF!J10+FSS!J10+PřF!J10+'FI'!J10+PdF!J10+FSpS!J10+ESF!J10</f>
        <v>15620</v>
      </c>
      <c r="K10" s="187">
        <f>LF!K10+'FF'!K10+PrF!K10+FSS!K10+PřF!K10+'FI'!K10+PdF!K10+FSpS!K10+ESF!K10</f>
        <v>0</v>
      </c>
      <c r="L10" s="324">
        <f>LF!L10+'FF'!L10+PrF!L10+FSS!L10+PřF!L10+'FI'!L10+PdF!L10+FSpS!L10+ESF!L10</f>
        <v>0</v>
      </c>
      <c r="M10" s="366">
        <f>LF!M10+'FF'!M10+PrF!M10+FSS!M10+PřF!M10+'FI'!M10+PdF!M10+FSpS!M10+ESF!M10</f>
        <v>89450611.47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63">
        <f t="shared" si="2"/>
        <v>86786000</v>
      </c>
      <c r="G11" s="124"/>
      <c r="H11" s="323">
        <f>LF!H11+'FF'!H11+PrF!H11+FSS!H11+PřF!H11+'FI'!H11+PdF!H11+FSpS!H11+ESF!H11</f>
        <v>85057000</v>
      </c>
      <c r="I11" s="187">
        <f>LF!I11+'FF'!I11+PrF!I11+FSS!I11+PřF!I11+'FI'!I11+PdF!I11+FSpS!I11+ESF!I11</f>
        <v>1700000</v>
      </c>
      <c r="J11" s="187">
        <f>LF!J11+'FF'!J11+PrF!J11+FSS!J11+PřF!J11+'FI'!J11+PdF!J11+FSpS!J11+ESF!J11</f>
        <v>29000</v>
      </c>
      <c r="K11" s="187">
        <f>LF!K11+'FF'!K11+PrF!K11+FSS!K11+PřF!K11+'FI'!K11+PdF!K11+FSpS!K11+ESF!K11</f>
        <v>0</v>
      </c>
      <c r="L11" s="324">
        <f>LF!L11+'FF'!L11+PrF!L11+FSS!L11+PřF!L11+'FI'!L11+PdF!L11+FSpS!L11+ESF!L11</f>
        <v>0</v>
      </c>
      <c r="M11" s="366">
        <f>LF!M11+'FF'!M11+PrF!M11+FSS!M11+PřF!M11+'FI'!M11+PdF!M11+FSpS!M11+ESF!M11</f>
        <v>77716259.92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63">
        <f t="shared" si="2"/>
        <v>13930000</v>
      </c>
      <c r="G12" s="124"/>
      <c r="H12" s="323">
        <f>LF!H12+'FF'!H12+PrF!H12+FSS!H12+PřF!H12+'FI'!H12+PdF!H12+FSpS!H12+ESF!H12</f>
        <v>13730000</v>
      </c>
      <c r="I12" s="187">
        <f>LF!I12+'FF'!I12+PrF!I12+FSS!I12+PřF!I12+'FI'!I12+PdF!I12+FSpS!I12+ESF!I12</f>
        <v>200000</v>
      </c>
      <c r="J12" s="187">
        <f>LF!J12+'FF'!J12+PrF!J12+FSS!J12+PřF!J12+'FI'!J12+PdF!J12+FSpS!J12+ESF!J12</f>
        <v>0</v>
      </c>
      <c r="K12" s="187">
        <f>LF!K12+'FF'!K12+PrF!K12+FSS!K12+PřF!K12+'FI'!K12+PdF!K12+FSpS!K12+ESF!K12</f>
        <v>0</v>
      </c>
      <c r="L12" s="324">
        <f>LF!L12+'FF'!L12+PrF!L12+FSS!L12+PřF!L12+'FI'!L12+PdF!L12+FSpS!L12+ESF!L12</f>
        <v>0</v>
      </c>
      <c r="M12" s="366">
        <f>LF!M12+'FF'!M12+PrF!M12+FSS!M12+PřF!M12+'FI'!M12+PdF!M12+FSpS!M12+ESF!M12</f>
        <v>11446855.770000001</v>
      </c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63">
        <f t="shared" si="2"/>
        <v>145495000</v>
      </c>
      <c r="G13" s="124"/>
      <c r="H13" s="323">
        <f>LF!H13+'FF'!H13+PrF!H13+FSS!H13+PřF!H13+'FI'!H13+PdF!H13+FSpS!H13+ESF!H13</f>
        <v>145195000</v>
      </c>
      <c r="I13" s="187">
        <f>LF!I13+'FF'!I13+PrF!I13+FSS!I13+PřF!I13+'FI'!I13+PdF!I13+FSpS!I13+ESF!I13</f>
        <v>300000</v>
      </c>
      <c r="J13" s="187">
        <f>LF!J13+'FF'!J13+PrF!J13+FSS!J13+PřF!J13+'FI'!J13+PdF!J13+FSpS!J13+ESF!J13</f>
        <v>0</v>
      </c>
      <c r="K13" s="187">
        <f>LF!K13+'FF'!K13+PrF!K13+FSS!K13+PřF!K13+'FI'!K13+PdF!K13+FSpS!K13+ESF!K13</f>
        <v>0</v>
      </c>
      <c r="L13" s="324">
        <f>LF!L13+'FF'!L13+PrF!L13+FSS!L13+PřF!L13+'FI'!L13+PdF!L13+FSpS!L13+ESF!L13</f>
        <v>0</v>
      </c>
      <c r="M13" s="366">
        <f>LF!M13+'FF'!M13+PrF!M13+FSS!M13+PřF!M13+'FI'!M13+PdF!M13+FSpS!M13+ESF!M13</f>
        <v>141146746.96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63">
        <f t="shared" si="2"/>
        <v>24472000</v>
      </c>
      <c r="G14" s="124"/>
      <c r="H14" s="323">
        <f>LF!H14+'FF'!H14+PrF!H14+FSS!H14+PřF!H14+'FI'!H14+PdF!H14+FSpS!H14+ESF!H14</f>
        <v>11368493</v>
      </c>
      <c r="I14" s="187">
        <f>LF!I14+'FF'!I14+PrF!I14+FSS!I14+PřF!I14+'FI'!I14+PdF!I14+FSpS!I14+ESF!I14</f>
        <v>678000</v>
      </c>
      <c r="J14" s="187">
        <f>LF!J14+'FF'!J14+PrF!J14+FSS!J14+PřF!J14+'FI'!J14+PdF!J14+FSpS!J14+ESF!J14</f>
        <v>24000</v>
      </c>
      <c r="K14" s="187">
        <f>LF!K14+'FF'!K14+PrF!K14+FSS!K14+PřF!K14+'FI'!K14+PdF!K14+FSpS!K14+ESF!K14</f>
        <v>0</v>
      </c>
      <c r="L14" s="324">
        <f>LF!L14+'FF'!L14+PrF!L14+FSS!L14+PřF!L14+'FI'!L14+PdF!L14+FSpS!L14+ESF!L14</f>
        <v>12401507</v>
      </c>
      <c r="M14" s="366">
        <f>LF!M14+'FF'!M14+PrF!M14+FSS!M14+PřF!M14+'FI'!M14+PdF!M14+FSpS!M14+ESF!M14</f>
        <v>20783928.6</v>
      </c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63">
        <f t="shared" si="2"/>
        <v>62505269.11800487</v>
      </c>
      <c r="G15" s="124"/>
      <c r="H15" s="323">
        <f>LF!H15+'FF'!H15+PrF!H15+FSS!H15+PřF!H15+'FI'!H15+PdF!H15+FSpS!H15+ESF!H15</f>
        <v>52526667.11800487</v>
      </c>
      <c r="I15" s="187">
        <f>LF!I15+'FF'!I15+PrF!I15+FSS!I15+PřF!I15+'FI'!I15+PdF!I15+FSpS!I15+ESF!I15</f>
        <v>9733233</v>
      </c>
      <c r="J15" s="187">
        <f>LF!J15+'FF'!J15+PrF!J15+FSS!J15+PřF!J15+'FI'!J15+PdF!J15+FSpS!J15+ESF!J15</f>
        <v>245369</v>
      </c>
      <c r="K15" s="187">
        <f>LF!K15+'FF'!K15+PrF!K15+FSS!K15+PřF!K15+'FI'!K15+PdF!K15+FSpS!K15+ESF!K15</f>
        <v>0</v>
      </c>
      <c r="L15" s="324">
        <f>LF!L15+'FF'!L15+PrF!L15+FSS!L15+PřF!L15+'FI'!L15+PdF!L15+FSpS!L15+ESF!L15</f>
        <v>0</v>
      </c>
      <c r="M15" s="366">
        <f>LF!M15+'FF'!M15+PrF!M15+FSS!M15+PřF!M15+'FI'!M15+PdF!M15+FSpS!M15+ESF!M15</f>
        <v>79342340.25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99238175</v>
      </c>
      <c r="G16" s="130"/>
      <c r="H16" s="323">
        <f>LF!H16+'FF'!H16+PrF!H16+FSS!H16+PřF!H16+'FI'!H16+PdF!H16+FSpS!H16+ESF!H16</f>
        <v>99238175</v>
      </c>
      <c r="I16" s="187">
        <f>LF!I16+'FF'!I16+PrF!I16+FSS!I16+PřF!I16+'FI'!I16+PdF!I16+FSpS!I16+ESF!I16</f>
        <v>0</v>
      </c>
      <c r="J16" s="187">
        <f>LF!J16+'FF'!J16+PrF!J16+FSS!J16+PřF!J16+'FI'!J16+PdF!J16+FSpS!J16+ESF!J16</f>
        <v>0</v>
      </c>
      <c r="K16" s="187">
        <f>LF!K16+'FF'!K16+PrF!K16+FSS!K16+PřF!K16+'FI'!K16+PdF!K16+FSpS!K16+ESF!K16</f>
        <v>0</v>
      </c>
      <c r="L16" s="324">
        <f>LF!L16+'FF'!L16+PrF!L16+FSS!L16+PřF!L16+'FI'!L16+PdF!L16+FSpS!L16+ESF!L16</f>
        <v>0</v>
      </c>
      <c r="M16" s="182">
        <f>LF!M16+'FF'!M16+PrF!M16+FSS!M16+PřF!M16+'FI'!M16+PdF!M16+FSpS!M16+ESF!M16</f>
        <v>98020000</v>
      </c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5450000</v>
      </c>
      <c r="G17" s="130"/>
      <c r="H17" s="323">
        <f>LF!H17+'FF'!H17+PrF!H17+FSS!H17+PřF!H17+'FI'!H17+PdF!H17+FSpS!H17+ESF!H17</f>
        <v>5450000</v>
      </c>
      <c r="I17" s="187">
        <f>LF!I17+'FF'!I17+PrF!I17+FSS!I17+PřF!I17+'FI'!I17+PdF!I17+FSpS!I17+ESF!I17</f>
        <v>0</v>
      </c>
      <c r="J17" s="187">
        <f>LF!J17+'FF'!J17+PrF!J17+FSS!J17+PřF!J17+'FI'!J17+PdF!J17+FSpS!J17+ESF!J17</f>
        <v>0</v>
      </c>
      <c r="K17" s="187">
        <f>LF!K17+'FF'!K17+PrF!K17+FSS!K17+PřF!K17+'FI'!K17+PdF!K17+FSpS!K17+ESF!K17</f>
        <v>0</v>
      </c>
      <c r="L17" s="324">
        <f>LF!L17+'FF'!L17+PrF!L17+FSS!L17+PřF!L17+'FI'!L17+PdF!L17+FSpS!L17+ESF!L17</f>
        <v>0</v>
      </c>
      <c r="M17" s="182">
        <f>LF!M17+'FF'!M17+PrF!M17+FSS!M17+PřF!M17+'FI'!M17+PdF!M17+FSpS!M17+ESF!M17</f>
        <v>9795064</v>
      </c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63901000</v>
      </c>
      <c r="G18" s="130"/>
      <c r="H18" s="323">
        <f>LF!H18+'FF'!H18+PrF!H18+FSS!H18+PřF!H18+'FI'!H18+PdF!H18+FSpS!H18+ESF!H18</f>
        <v>63901000</v>
      </c>
      <c r="I18" s="187">
        <f>LF!I18+'FF'!I18+PrF!I18+FSS!I18+PřF!I18+'FI'!I18+PdF!I18+FSpS!I18+ESF!I18</f>
        <v>0</v>
      </c>
      <c r="J18" s="187">
        <f>LF!J18+'FF'!J18+PrF!J18+FSS!J18+PřF!J18+'FI'!J18+PdF!J18+FSpS!J18+ESF!J18</f>
        <v>0</v>
      </c>
      <c r="K18" s="187">
        <f>LF!K18+'FF'!K18+PrF!K18+FSS!K18+PřF!K18+'FI'!K18+PdF!K18+FSpS!K18+ESF!K18</f>
        <v>0</v>
      </c>
      <c r="L18" s="324">
        <f>LF!L18+'FF'!L18+PrF!L18+FSS!L18+PřF!L18+'FI'!L18+PdF!L18+FSpS!L18+ESF!L18</f>
        <v>0</v>
      </c>
      <c r="M18" s="182">
        <f>LF!M18+'FF'!M18+PrF!M18+FSS!M18+PřF!M18+'FI'!M18+PdF!M18+FSpS!M18+ESF!M18</f>
        <v>49432515.13</v>
      </c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8415000</v>
      </c>
      <c r="G19" s="130"/>
      <c r="H19" s="323">
        <f>LF!H19+'FF'!H19+PrF!H19+FSS!H19+PřF!H19+'FI'!H19+PdF!H19+FSpS!H19+ESF!H19</f>
        <v>8415000</v>
      </c>
      <c r="I19" s="187">
        <f>LF!I19+'FF'!I19+PrF!I19+FSS!I19+PřF!I19+'FI'!I19+PdF!I19+FSpS!I19+ESF!I19</f>
        <v>0</v>
      </c>
      <c r="J19" s="187">
        <f>LF!J19+'FF'!J19+PrF!J19+FSS!J19+PřF!J19+'FI'!J19+PdF!J19+FSpS!J19+ESF!J19</f>
        <v>0</v>
      </c>
      <c r="K19" s="187">
        <f>LF!K19+'FF'!K19+PrF!K19+FSS!K19+PřF!K19+'FI'!K19+PdF!K19+FSpS!K19+ESF!K19</f>
        <v>0</v>
      </c>
      <c r="L19" s="324">
        <f>LF!L19+'FF'!L19+PrF!L19+FSS!L19+PřF!L19+'FI'!L19+PdF!L19+FSpS!L19+ESF!L19</f>
        <v>0</v>
      </c>
      <c r="M19" s="182">
        <f>LF!M19+'FF'!M19+PrF!M19+FSS!M19+PřF!M19+'FI'!M19+PdF!M19+FSpS!M19+ESF!M19</f>
        <v>8763333</v>
      </c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2397000</v>
      </c>
      <c r="G20" s="130"/>
      <c r="H20" s="323">
        <f>LF!H20+'FF'!H20+PrF!H20+FSS!H20+PřF!H20+'FI'!H20+PdF!H20+FSpS!H20+ESF!H20</f>
        <v>2397000</v>
      </c>
      <c r="I20" s="187">
        <f>LF!I20+'FF'!I20+PrF!I20+FSS!I20+PřF!I20+'FI'!I20+PdF!I20+FSpS!I20+ESF!I20</f>
        <v>0</v>
      </c>
      <c r="J20" s="187">
        <f>LF!J20+'FF'!J20+PrF!J20+FSS!J20+PřF!J20+'FI'!J20+PdF!J20+FSpS!J20+ESF!J20</f>
        <v>0</v>
      </c>
      <c r="K20" s="187">
        <f>LF!K20+'FF'!K20+PrF!K20+FSS!K20+PřF!K20+'FI'!K20+PdF!K20+FSpS!K20+ESF!K20</f>
        <v>0</v>
      </c>
      <c r="L20" s="324">
        <f>LF!L20+'FF'!L20+PrF!L20+FSS!L20+PřF!L20+'FI'!L20+PdF!L20+FSpS!L20+ESF!L20</f>
        <v>0</v>
      </c>
      <c r="M20" s="182">
        <f>LF!M20+'FF'!M20+PrF!M20+FSS!M20+PřF!M20+'FI'!M20+PdF!M20+FSpS!M20+ESF!M20</f>
        <v>3394590</v>
      </c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2"/>
        <v>18480767</v>
      </c>
      <c r="G21" s="130"/>
      <c r="H21" s="323">
        <f>LF!H21+'FF'!H21+PrF!H21+FSS!H21+PřF!H21+'FI'!H21+PdF!H21+FSpS!H21+ESF!H21</f>
        <v>18194000</v>
      </c>
      <c r="I21" s="187">
        <f>LF!I21+'FF'!I21+PrF!I21+FSS!I21+PřF!I21+'FI'!I21+PdF!I21+FSpS!I21+ESF!I21</f>
        <v>0</v>
      </c>
      <c r="J21" s="187">
        <f>LF!J21+'FF'!J21+PrF!J21+FSS!J21+PřF!J21+'FI'!J21+PdF!J21+FSpS!J21+ESF!J21</f>
        <v>286767</v>
      </c>
      <c r="K21" s="187">
        <f>LF!K21+'FF'!K21+PrF!K21+FSS!K21+PřF!K21+'FI'!K21+PdF!K21+FSpS!K21+ESF!K21</f>
        <v>0</v>
      </c>
      <c r="L21" s="324">
        <f>LF!L21+'FF'!L21+PrF!L21+FSS!L21+PřF!L21+'FI'!L21+PdF!L21+FSpS!L21+ESF!L21</f>
        <v>0</v>
      </c>
      <c r="M21" s="182">
        <f>LF!M21+'FF'!M21+PrF!M21+FSS!M21+PřF!M21+'FI'!M21+PdF!M21+FSpS!M21+ESF!M21</f>
        <v>23333941.26</v>
      </c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2"/>
        <v>10226305.85</v>
      </c>
      <c r="G22" s="130"/>
      <c r="H22" s="323">
        <f>LF!H22+'FF'!H22+PrF!H22+FSS!H22+PřF!H22+'FI'!H22+PdF!H22+FSpS!H22+ESF!H22</f>
        <v>8895995</v>
      </c>
      <c r="I22" s="187">
        <f>LF!I22+'FF'!I22+PrF!I22+FSS!I22+PřF!I22+'FI'!I22+PdF!I22+FSpS!I22+ESF!I22</f>
        <v>0</v>
      </c>
      <c r="J22" s="187">
        <f>LF!J22+'FF'!J22+PrF!J22+FSS!J22+PřF!J22+'FI'!J22+PdF!J22+FSpS!J22+ESF!J22</f>
        <v>1330310.85</v>
      </c>
      <c r="K22" s="187">
        <f>LF!K22+'FF'!K22+PrF!K22+FSS!K22+PřF!K22+'FI'!K22+PdF!K22+FSpS!K22+ESF!K22</f>
        <v>0</v>
      </c>
      <c r="L22" s="324">
        <f>LF!L22+'FF'!L22+PrF!L22+FSS!L22+PřF!L22+'FI'!L22+PdF!L22+FSpS!L22+ESF!L22</f>
        <v>0</v>
      </c>
      <c r="M22" s="182">
        <f>LF!M22+'FF'!M22+PrF!M22+FSS!M22+PřF!M22+'FI'!M22+PdF!M22+FSpS!M22+ESF!M22</f>
        <v>15899405</v>
      </c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2"/>
        <v>306990714.83</v>
      </c>
      <c r="G23" s="130"/>
      <c r="H23" s="323">
        <f>LF!H23+'FF'!H23+PrF!H23+FSS!H23+PřF!H23+'FI'!H23+PdF!H23+FSpS!H23+ESF!H23</f>
        <v>303135000</v>
      </c>
      <c r="I23" s="187">
        <f>LF!I23+'FF'!I23+PrF!I23+FSS!I23+PřF!I23+'FI'!I23+PdF!I23+FSpS!I23+ESF!I23</f>
        <v>0</v>
      </c>
      <c r="J23" s="187">
        <f>LF!J23+'FF'!J23+PrF!J23+FSS!J23+PřF!J23+'FI'!J23+PdF!J23+FSpS!J23+ESF!J23</f>
        <v>3855714.83</v>
      </c>
      <c r="K23" s="187">
        <f>LF!K23+'FF'!K23+PrF!K23+FSS!K23+PřF!K23+'FI'!K23+PdF!K23+FSpS!K23+ESF!K23</f>
        <v>0</v>
      </c>
      <c r="L23" s="324">
        <f>LF!L23+'FF'!L23+PrF!L23+FSS!L23+PřF!L23+'FI'!L23+PdF!L23+FSpS!L23+ESF!L23</f>
        <v>0</v>
      </c>
      <c r="M23" s="182">
        <f>LF!M23+'FF'!M23+PrF!M23+FSS!M23+PřF!M23+'FI'!M23+PdF!M23+FSpS!M23+ESF!M23</f>
        <v>257524595.5</v>
      </c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2"/>
        <v>221547782.06</v>
      </c>
      <c r="G24" s="130"/>
      <c r="H24" s="323">
        <f>LF!H24+'FF'!H24+PrF!H24+FSS!H24+PřF!H24+'FI'!H24+PdF!H24+FSpS!H24+ESF!H24</f>
        <v>220519000</v>
      </c>
      <c r="I24" s="187">
        <f>LF!I24+'FF'!I24+PrF!I24+FSS!I24+PřF!I24+'FI'!I24+PdF!I24+FSpS!I24+ESF!I24</f>
        <v>0</v>
      </c>
      <c r="J24" s="187">
        <f>LF!J24+'FF'!J24+PrF!J24+FSS!J24+PřF!J24+'FI'!J24+PdF!J24+FSpS!J24+ESF!J24</f>
        <v>1028782.06</v>
      </c>
      <c r="K24" s="187">
        <f>LF!K24+'FF'!K24+PrF!K24+FSS!K24+PřF!K24+'FI'!K24+PdF!K24+FSpS!K24+ESF!K24</f>
        <v>0</v>
      </c>
      <c r="L24" s="324">
        <f>LF!L24+'FF'!L24+PrF!L24+FSS!L24+PřF!L24+'FI'!L24+PdF!L24+FSpS!L24+ESF!L24</f>
        <v>0</v>
      </c>
      <c r="M24" s="182">
        <f>LF!M24+'FF'!M24+PrF!M24+FSS!M24+PřF!M24+'FI'!M24+PdF!M24+FSpS!M24+ESF!M24</f>
        <v>222957980.55</v>
      </c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2"/>
        <v>27320801.73</v>
      </c>
      <c r="G25" s="130"/>
      <c r="H25" s="323">
        <f>LF!H25+'FF'!H25+PrF!H25+FSS!H25+PřF!H25+'FI'!H25+PdF!H25+FSpS!H25+ESF!H25</f>
        <v>20594740</v>
      </c>
      <c r="I25" s="187">
        <f>LF!I25+'FF'!I25+PrF!I25+FSS!I25+PřF!I25+'FI'!I25+PdF!I25+FSpS!I25+ESF!I25</f>
        <v>0</v>
      </c>
      <c r="J25" s="187">
        <f>LF!J25+'FF'!J25+PrF!J25+FSS!J25+PřF!J25+'FI'!J25+PdF!J25+FSpS!J25+ESF!J25</f>
        <v>6726061.7299999995</v>
      </c>
      <c r="K25" s="187">
        <f>LF!K25+'FF'!K25+PrF!K25+FSS!K25+PřF!K25+'FI'!K25+PdF!K25+FSpS!K25+ESF!K25</f>
        <v>0</v>
      </c>
      <c r="L25" s="324">
        <f>LF!L25+'FF'!L25+PrF!L25+FSS!L25+PřF!L25+'FI'!L25+PdF!L25+FSpS!L25+ESF!L25</f>
        <v>0</v>
      </c>
      <c r="M25" s="182">
        <f>LF!M25+'FF'!M25+PrF!M25+FSS!M25+PřF!M25+'FI'!M25+PdF!M25+FSpS!M25+ESF!M25</f>
        <v>26566334</v>
      </c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2"/>
        <v>30224496.85</v>
      </c>
      <c r="G26" s="130"/>
      <c r="H26" s="323">
        <f>LF!H26+'FF'!H26+PrF!H26+FSS!H26+PřF!H26+'FI'!H26+PdF!H26+FSpS!H26+ESF!H26</f>
        <v>28707000</v>
      </c>
      <c r="I26" s="187">
        <f>LF!I26+'FF'!I26+PrF!I26+FSS!I26+PřF!I26+'FI'!I26+PdF!I26+FSpS!I26+ESF!I26</f>
        <v>0</v>
      </c>
      <c r="J26" s="187">
        <f>LF!J26+'FF'!J26+PrF!J26+FSS!J26+PřF!J26+'FI'!J26+PdF!J26+FSpS!J26+ESF!J26</f>
        <v>1517496.85</v>
      </c>
      <c r="K26" s="187">
        <f>LF!K26+'FF'!K26+PrF!K26+FSS!K26+PřF!K26+'FI'!K26+PdF!K26+FSpS!K26+ESF!K26</f>
        <v>0</v>
      </c>
      <c r="L26" s="324">
        <f>LF!L26+'FF'!L26+PrF!L26+FSS!L26+PřF!L26+'FI'!L26+PdF!L26+FSpS!L26+ESF!L26</f>
        <v>0</v>
      </c>
      <c r="M26" s="182">
        <f>LF!M26+'FF'!M26+PrF!M26+FSS!M26+PřF!M26+'FI'!M26+PdF!M26+FSpS!M26+ESF!M26</f>
        <v>36987548.25</v>
      </c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23517000</v>
      </c>
      <c r="G27" s="130"/>
      <c r="H27" s="323">
        <f>LF!H27+'FF'!H27+PrF!H27+FSS!H27+PřF!H27+'FI'!H27+PdF!H27+FSpS!H27+ESF!H27</f>
        <v>23517000</v>
      </c>
      <c r="I27" s="187">
        <f>LF!I27+'FF'!I27+PrF!I27+FSS!I27+PřF!I27+'FI'!I27+PdF!I27+FSpS!I27+ESF!I27</f>
        <v>0</v>
      </c>
      <c r="J27" s="187">
        <f>LF!J27+'FF'!J27+PrF!J27+FSS!J27+PřF!J27+'FI'!J27+PdF!J27+FSpS!J27+ESF!J27</f>
        <v>0</v>
      </c>
      <c r="K27" s="187">
        <f>LF!K27+'FF'!K27+PrF!K27+FSS!K27+PřF!K27+'FI'!K27+PdF!K27+FSpS!K27+ESF!K27</f>
        <v>0</v>
      </c>
      <c r="L27" s="324">
        <f>LF!L27+'FF'!L27+PrF!L27+FSS!L27+PřF!L27+'FI'!L27+PdF!L27+FSpS!L27+ESF!L27</f>
        <v>0</v>
      </c>
      <c r="M27" s="182">
        <f>LF!M27+'FF'!M27+PrF!M27+FSS!M27+PřF!M27+'FI'!M27+PdF!M27+FSpS!M27+ESF!M27</f>
        <v>27926475.5</v>
      </c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 aca="true" t="shared" si="3" ref="F28:M28">SUM(F29:F45)</f>
        <v>2450945026</v>
      </c>
      <c r="G28" s="114">
        <f t="shared" si="3"/>
        <v>0</v>
      </c>
      <c r="H28" s="115">
        <f t="shared" si="3"/>
        <v>2382786163</v>
      </c>
      <c r="I28" s="116">
        <f t="shared" si="3"/>
        <v>35464233</v>
      </c>
      <c r="J28" s="116">
        <f t="shared" si="3"/>
        <v>15059123</v>
      </c>
      <c r="K28" s="116">
        <f t="shared" si="3"/>
        <v>5234000</v>
      </c>
      <c r="L28" s="115">
        <f t="shared" si="3"/>
        <v>12401507</v>
      </c>
      <c r="M28" s="364">
        <f t="shared" si="3"/>
        <v>2308904583.8400006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330">
        <v>27</v>
      </c>
      <c r="F29" s="162">
        <f aca="true" t="shared" si="4" ref="F29:F45">SUM(H29:L29)</f>
        <v>1228670000</v>
      </c>
      <c r="G29" s="119"/>
      <c r="H29" s="323">
        <f>LF!H29+'FF'!H29+PrF!H29+FSS!H29+PřF!H29+'FI'!H29+PdF!H29+FSpS!H29+ESF!H29</f>
        <v>1210602000</v>
      </c>
      <c r="I29" s="187">
        <f>LF!I29+'FF'!I29+PrF!I29+FSS!I29+PřF!I29+'FI'!I29+PdF!I29+FSpS!I29+ESF!I29</f>
        <v>18068000</v>
      </c>
      <c r="J29" s="187">
        <f>LF!J29+'FF'!J29+PrF!J29+FSS!J29+PřF!J29+'FI'!J29+PdF!J29+FSpS!J29+ESF!J29</f>
        <v>0</v>
      </c>
      <c r="K29" s="187">
        <f>LF!K29+'FF'!K29+PrF!K29+FSS!K29+PřF!K29+'FI'!K29+PdF!K29+FSpS!K29+ESF!K29</f>
        <v>0</v>
      </c>
      <c r="L29" s="324">
        <f>LF!L29+'FF'!L29+PrF!L29+FSS!L29+PřF!L29+'FI'!L29+PdF!L29+FSpS!L29+ESF!L29</f>
        <v>0</v>
      </c>
      <c r="M29" s="365">
        <f>LF!M29+'FF'!M29+PrF!M29+FSS!M29+PřF!M29+'FI'!M29+PdF!M29+FSpS!M29+ESF!M29</f>
        <v>1140987575</v>
      </c>
    </row>
    <row r="30" spans="1:13" s="37" customFormat="1" ht="12">
      <c r="A30" s="28"/>
      <c r="B30" s="47" t="s">
        <v>29</v>
      </c>
      <c r="C30" s="47"/>
      <c r="D30" s="47"/>
      <c r="E30" s="330">
        <v>28</v>
      </c>
      <c r="F30" s="164">
        <f t="shared" si="4"/>
        <v>99238175</v>
      </c>
      <c r="G30" s="135"/>
      <c r="H30" s="323">
        <f>LF!H30+'FF'!H30+PrF!H30+FSS!H30+PřF!H30+'FI'!H30+PdF!H30+FSpS!H30+ESF!H30</f>
        <v>99238175</v>
      </c>
      <c r="I30" s="187">
        <f>LF!I30+'FF'!I30+PrF!I30+FSS!I30+PřF!I30+'FI'!I30+PdF!I30+FSpS!I30+ESF!I30</f>
        <v>0</v>
      </c>
      <c r="J30" s="187">
        <f>LF!J30+'FF'!J30+PrF!J30+FSS!J30+PřF!J30+'FI'!J30+PdF!J30+FSpS!J30+ESF!J30</f>
        <v>0</v>
      </c>
      <c r="K30" s="187">
        <f>LF!K30+'FF'!K30+PrF!K30+FSS!K30+PřF!K30+'FI'!K30+PdF!K30+FSpS!K30+ESF!K30</f>
        <v>0</v>
      </c>
      <c r="L30" s="324">
        <f>LF!L30+'FF'!L30+PrF!L30+FSS!L30+PřF!L30+'FI'!L30+PdF!L30+FSpS!L30+ESF!L30</f>
        <v>0</v>
      </c>
      <c r="M30" s="182">
        <f>LF!M30+'FF'!M30+PrF!M30+FSS!M30+PřF!M30+'FI'!M30+PdF!M30+FSpS!M30+ESF!M30</f>
        <v>98020000</v>
      </c>
    </row>
    <row r="31" spans="1:13" s="37" customFormat="1" ht="12">
      <c r="A31" s="28"/>
      <c r="B31" s="47" t="s">
        <v>31</v>
      </c>
      <c r="C31" s="47"/>
      <c r="D31" s="47"/>
      <c r="E31" s="330">
        <v>29</v>
      </c>
      <c r="F31" s="164">
        <f t="shared" si="4"/>
        <v>5450000</v>
      </c>
      <c r="G31" s="135"/>
      <c r="H31" s="323">
        <f>LF!H31+'FF'!H31+PrF!H31+FSS!H31+PřF!H31+'FI'!H31+PdF!H31+FSpS!H31+ESF!H31</f>
        <v>5450000</v>
      </c>
      <c r="I31" s="187">
        <f>LF!I31+'FF'!I31+PrF!I31+FSS!I31+PřF!I31+'FI'!I31+PdF!I31+FSpS!I31+ESF!I31</f>
        <v>0</v>
      </c>
      <c r="J31" s="187">
        <f>LF!J31+'FF'!J31+PrF!J31+FSS!J31+PřF!J31+'FI'!J31+PdF!J31+FSpS!J31+ESF!J31</f>
        <v>0</v>
      </c>
      <c r="K31" s="187">
        <f>LF!K31+'FF'!K31+PrF!K31+FSS!K31+PřF!K31+'FI'!K31+PdF!K31+FSpS!K31+ESF!K31</f>
        <v>0</v>
      </c>
      <c r="L31" s="324">
        <f>LF!L31+'FF'!L31+PrF!L31+FSS!L31+PřF!L31+'FI'!L31+PdF!L31+FSpS!L31+ESF!L31</f>
        <v>0</v>
      </c>
      <c r="M31" s="182">
        <f>LF!M31+'FF'!M31+PrF!M31+FSS!M31+PřF!M31+'FI'!M31+PdF!M31+FSpS!M31+ESF!M31</f>
        <v>9795064</v>
      </c>
    </row>
    <row r="32" spans="1:13" s="37" customFormat="1" ht="12">
      <c r="A32" s="28"/>
      <c r="B32" s="48" t="s">
        <v>33</v>
      </c>
      <c r="C32" s="49"/>
      <c r="D32" s="49"/>
      <c r="E32" s="331">
        <v>30</v>
      </c>
      <c r="F32" s="164">
        <f t="shared" si="4"/>
        <v>63901000</v>
      </c>
      <c r="G32" s="135"/>
      <c r="H32" s="323">
        <f>LF!H32+'FF'!H32+PrF!H32+FSS!H32+PřF!H32+'FI'!H32+PdF!H32+FSpS!H32+ESF!H32</f>
        <v>63901000</v>
      </c>
      <c r="I32" s="187">
        <f>LF!I32+'FF'!I32+PrF!I32+FSS!I32+PřF!I32+'FI'!I32+PdF!I32+FSpS!I32+ESF!I32</f>
        <v>0</v>
      </c>
      <c r="J32" s="187">
        <f>LF!J32+'FF'!J32+PrF!J32+FSS!J32+PřF!J32+'FI'!J32+PdF!J32+FSpS!J32+ESF!J32</f>
        <v>0</v>
      </c>
      <c r="K32" s="187">
        <f>LF!K32+'FF'!K32+PrF!K32+FSS!K32+PřF!K32+'FI'!K32+PdF!K32+FSpS!K32+ESF!K32</f>
        <v>0</v>
      </c>
      <c r="L32" s="324">
        <f>LF!L32+'FF'!L32+PrF!L32+FSS!L32+PřF!L32+'FI'!L32+PdF!L32+FSpS!L32+ESF!L32</f>
        <v>0</v>
      </c>
      <c r="M32" s="182">
        <f>LF!M32+'FF'!M32+PrF!M32+FSS!M32+PřF!M32+'FI'!M32+PdF!M32+FSpS!M32+ESF!M32</f>
        <v>49432515.13</v>
      </c>
    </row>
    <row r="33" spans="1:13" s="37" customFormat="1" ht="12">
      <c r="A33" s="28"/>
      <c r="B33" s="48" t="s">
        <v>35</v>
      </c>
      <c r="C33" s="48"/>
      <c r="D33" s="48"/>
      <c r="E33" s="331">
        <v>31</v>
      </c>
      <c r="F33" s="164">
        <f t="shared" si="4"/>
        <v>8415000</v>
      </c>
      <c r="G33" s="135"/>
      <c r="H33" s="323">
        <f>LF!H33+'FF'!H33+PrF!H33+FSS!H33+PřF!H33+'FI'!H33+PdF!H33+FSpS!H33+ESF!H33</f>
        <v>8415000</v>
      </c>
      <c r="I33" s="187">
        <f>LF!I33+'FF'!I33+PrF!I33+FSS!I33+PřF!I33+'FI'!I33+PdF!I33+FSpS!I33+ESF!I33</f>
        <v>0</v>
      </c>
      <c r="J33" s="187">
        <f>LF!J33+'FF'!J33+PrF!J33+FSS!J33+PřF!J33+'FI'!J33+PdF!J33+FSpS!J33+ESF!J33</f>
        <v>0</v>
      </c>
      <c r="K33" s="187">
        <f>LF!K33+'FF'!K33+PrF!K33+FSS!K33+PřF!K33+'FI'!K33+PdF!K33+FSpS!K33+ESF!K33</f>
        <v>0</v>
      </c>
      <c r="L33" s="324">
        <f>LF!L33+'FF'!L33+PrF!L33+FSS!L33+PřF!L33+'FI'!L33+PdF!L33+FSpS!L33+ESF!L33</f>
        <v>0</v>
      </c>
      <c r="M33" s="182">
        <f>LF!M33+'FF'!M33+PrF!M33+FSS!M33+PřF!M33+'FI'!M33+PdF!M33+FSpS!M33+ESF!M33</f>
        <v>8763333</v>
      </c>
    </row>
    <row r="34" spans="1:13" s="37" customFormat="1" ht="12">
      <c r="A34" s="28"/>
      <c r="B34" s="48" t="s">
        <v>55</v>
      </c>
      <c r="C34" s="48"/>
      <c r="D34" s="48"/>
      <c r="E34" s="331">
        <v>32</v>
      </c>
      <c r="F34" s="164">
        <f t="shared" si="4"/>
        <v>0</v>
      </c>
      <c r="G34" s="135"/>
      <c r="H34" s="323">
        <f>LF!H34+'FF'!H34+PrF!H34+FSS!H34+PřF!H34+'FI'!H34+PdF!H34+FSpS!H34+ESF!H34</f>
        <v>0</v>
      </c>
      <c r="I34" s="187">
        <f>LF!I34+'FF'!I34+PrF!I34+FSS!I34+PřF!I34+'FI'!I34+PdF!I34+FSpS!I34+ESF!I34</f>
        <v>0</v>
      </c>
      <c r="J34" s="187">
        <f>LF!J34+'FF'!J34+PrF!J34+FSS!J34+PřF!J34+'FI'!J34+PdF!J34+FSpS!J34+ESF!J34</f>
        <v>0</v>
      </c>
      <c r="K34" s="187">
        <f>LF!K34+'FF'!K34+PrF!K34+FSS!K34+PřF!K34+'FI'!K34+PdF!K34+FSpS!K34+ESF!K34</f>
        <v>0</v>
      </c>
      <c r="L34" s="324">
        <f>LF!L34+'FF'!L34+PrF!L34+FSS!L34+PřF!L34+'FI'!L34+PdF!L34+FSpS!L34+ESF!L34</f>
        <v>0</v>
      </c>
      <c r="M34" s="182">
        <f>LF!M34+'FF'!M34+PrF!M34+FSS!M34+PřF!M34+'FI'!M34+PdF!M34+FSpS!M34+ESF!M34</f>
        <v>0</v>
      </c>
    </row>
    <row r="35" spans="1:13" s="37" customFormat="1" ht="12">
      <c r="A35" s="28"/>
      <c r="B35" s="48" t="s">
        <v>37</v>
      </c>
      <c r="C35" s="48"/>
      <c r="D35" s="48"/>
      <c r="E35" s="331">
        <v>33</v>
      </c>
      <c r="F35" s="164">
        <f t="shared" si="4"/>
        <v>2397000</v>
      </c>
      <c r="G35" s="135"/>
      <c r="H35" s="323">
        <f>LF!H35+'FF'!H35+PrF!H35+FSS!H35+PřF!H35+'FI'!H35+PdF!H35+FSpS!H35+ESF!H35</f>
        <v>2397000</v>
      </c>
      <c r="I35" s="187">
        <f>LF!I35+'FF'!I35+PrF!I35+FSS!I35+PřF!I35+'FI'!I35+PdF!I35+FSpS!I35+ESF!I35</f>
        <v>0</v>
      </c>
      <c r="J35" s="187">
        <f>LF!J35+'FF'!J35+PrF!J35+FSS!J35+PřF!J35+'FI'!J35+PdF!J35+FSpS!J35+ESF!J35</f>
        <v>0</v>
      </c>
      <c r="K35" s="187">
        <f>LF!K35+'FF'!K35+PrF!K35+FSS!K35+PřF!K35+'FI'!K35+PdF!K35+FSpS!K35+ESF!K35</f>
        <v>0</v>
      </c>
      <c r="L35" s="324">
        <f>LF!L35+'FF'!L35+PrF!L35+FSS!L35+PřF!L35+'FI'!L35+PdF!L35+FSpS!L35+ESF!L35</f>
        <v>0</v>
      </c>
      <c r="M35" s="182">
        <f>LF!M35+'FF'!M35+PrF!M35+FSS!M35+PřF!M35+'FI'!M35+PdF!M35+FSpS!M35+ESF!M35</f>
        <v>3394590</v>
      </c>
    </row>
    <row r="36" spans="1:13" s="37" customFormat="1" ht="12">
      <c r="A36" s="28"/>
      <c r="B36" s="48" t="s">
        <v>39</v>
      </c>
      <c r="C36" s="48"/>
      <c r="D36" s="48"/>
      <c r="E36" s="331">
        <v>34</v>
      </c>
      <c r="F36" s="164">
        <f t="shared" si="4"/>
        <v>18480767</v>
      </c>
      <c r="G36" s="135"/>
      <c r="H36" s="323">
        <f>LF!H36+'FF'!H36+PrF!H36+FSS!H36+PřF!H36+'FI'!H36+PdF!H36+FSpS!H36+ESF!H36</f>
        <v>18194000</v>
      </c>
      <c r="I36" s="187">
        <f>LF!I36+'FF'!I36+PrF!I36+FSS!I36+PřF!I36+'FI'!I36+PdF!I36+FSpS!I36+ESF!I36</f>
        <v>0</v>
      </c>
      <c r="J36" s="187">
        <f>LF!J36+'FF'!J36+PrF!J36+FSS!J36+PřF!J36+'FI'!J36+PdF!J36+FSpS!J36+ESF!J36</f>
        <v>286767</v>
      </c>
      <c r="K36" s="187">
        <f>LF!K36+'FF'!K36+PrF!K36+FSS!K36+PřF!K36+'FI'!K36+PdF!K36+FSpS!K36+ESF!K36</f>
        <v>0</v>
      </c>
      <c r="L36" s="324">
        <f>LF!L36+'FF'!L36+PrF!L36+FSS!L36+PřF!L36+'FI'!L36+PdF!L36+FSpS!L36+ESF!L36</f>
        <v>0</v>
      </c>
      <c r="M36" s="182">
        <f>LF!M36+'FF'!M36+PrF!M36+FSS!M36+PřF!M36+'FI'!M36+PdF!M36+FSpS!M36+ESF!M36</f>
        <v>21642438.66</v>
      </c>
    </row>
    <row r="37" spans="1:13" s="37" customFormat="1" ht="12">
      <c r="A37" s="28"/>
      <c r="B37" s="48" t="s">
        <v>57</v>
      </c>
      <c r="C37" s="48"/>
      <c r="D37" s="48"/>
      <c r="E37" s="331">
        <v>35</v>
      </c>
      <c r="F37" s="164">
        <f t="shared" si="4"/>
        <v>10226306</v>
      </c>
      <c r="G37" s="135"/>
      <c r="H37" s="323">
        <f>LF!H37+'FF'!H37+PrF!H37+FSS!H37+PřF!H37+'FI'!H37+PdF!H37+FSpS!H37+ESF!H37</f>
        <v>8895995</v>
      </c>
      <c r="I37" s="187">
        <f>LF!I37+'FF'!I37+PrF!I37+FSS!I37+PřF!I37+'FI'!I37+PdF!I37+FSpS!I37+ESF!I37</f>
        <v>0</v>
      </c>
      <c r="J37" s="187">
        <f>LF!J37+'FF'!J37+PrF!J37+FSS!J37+PřF!J37+'FI'!J37+PdF!J37+FSpS!J37+ESF!J37</f>
        <v>1330311</v>
      </c>
      <c r="K37" s="187">
        <f>LF!K37+'FF'!K37+PrF!K37+FSS!K37+PřF!K37+'FI'!K37+PdF!K37+FSpS!K37+ESF!K37</f>
        <v>0</v>
      </c>
      <c r="L37" s="324">
        <f>LF!L37+'FF'!L37+PrF!L37+FSS!L37+PřF!L37+'FI'!L37+PdF!L37+FSpS!L37+ESF!L37</f>
        <v>0</v>
      </c>
      <c r="M37" s="182">
        <f>LF!M37+'FF'!M37+PrF!M37+FSS!M37+PřF!M37+'FI'!M37+PdF!M37+FSpS!M37+ESF!M37</f>
        <v>27857622.44</v>
      </c>
    </row>
    <row r="38" spans="1:13" s="37" customFormat="1" ht="12">
      <c r="A38" s="28"/>
      <c r="B38" s="48" t="s">
        <v>58</v>
      </c>
      <c r="C38" s="48"/>
      <c r="D38" s="48"/>
      <c r="E38" s="331">
        <v>36</v>
      </c>
      <c r="F38" s="164">
        <f t="shared" si="4"/>
        <v>119959000</v>
      </c>
      <c r="G38" s="135"/>
      <c r="H38" s="323">
        <f>LF!H38+'FF'!H38+PrF!H38+FSS!H38+PřF!H38+'FI'!H38+PdF!H38+FSpS!H38+ESF!H38</f>
        <v>119959000</v>
      </c>
      <c r="I38" s="187">
        <f>LF!I38+'FF'!I38+PrF!I38+FSS!I38+PřF!I38+'FI'!I38+PdF!I38+FSpS!I38+ESF!I38</f>
        <v>0</v>
      </c>
      <c r="J38" s="187">
        <f>LF!J38+'FF'!J38+PrF!J38+FSS!J38+PřF!J38+'FI'!J38+PdF!J38+FSpS!J38+ESF!J38</f>
        <v>0</v>
      </c>
      <c r="K38" s="187">
        <f>LF!K38+'FF'!K38+PrF!K38+FSS!K38+PřF!K38+'FI'!K38+PdF!K38+FSpS!K38+ESF!K38</f>
        <v>0</v>
      </c>
      <c r="L38" s="324">
        <f>LF!L38+'FF'!L38+PrF!L38+FSS!L38+PřF!L38+'FI'!L38+PdF!L38+FSpS!L38+ESF!L38</f>
        <v>0</v>
      </c>
      <c r="M38" s="182">
        <f>LF!M38+'FF'!M38+PrF!M38+FSS!M38+PřF!M38+'FI'!M38+PdF!M38+FSpS!M38+ESF!M38</f>
        <v>130278941.5</v>
      </c>
    </row>
    <row r="39" spans="1:13" s="37" customFormat="1" ht="12">
      <c r="A39" s="28"/>
      <c r="B39" s="48" t="s">
        <v>60</v>
      </c>
      <c r="C39" s="48"/>
      <c r="D39" s="48"/>
      <c r="E39" s="331">
        <v>37</v>
      </c>
      <c r="F39" s="164">
        <f t="shared" si="4"/>
        <v>306990715</v>
      </c>
      <c r="G39" s="135"/>
      <c r="H39" s="323">
        <f>LF!H39+'FF'!H39+PrF!H39+FSS!H39+PřF!H39+'FI'!H39+PdF!H39+FSpS!H39+ESF!H39</f>
        <v>303135000</v>
      </c>
      <c r="I39" s="187">
        <f>LF!I39+'FF'!I39+PrF!I39+FSS!I39+PřF!I39+'FI'!I39+PdF!I39+FSpS!I39+ESF!I39</f>
        <v>0</v>
      </c>
      <c r="J39" s="187">
        <f>LF!J39+'FF'!J39+PrF!J39+FSS!J39+PřF!J39+'FI'!J39+PdF!J39+FSpS!J39+ESF!J39</f>
        <v>3855715</v>
      </c>
      <c r="K39" s="187">
        <f>LF!K39+'FF'!K39+PrF!K39+FSS!K39+PřF!K39+'FI'!K39+PdF!K39+FSpS!K39+ESF!K39</f>
        <v>0</v>
      </c>
      <c r="L39" s="324">
        <f>LF!L39+'FF'!L39+PrF!L39+FSS!L39+PřF!L39+'FI'!L39+PdF!L39+FSpS!L39+ESF!L39</f>
        <v>0</v>
      </c>
      <c r="M39" s="182">
        <f>LF!M39+'FF'!M39+PrF!M39+FSS!M39+PřF!M39+'FI'!M39+PdF!M39+FSpS!M39+ESF!M39</f>
        <v>241718892.44</v>
      </c>
    </row>
    <row r="40" spans="1:13" s="37" customFormat="1" ht="12">
      <c r="A40" s="28"/>
      <c r="B40" s="48" t="s">
        <v>61</v>
      </c>
      <c r="C40" s="48"/>
      <c r="D40" s="48"/>
      <c r="E40" s="331">
        <v>38</v>
      </c>
      <c r="F40" s="164">
        <f t="shared" si="4"/>
        <v>222647782</v>
      </c>
      <c r="G40" s="135"/>
      <c r="H40" s="323">
        <f>LF!H40+'FF'!H40+PrF!H40+FSS!H40+PřF!H40+'FI'!H40+PdF!H40+FSpS!H40+ESF!H40</f>
        <v>221619000</v>
      </c>
      <c r="I40" s="187">
        <f>LF!I40+'FF'!I40+PrF!I40+FSS!I40+PřF!I40+'FI'!I40+PdF!I40+FSpS!I40+ESF!I40</f>
        <v>0</v>
      </c>
      <c r="J40" s="187">
        <f>LF!J40+'FF'!J40+PrF!J40+FSS!J40+PřF!J40+'FI'!J40+PdF!J40+FSpS!J40+ESF!J40</f>
        <v>1028782</v>
      </c>
      <c r="K40" s="187">
        <f>LF!K40+'FF'!K40+PrF!K40+FSS!K40+PřF!K40+'FI'!K40+PdF!K40+FSpS!K40+ESF!K40</f>
        <v>0</v>
      </c>
      <c r="L40" s="324">
        <f>LF!L40+'FF'!L40+PrF!L40+FSS!L40+PřF!L40+'FI'!L40+PdF!L40+FSpS!L40+ESF!L40</f>
        <v>0</v>
      </c>
      <c r="M40" s="182">
        <f>LF!M40+'FF'!M40+PrF!M40+FSS!M40+PřF!M40+'FI'!M40+PdF!M40+FSpS!M40+ESF!M40</f>
        <v>211507741.11</v>
      </c>
    </row>
    <row r="41" spans="1:13" s="37" customFormat="1" ht="12">
      <c r="A41" s="28"/>
      <c r="B41" s="48" t="s">
        <v>46</v>
      </c>
      <c r="C41" s="48"/>
      <c r="D41" s="48"/>
      <c r="E41" s="331">
        <v>39</v>
      </c>
      <c r="F41" s="164">
        <f t="shared" si="4"/>
        <v>31955202</v>
      </c>
      <c r="G41" s="135"/>
      <c r="H41" s="323">
        <f>LF!H41+'FF'!H41+PrF!H41+FSS!H41+PřF!H41+'FI'!H41+PdF!H41+FSpS!H41+ESF!H41</f>
        <v>23744740</v>
      </c>
      <c r="I41" s="187">
        <f>LF!I41+'FF'!I41+PrF!I41+FSS!I41+PřF!I41+'FI'!I41+PdF!I41+FSpS!I41+ESF!I41</f>
        <v>0</v>
      </c>
      <c r="J41" s="187">
        <f>LF!J41+'FF'!J41+PrF!J41+FSS!J41+PřF!J41+'FI'!J41+PdF!J41+FSpS!J41+ESF!J41</f>
        <v>8210462</v>
      </c>
      <c r="K41" s="187">
        <f>LF!K41+'FF'!K41+PrF!K41+FSS!K41+PřF!K41+'FI'!K41+PdF!K41+FSpS!K41+ESF!K41</f>
        <v>0</v>
      </c>
      <c r="L41" s="324">
        <f>LF!L41+'FF'!L41+PrF!L41+FSS!L41+PřF!L41+'FI'!L41+PdF!L41+FSpS!L41+ESF!L41</f>
        <v>0</v>
      </c>
      <c r="M41" s="182">
        <f>LF!M41+'FF'!M41+PrF!M41+FSS!M41+PřF!M41+'FI'!M41+PdF!M41+FSpS!M41+ESF!M41</f>
        <v>30318443</v>
      </c>
    </row>
    <row r="42" spans="1:13" s="37" customFormat="1" ht="12">
      <c r="A42" s="28"/>
      <c r="B42" s="48" t="s">
        <v>62</v>
      </c>
      <c r="C42" s="48"/>
      <c r="D42" s="48"/>
      <c r="E42" s="331">
        <v>40</v>
      </c>
      <c r="F42" s="164">
        <f t="shared" si="4"/>
        <v>25590097</v>
      </c>
      <c r="G42" s="135"/>
      <c r="H42" s="323">
        <f>LF!H42+'FF'!H42+PrF!H42+FSS!H42+PřF!H42+'FI'!H42+PdF!H42+FSpS!H42+ESF!H42</f>
        <v>25557000</v>
      </c>
      <c r="I42" s="187">
        <f>LF!I42+'FF'!I42+PrF!I42+FSS!I42+PřF!I42+'FI'!I42+PdF!I42+FSpS!I42+ESF!I42</f>
        <v>0</v>
      </c>
      <c r="J42" s="187">
        <f>LF!J42+'FF'!J42+PrF!J42+FSS!J42+PřF!J42+'FI'!J42+PdF!J42+FSpS!J42+ESF!J42</f>
        <v>33097</v>
      </c>
      <c r="K42" s="187">
        <f>LF!K42+'FF'!K42+PrF!K42+FSS!K42+PřF!K42+'FI'!K42+PdF!K42+FSpS!K42+ESF!K42</f>
        <v>0</v>
      </c>
      <c r="L42" s="324">
        <f>LF!L42+'FF'!L42+PrF!L42+FSS!L42+PřF!L42+'FI'!L42+PdF!L42+FSpS!L42+ESF!L42</f>
        <v>0</v>
      </c>
      <c r="M42" s="182">
        <f>LF!M42+'FF'!M42+PrF!M42+FSS!M42+PřF!M42+'FI'!M42+PdF!M42+FSpS!M42+ESF!M42</f>
        <v>33235439</v>
      </c>
    </row>
    <row r="43" spans="1:13" s="37" customFormat="1" ht="12">
      <c r="A43" s="28"/>
      <c r="B43" s="48" t="s">
        <v>63</v>
      </c>
      <c r="C43" s="48"/>
      <c r="D43" s="48"/>
      <c r="E43" s="331">
        <v>41</v>
      </c>
      <c r="F43" s="164">
        <f t="shared" si="4"/>
        <v>245534242</v>
      </c>
      <c r="G43" s="135"/>
      <c r="H43" s="323">
        <f>LF!H43+'FF'!H43+PrF!H43+FSS!H43+PřF!H43+'FI'!H43+PdF!H43+FSpS!H43+ESF!H43</f>
        <v>245220253</v>
      </c>
      <c r="I43" s="187">
        <f>LF!I43+'FF'!I43+PrF!I43+FSS!I43+PřF!I43+'FI'!I43+PdF!I43+FSpS!I43+ESF!I43</f>
        <v>0</v>
      </c>
      <c r="J43" s="187">
        <f>LF!J43+'FF'!J43+PrF!J43+FSS!J43+PřF!J43+'FI'!J43+PdF!J43+FSpS!J43+ESF!J43</f>
        <v>313989</v>
      </c>
      <c r="K43" s="187">
        <f>LF!K43+'FF'!K43+PrF!K43+FSS!K43+PřF!K43+'FI'!K43+PdF!K43+FSpS!K43+ESF!K43</f>
        <v>0</v>
      </c>
      <c r="L43" s="324">
        <f>LF!L43+'FF'!L43+PrF!L43+FSS!L43+PřF!L43+'FI'!L43+PdF!L43+FSpS!L43+ESF!L43</f>
        <v>0</v>
      </c>
      <c r="M43" s="182">
        <f>LF!M43+'FF'!M43+PrF!M43+FSS!M43+PřF!M43+'FI'!M43+PdF!M43+FSpS!M43+ESF!M43</f>
        <v>260472083.3</v>
      </c>
    </row>
    <row r="44" spans="1:13" s="37" customFormat="1" ht="12">
      <c r="A44" s="28"/>
      <c r="B44" s="48" t="s">
        <v>64</v>
      </c>
      <c r="C44" s="48"/>
      <c r="D44" s="48"/>
      <c r="E44" s="331">
        <v>42</v>
      </c>
      <c r="F44" s="164">
        <f t="shared" si="4"/>
        <v>35031740</v>
      </c>
      <c r="G44" s="135"/>
      <c r="H44" s="323"/>
      <c r="I44" s="187">
        <f>LF!I44+'FF'!I44+PrF!I44+FSS!I44+PřF!I44+'FI'!I44+PdF!I44+FSpS!I44+ESF!I44</f>
        <v>17396233</v>
      </c>
      <c r="J44" s="187">
        <f>LF!J44+'FF'!J44+PrF!J44+FSS!J44+PřF!J44+'FI'!J44+PdF!J44+FSpS!J44+ESF!J44</f>
        <v>0</v>
      </c>
      <c r="K44" s="187">
        <f>LF!K44+'FF'!K44+PrF!K44+FSS!K44+PřF!K44+'FI'!K44+PdF!K44+FSpS!K44+ESF!K44</f>
        <v>5234000</v>
      </c>
      <c r="L44" s="324">
        <f>LF!L44+'FF'!L44+PrF!L44+FSS!L44+PřF!L44+'FI'!L44+PdF!L44+FSpS!L44+ESF!L44</f>
        <v>12401507</v>
      </c>
      <c r="M44" s="182">
        <f>LF!M44+'FF'!M44+PrF!M44+FSS!M44+PřF!M44+'FI'!M44+PdF!M44+FSpS!M44+ESF!M44</f>
        <v>11018653</v>
      </c>
    </row>
    <row r="45" spans="1:13" s="37" customFormat="1" ht="12">
      <c r="A45" s="65"/>
      <c r="B45" s="66" t="s">
        <v>50</v>
      </c>
      <c r="C45" s="66"/>
      <c r="D45" s="66"/>
      <c r="E45" s="332">
        <v>43</v>
      </c>
      <c r="F45" s="165">
        <f t="shared" si="4"/>
        <v>26458000</v>
      </c>
      <c r="G45" s="141"/>
      <c r="H45" s="335">
        <f>LF!H45+'FF'!H45+PrF!H45+FSS!H45+PřF!H45+'FI'!H45+PdF!H45+FSpS!H45+ESF!H45</f>
        <v>26458000</v>
      </c>
      <c r="I45" s="336">
        <f>LF!I45+'FF'!I45+PrF!I45+FSS!I45+PřF!I45+'FI'!I45+PdF!I45+FSpS!I45+ESF!I45</f>
        <v>0</v>
      </c>
      <c r="J45" s="336">
        <f>LF!J45+'FF'!J45+PrF!J45+FSS!J45+PřF!J45+'FI'!J45+PdF!J45+FSpS!J45+ESF!J45</f>
        <v>0</v>
      </c>
      <c r="K45" s="336">
        <f>LF!K45+'FF'!K45+PrF!K45+FSS!K45+PřF!K45+'FI'!K45+PdF!K45+FSpS!K45+ESF!K45</f>
        <v>0</v>
      </c>
      <c r="L45" s="361">
        <f>LF!L45+'FF'!L45+PrF!L45+FSS!L45+PřF!L45+'FI'!L45+PdF!L45+FSpS!L45+ESF!L45</f>
        <v>0</v>
      </c>
      <c r="M45" s="367">
        <f>LF!M45+'FF'!M45+PrF!M45+FSS!M45+PřF!M45+'FI'!M45+PdF!M45+FSpS!M45+ESF!M45</f>
        <v>30461252.259999998</v>
      </c>
    </row>
    <row r="46" spans="1:13" s="37" customFormat="1" ht="12.75" thickBot="1">
      <c r="A46" s="73" t="s">
        <v>66</v>
      </c>
      <c r="B46" s="74"/>
      <c r="C46" s="74"/>
      <c r="D46" s="74"/>
      <c r="E46" s="330">
        <v>44</v>
      </c>
      <c r="F46" s="147">
        <f>F29+F34+F38+F43+F44+F45-F4-F27</f>
        <v>10445839.643661976</v>
      </c>
      <c r="G46" s="146">
        <f>G29+G34+G38+G43+G44+G45+-G4-G27</f>
        <v>0</v>
      </c>
      <c r="H46" s="146">
        <f>H29+H34+H38+H43+H45-H4-H27</f>
        <v>10445839.818661928</v>
      </c>
      <c r="I46" s="146">
        <f>I29+I34+I38+I43+I44+I45-I4-I27</f>
        <v>-0.17499999701976776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368">
        <f>M29+M34+M38+M43+M44+M45-M4-M27</f>
        <v>51650488.88999987</v>
      </c>
    </row>
    <row r="47" spans="1:13" ht="13.5" thickBot="1">
      <c r="A47" s="54" t="s">
        <v>67</v>
      </c>
      <c r="B47" s="55"/>
      <c r="C47" s="55"/>
      <c r="D47" s="55"/>
      <c r="E47" s="333">
        <v>45</v>
      </c>
      <c r="F47" s="161">
        <f aca="true" t="shared" si="5" ref="F47:M47">F28-F3</f>
        <v>11545840.323662281</v>
      </c>
      <c r="G47" s="114">
        <f t="shared" si="5"/>
        <v>0</v>
      </c>
      <c r="H47" s="115">
        <f t="shared" si="5"/>
        <v>11545839.81866169</v>
      </c>
      <c r="I47" s="116">
        <f t="shared" si="5"/>
        <v>-0.17499999701976776</v>
      </c>
      <c r="J47" s="116">
        <f t="shared" si="5"/>
        <v>0.6800000015646219</v>
      </c>
      <c r="K47" s="116">
        <f t="shared" si="5"/>
        <v>0</v>
      </c>
      <c r="L47" s="115">
        <f t="shared" si="5"/>
        <v>0</v>
      </c>
      <c r="M47" s="364">
        <f t="shared" si="5"/>
        <v>34661260.980000496</v>
      </c>
    </row>
    <row r="48" spans="1:5" ht="12.75">
      <c r="A48" s="80"/>
      <c r="B48" s="80"/>
      <c r="C48" s="80"/>
      <c r="D48" s="80"/>
      <c r="E48" s="81"/>
    </row>
    <row r="49" spans="5:12" s="80" customFormat="1" ht="8.25" customHeight="1">
      <c r="E49" s="81"/>
      <c r="F49" s="37"/>
      <c r="H49" s="92"/>
      <c r="I49" s="92"/>
      <c r="J49" s="92"/>
      <c r="K49" s="92"/>
      <c r="L49" s="92"/>
    </row>
    <row r="50" spans="1:13" s="80" customFormat="1" ht="12">
      <c r="A50" s="84" t="s">
        <v>100</v>
      </c>
      <c r="E50" s="81"/>
      <c r="F50" s="167"/>
      <c r="H50" s="92"/>
      <c r="J50" s="410">
        <f>LF!J52+'FF'!J50+PrF!J50+FSS!J50+PřF!J50+'FI'!J50+PdF!J50+FSpS!J50+ESF!J50</f>
        <v>7500000</v>
      </c>
      <c r="L50" s="92"/>
      <c r="M50" s="369"/>
    </row>
    <row r="51" spans="5:12" s="84" customFormat="1" ht="12">
      <c r="E51" s="86"/>
      <c r="F51" s="168"/>
      <c r="H51" s="108"/>
      <c r="I51" s="108"/>
      <c r="J51" s="108"/>
      <c r="K51" s="108"/>
      <c r="L51" s="108"/>
    </row>
    <row r="52" spans="5:12" s="84" customFormat="1" ht="12">
      <c r="E52" s="86"/>
      <c r="F52" s="168"/>
      <c r="H52" s="108"/>
      <c r="I52" s="108"/>
      <c r="J52" s="108"/>
      <c r="K52" s="108"/>
      <c r="L52" s="108"/>
    </row>
    <row r="53" spans="5:12" s="84" customFormat="1" ht="12">
      <c r="E53" s="86"/>
      <c r="F53" s="168"/>
      <c r="H53" s="108"/>
      <c r="I53" s="108"/>
      <c r="J53" s="108"/>
      <c r="K53" s="108"/>
      <c r="L53" s="108"/>
    </row>
    <row r="54" spans="1:12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</row>
    <row r="55" spans="1:13" s="92" customFormat="1" ht="12">
      <c r="A55" s="84"/>
      <c r="B55" s="84"/>
      <c r="C55" s="84"/>
      <c r="D55" s="84"/>
      <c r="E55" s="90"/>
      <c r="F55" s="37"/>
      <c r="M55" s="80"/>
    </row>
    <row r="56" spans="1:13" s="92" customFormat="1" ht="12">
      <c r="A56" s="84"/>
      <c r="B56" s="84"/>
      <c r="C56" s="84"/>
      <c r="D56" s="84"/>
      <c r="E56" s="90"/>
      <c r="F56" s="37"/>
      <c r="M56" s="80"/>
    </row>
    <row r="57" spans="1:13" s="92" customFormat="1" ht="12">
      <c r="A57" s="84"/>
      <c r="B57" s="84"/>
      <c r="C57" s="84"/>
      <c r="D57" s="84"/>
      <c r="E57" s="90"/>
      <c r="F57" s="37"/>
      <c r="M57" s="80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9" sqref="A9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25390625" style="37" customWidth="1"/>
    <col min="7" max="7" width="5.125" style="0" hidden="1" customWidth="1"/>
    <col min="8" max="8" width="11.25390625" style="92" customWidth="1"/>
    <col min="9" max="11" width="8.00390625" style="92" customWidth="1"/>
    <col min="12" max="12" width="8.125" style="92" customWidth="1"/>
    <col min="13" max="13" width="9.62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89</v>
      </c>
      <c r="D2" s="432"/>
      <c r="E2" s="10" t="s">
        <v>6</v>
      </c>
      <c r="F2" s="16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>SUM(F5:F27)</f>
        <v>167560000</v>
      </c>
      <c r="G3" s="114">
        <f aca="true" t="shared" si="0" ref="G3:M3">SUM(G5:G27)</f>
        <v>0</v>
      </c>
      <c r="H3" s="115">
        <f t="shared" si="0"/>
        <v>167560000</v>
      </c>
      <c r="I3" s="116">
        <f t="shared" si="0"/>
        <v>0</v>
      </c>
      <c r="J3" s="116">
        <f t="shared" si="0"/>
        <v>0</v>
      </c>
      <c r="K3" s="116">
        <f t="shared" si="0"/>
        <v>0</v>
      </c>
      <c r="L3" s="115">
        <f t="shared" si="0"/>
        <v>0</v>
      </c>
      <c r="M3" s="117">
        <f t="shared" si="0"/>
        <v>152400619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>SUM(F5:F15)</f>
        <v>131210000</v>
      </c>
      <c r="G4" s="119">
        <f aca="true" t="shared" si="1" ref="G4:M4">SUM(G5:G15)</f>
        <v>0</v>
      </c>
      <c r="H4" s="120">
        <f t="shared" si="1"/>
        <v>131210000</v>
      </c>
      <c r="I4" s="121">
        <f t="shared" si="1"/>
        <v>0</v>
      </c>
      <c r="J4" s="121">
        <f t="shared" si="1"/>
        <v>0</v>
      </c>
      <c r="K4" s="121">
        <f t="shared" si="1"/>
        <v>0</v>
      </c>
      <c r="L4" s="120">
        <f t="shared" si="1"/>
        <v>0</v>
      </c>
      <c r="M4" s="122">
        <f t="shared" si="1"/>
        <v>127012065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63">
        <f>SUM(H5:L5)</f>
        <v>30000000</v>
      </c>
      <c r="G5" s="124"/>
      <c r="H5" s="186">
        <v>30000000</v>
      </c>
      <c r="I5" s="125"/>
      <c r="J5" s="126"/>
      <c r="K5" s="126"/>
      <c r="L5" s="127"/>
      <c r="M5" s="128">
        <v>29728750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63">
        <f aca="true" t="shared" si="2" ref="F6:F45">SUM(H6:L6)</f>
        <v>500000</v>
      </c>
      <c r="G6" s="124"/>
      <c r="H6" s="172">
        <v>500000</v>
      </c>
      <c r="I6" s="125"/>
      <c r="J6" s="126"/>
      <c r="K6" s="126"/>
      <c r="L6" s="127"/>
      <c r="M6" s="128">
        <v>485655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63">
        <f t="shared" si="2"/>
        <v>11100000</v>
      </c>
      <c r="G7" s="124"/>
      <c r="H7" s="172">
        <v>11100000</v>
      </c>
      <c r="I7" s="125"/>
      <c r="J7" s="126"/>
      <c r="K7" s="126"/>
      <c r="L7" s="127"/>
      <c r="M7" s="128">
        <v>10515164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63">
        <f t="shared" si="2"/>
        <v>29600000</v>
      </c>
      <c r="G8" s="124"/>
      <c r="H8" s="172">
        <v>29600000</v>
      </c>
      <c r="I8" s="125"/>
      <c r="J8" s="126"/>
      <c r="K8" s="126"/>
      <c r="L8" s="127"/>
      <c r="M8" s="128">
        <v>28670059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63">
        <f t="shared" si="2"/>
        <v>13000000</v>
      </c>
      <c r="G9" s="124"/>
      <c r="H9" s="172">
        <v>13000000</v>
      </c>
      <c r="I9" s="125"/>
      <c r="J9" s="126"/>
      <c r="K9" s="126"/>
      <c r="L9" s="127"/>
      <c r="M9" s="128">
        <v>13074773</v>
      </c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63">
        <f t="shared" si="2"/>
        <v>20000000</v>
      </c>
      <c r="G10" s="124"/>
      <c r="H10" s="172">
        <v>20000000</v>
      </c>
      <c r="I10" s="125"/>
      <c r="J10" s="126"/>
      <c r="K10" s="126"/>
      <c r="L10" s="127"/>
      <c r="M10" s="128">
        <v>22085350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63">
        <f t="shared" si="2"/>
        <v>22000000</v>
      </c>
      <c r="G11" s="124"/>
      <c r="H11" s="172">
        <v>22000000</v>
      </c>
      <c r="I11" s="125"/>
      <c r="J11" s="126"/>
      <c r="K11" s="126"/>
      <c r="L11" s="127"/>
      <c r="M11" s="128">
        <v>17429516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63">
        <f t="shared" si="2"/>
        <v>110000</v>
      </c>
      <c r="G12" s="124"/>
      <c r="H12" s="172">
        <v>110000</v>
      </c>
      <c r="I12" s="125"/>
      <c r="J12" s="126"/>
      <c r="K12" s="126"/>
      <c r="L12" s="127"/>
      <c r="M12" s="128">
        <v>102644</v>
      </c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63">
        <f t="shared" si="2"/>
        <v>10900000</v>
      </c>
      <c r="G13" s="124"/>
      <c r="H13" s="172">
        <v>10900000</v>
      </c>
      <c r="I13" s="125"/>
      <c r="J13" s="126"/>
      <c r="K13" s="126"/>
      <c r="L13" s="127"/>
      <c r="M13" s="128">
        <v>10651995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63">
        <f t="shared" si="2"/>
        <v>0</v>
      </c>
      <c r="G14" s="124"/>
      <c r="H14" s="172">
        <v>0</v>
      </c>
      <c r="I14" s="125"/>
      <c r="J14" s="126"/>
      <c r="K14" s="126"/>
      <c r="L14" s="127"/>
      <c r="M14" s="128">
        <v>0</v>
      </c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63">
        <f t="shared" si="2"/>
        <v>-6000000</v>
      </c>
      <c r="G15" s="124"/>
      <c r="H15" s="172">
        <v>-6000000</v>
      </c>
      <c r="I15" s="125"/>
      <c r="J15" s="126"/>
      <c r="K15" s="126"/>
      <c r="L15" s="127"/>
      <c r="M15" s="128">
        <v>-5731841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0</v>
      </c>
      <c r="G16" s="130"/>
      <c r="H16" s="131"/>
      <c r="I16" s="131"/>
      <c r="J16" s="132"/>
      <c r="K16" s="132"/>
      <c r="L16" s="133"/>
      <c r="M16" s="134">
        <v>0</v>
      </c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0</v>
      </c>
      <c r="G17" s="130"/>
      <c r="H17" s="131"/>
      <c r="I17" s="131"/>
      <c r="J17" s="132"/>
      <c r="K17" s="132"/>
      <c r="L17" s="133"/>
      <c r="M17" s="134">
        <v>731000</v>
      </c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0</v>
      </c>
      <c r="G18" s="130"/>
      <c r="H18" s="131"/>
      <c r="I18" s="131"/>
      <c r="J18" s="132"/>
      <c r="K18" s="132"/>
      <c r="L18" s="133"/>
      <c r="M18" s="134"/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/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2"/>
        <v>0</v>
      </c>
      <c r="G22" s="130"/>
      <c r="H22" s="133"/>
      <c r="I22" s="132"/>
      <c r="J22" s="132"/>
      <c r="K22" s="132"/>
      <c r="L22" s="133"/>
      <c r="M22" s="134"/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/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2"/>
        <v>0</v>
      </c>
      <c r="G24" s="130"/>
      <c r="H24" s="133"/>
      <c r="I24" s="132"/>
      <c r="J24" s="132"/>
      <c r="K24" s="132"/>
      <c r="L24" s="133"/>
      <c r="M24" s="134"/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/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36350000</v>
      </c>
      <c r="G27" s="130"/>
      <c r="H27" s="133">
        <v>36350000</v>
      </c>
      <c r="I27" s="132"/>
      <c r="J27" s="132"/>
      <c r="K27" s="132"/>
      <c r="L27" s="133"/>
      <c r="M27" s="134">
        <v>24657554</v>
      </c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>SUM(F29:F45)</f>
        <v>170601000</v>
      </c>
      <c r="G28" s="114">
        <f aca="true" t="shared" si="3" ref="G28:M28">SUM(G29:G45)</f>
        <v>0</v>
      </c>
      <c r="H28" s="115">
        <f t="shared" si="3"/>
        <v>170601000</v>
      </c>
      <c r="I28" s="116">
        <f t="shared" si="3"/>
        <v>0</v>
      </c>
      <c r="J28" s="116">
        <f t="shared" si="3"/>
        <v>0</v>
      </c>
      <c r="K28" s="116">
        <f t="shared" si="3"/>
        <v>0</v>
      </c>
      <c r="L28" s="115">
        <f t="shared" si="3"/>
        <v>0</v>
      </c>
      <c r="M28" s="117">
        <f t="shared" si="3"/>
        <v>155220335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40">
        <v>27</v>
      </c>
      <c r="F29" s="164">
        <f t="shared" si="2"/>
        <v>0</v>
      </c>
      <c r="G29" s="119"/>
      <c r="H29" s="120"/>
      <c r="I29" s="121"/>
      <c r="J29" s="121"/>
      <c r="K29" s="121"/>
      <c r="L29" s="120"/>
      <c r="M29" s="122">
        <v>0</v>
      </c>
    </row>
    <row r="30" spans="1:13" s="37" customFormat="1" ht="12">
      <c r="A30" s="28"/>
      <c r="B30" s="47" t="s">
        <v>29</v>
      </c>
      <c r="C30" s="47"/>
      <c r="D30" s="47"/>
      <c r="E30" s="40">
        <v>28</v>
      </c>
      <c r="F30" s="164">
        <f t="shared" si="2"/>
        <v>0</v>
      </c>
      <c r="G30" s="135"/>
      <c r="H30" s="136"/>
      <c r="I30" s="137"/>
      <c r="J30" s="137"/>
      <c r="K30" s="137"/>
      <c r="L30" s="136"/>
      <c r="M30" s="138">
        <v>0</v>
      </c>
    </row>
    <row r="31" spans="1:13" s="37" customFormat="1" ht="12">
      <c r="A31" s="28"/>
      <c r="B31" s="47" t="s">
        <v>31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>
        <v>731000</v>
      </c>
    </row>
    <row r="32" spans="1:13" s="37" customFormat="1" ht="12">
      <c r="A32" s="28"/>
      <c r="B32" s="48" t="s">
        <v>33</v>
      </c>
      <c r="C32" s="49"/>
      <c r="D32" s="49"/>
      <c r="E32" s="50">
        <v>30</v>
      </c>
      <c r="F32" s="164">
        <f t="shared" si="2"/>
        <v>0</v>
      </c>
      <c r="G32" s="135"/>
      <c r="H32" s="136"/>
      <c r="I32" s="137"/>
      <c r="J32" s="137"/>
      <c r="K32" s="137"/>
      <c r="L32" s="136"/>
      <c r="M32" s="138">
        <v>0</v>
      </c>
    </row>
    <row r="33" spans="1:13" s="37" customFormat="1" ht="12">
      <c r="A33" s="28"/>
      <c r="B33" s="48" t="s">
        <v>35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>
        <v>0</v>
      </c>
    </row>
    <row r="34" spans="1:13" s="37" customFormat="1" ht="12">
      <c r="A34" s="28"/>
      <c r="B34" s="48" t="s">
        <v>55</v>
      </c>
      <c r="C34" s="48"/>
      <c r="D34" s="48"/>
      <c r="E34" s="50">
        <v>32</v>
      </c>
      <c r="F34" s="164">
        <f t="shared" si="2"/>
        <v>16708000</v>
      </c>
      <c r="G34" s="135"/>
      <c r="H34" s="136">
        <v>16708000</v>
      </c>
      <c r="I34" s="137"/>
      <c r="J34" s="137"/>
      <c r="K34" s="137"/>
      <c r="L34" s="136"/>
      <c r="M34" s="138">
        <v>16674000</v>
      </c>
    </row>
    <row r="35" spans="1:13" s="37" customFormat="1" ht="12">
      <c r="A35" s="28"/>
      <c r="B35" s="48" t="s">
        <v>37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>
        <v>0</v>
      </c>
    </row>
    <row r="36" spans="1:13" s="37" customFormat="1" ht="12">
      <c r="A36" s="28"/>
      <c r="B36" s="48" t="s">
        <v>39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>
        <v>0</v>
      </c>
    </row>
    <row r="37" spans="1:13" s="37" customFormat="1" ht="12">
      <c r="A37" s="28"/>
      <c r="B37" s="48" t="s">
        <v>57</v>
      </c>
      <c r="C37" s="48"/>
      <c r="D37" s="48"/>
      <c r="E37" s="50">
        <v>35</v>
      </c>
      <c r="F37" s="164">
        <f t="shared" si="2"/>
        <v>0</v>
      </c>
      <c r="G37" s="135"/>
      <c r="H37" s="136"/>
      <c r="I37" s="137"/>
      <c r="J37" s="137"/>
      <c r="K37" s="137"/>
      <c r="L37" s="136"/>
      <c r="M37" s="138">
        <v>0</v>
      </c>
    </row>
    <row r="38" spans="1:13" s="37" customFormat="1" ht="12">
      <c r="A38" s="28"/>
      <c r="B38" s="48" t="s">
        <v>58</v>
      </c>
      <c r="C38" s="48"/>
      <c r="D38" s="48"/>
      <c r="E38" s="50">
        <v>36</v>
      </c>
      <c r="F38" s="164">
        <f t="shared" si="2"/>
        <v>0</v>
      </c>
      <c r="G38" s="135"/>
      <c r="H38" s="136"/>
      <c r="I38" s="137"/>
      <c r="J38" s="137"/>
      <c r="K38" s="137"/>
      <c r="L38" s="136"/>
      <c r="M38" s="138">
        <v>0</v>
      </c>
    </row>
    <row r="39" spans="1:13" s="37" customFormat="1" ht="12">
      <c r="A39" s="28"/>
      <c r="B39" s="48" t="s">
        <v>60</v>
      </c>
      <c r="C39" s="48"/>
      <c r="D39" s="48"/>
      <c r="E39" s="50">
        <v>37</v>
      </c>
      <c r="F39" s="164">
        <f t="shared" si="2"/>
        <v>0</v>
      </c>
      <c r="G39" s="135"/>
      <c r="H39" s="136"/>
      <c r="I39" s="137"/>
      <c r="J39" s="137"/>
      <c r="K39" s="137"/>
      <c r="L39" s="136"/>
      <c r="M39" s="138">
        <v>0</v>
      </c>
    </row>
    <row r="40" spans="1:13" s="37" customFormat="1" ht="12">
      <c r="A40" s="28"/>
      <c r="B40" s="48" t="s">
        <v>61</v>
      </c>
      <c r="C40" s="48"/>
      <c r="D40" s="48"/>
      <c r="E40" s="50">
        <v>38</v>
      </c>
      <c r="F40" s="164">
        <f t="shared" si="2"/>
        <v>0</v>
      </c>
      <c r="G40" s="135"/>
      <c r="H40" s="136"/>
      <c r="I40" s="137"/>
      <c r="J40" s="137"/>
      <c r="K40" s="137"/>
      <c r="L40" s="136"/>
      <c r="M40" s="138">
        <v>0</v>
      </c>
    </row>
    <row r="41" spans="1:13" s="37" customFormat="1" ht="12">
      <c r="A41" s="28"/>
      <c r="B41" s="48" t="s">
        <v>46</v>
      </c>
      <c r="C41" s="48"/>
      <c r="D41" s="48"/>
      <c r="E41" s="50">
        <v>39</v>
      </c>
      <c r="F41" s="164">
        <f t="shared" si="2"/>
        <v>0</v>
      </c>
      <c r="G41" s="135"/>
      <c r="H41" s="136"/>
      <c r="I41" s="137"/>
      <c r="J41" s="137"/>
      <c r="K41" s="137"/>
      <c r="L41" s="136"/>
      <c r="M41" s="138">
        <v>0</v>
      </c>
    </row>
    <row r="42" spans="1:13" s="37" customFormat="1" ht="12">
      <c r="A42" s="28"/>
      <c r="B42" s="48" t="s">
        <v>62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>
        <v>0</v>
      </c>
    </row>
    <row r="43" spans="1:13" s="37" customFormat="1" ht="12">
      <c r="A43" s="28"/>
      <c r="B43" s="48" t="s">
        <v>63</v>
      </c>
      <c r="C43" s="48"/>
      <c r="D43" s="48"/>
      <c r="E43" s="50">
        <v>41</v>
      </c>
      <c r="F43" s="164">
        <f t="shared" si="2"/>
        <v>112891000</v>
      </c>
      <c r="G43" s="135"/>
      <c r="H43" s="136">
        <v>112891000</v>
      </c>
      <c r="I43" s="137"/>
      <c r="J43" s="137"/>
      <c r="K43" s="137"/>
      <c r="L43" s="136"/>
      <c r="M43" s="138">
        <v>103647865</v>
      </c>
    </row>
    <row r="44" spans="1:13" s="37" customFormat="1" ht="12">
      <c r="A44" s="28"/>
      <c r="B44" s="48" t="s">
        <v>64</v>
      </c>
      <c r="C44" s="48"/>
      <c r="D44" s="48"/>
      <c r="E44" s="50">
        <v>42</v>
      </c>
      <c r="F44" s="164">
        <f t="shared" si="2"/>
        <v>0</v>
      </c>
      <c r="G44" s="135"/>
      <c r="H44" s="139" t="s">
        <v>99</v>
      </c>
      <c r="I44" s="137"/>
      <c r="J44" s="137"/>
      <c r="K44" s="137"/>
      <c r="L44" s="136"/>
      <c r="M44" s="138">
        <v>0</v>
      </c>
    </row>
    <row r="45" spans="1:13" s="37" customFormat="1" ht="12">
      <c r="A45" s="65"/>
      <c r="B45" s="66" t="s">
        <v>50</v>
      </c>
      <c r="C45" s="66"/>
      <c r="D45" s="66"/>
      <c r="E45" s="67">
        <v>43</v>
      </c>
      <c r="F45" s="165">
        <f t="shared" si="2"/>
        <v>41002000</v>
      </c>
      <c r="G45" s="141"/>
      <c r="H45" s="142">
        <v>41002000</v>
      </c>
      <c r="I45" s="143"/>
      <c r="J45" s="143"/>
      <c r="K45" s="143"/>
      <c r="L45" s="142"/>
      <c r="M45" s="144">
        <v>34167470</v>
      </c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47">
        <f>F29+F34+F38+F43+F44+F45-F4-F27</f>
        <v>3041000</v>
      </c>
      <c r="G46" s="146">
        <f>G29+G34+G38+G43+G44+G45+-G4-G27</f>
        <v>0</v>
      </c>
      <c r="H46" s="146">
        <f>H29+H34+H38+H43+H45-H4-H27</f>
        <v>3041000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2819716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61">
        <f>F28-F3</f>
        <v>3041000</v>
      </c>
      <c r="G47" s="114">
        <f aca="true" t="shared" si="4" ref="G47:M47">G28-G3</f>
        <v>0</v>
      </c>
      <c r="H47" s="115">
        <f t="shared" si="4"/>
        <v>3041000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2819716</v>
      </c>
    </row>
    <row r="48" spans="1:5" ht="12.75">
      <c r="A48" s="80"/>
      <c r="B48" s="80"/>
      <c r="C48" s="80"/>
      <c r="D48" s="80"/>
      <c r="E48" s="81"/>
    </row>
    <row r="49" spans="5:13" s="80" customFormat="1" ht="12"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>
      <c r="A50" s="84" t="s">
        <v>100</v>
      </c>
      <c r="E50" s="81"/>
      <c r="F50" s="167"/>
      <c r="H50" s="92"/>
      <c r="J50" s="156"/>
      <c r="L50" s="92"/>
      <c r="M50" s="92"/>
    </row>
    <row r="51" spans="5:13" s="84" customFormat="1" ht="12">
      <c r="E51" s="86"/>
      <c r="F51" s="168"/>
      <c r="H51" s="108"/>
      <c r="I51" s="108"/>
      <c r="J51" s="108"/>
      <c r="K51" s="108"/>
      <c r="L51" s="108"/>
      <c r="M51" s="108"/>
    </row>
    <row r="52" spans="5:13" s="84" customFormat="1" ht="12">
      <c r="E52" s="86"/>
      <c r="F52" s="168"/>
      <c r="H52" s="108"/>
      <c r="I52" s="108"/>
      <c r="J52" s="108"/>
      <c r="K52" s="108"/>
      <c r="L52" s="108"/>
      <c r="M52" s="108"/>
    </row>
    <row r="53" spans="5:13" s="84" customFormat="1" ht="12">
      <c r="E53" s="86"/>
      <c r="F53" s="168"/>
      <c r="H53" s="108"/>
      <c r="I53" s="108"/>
      <c r="J53" s="108"/>
      <c r="K53" s="108"/>
      <c r="L53" s="108"/>
      <c r="M53" s="108"/>
    </row>
    <row r="54" spans="1:13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</row>
    <row r="55" spans="1:6" s="92" customFormat="1" ht="12">
      <c r="A55" s="84"/>
      <c r="B55" s="84"/>
      <c r="C55" s="84"/>
      <c r="D55" s="84"/>
      <c r="E55" s="90"/>
      <c r="F55" s="37"/>
    </row>
    <row r="56" spans="1:6" s="92" customFormat="1" ht="12">
      <c r="A56" s="84"/>
      <c r="B56" s="84"/>
      <c r="C56" s="84"/>
      <c r="D56" s="84"/>
      <c r="E56" s="90"/>
      <c r="F56" s="37"/>
    </row>
    <row r="57" spans="1:6" s="92" customFormat="1" ht="12">
      <c r="A57" s="84"/>
      <c r="B57" s="84"/>
      <c r="C57" s="84"/>
      <c r="D57" s="84"/>
      <c r="E57" s="90"/>
      <c r="F57" s="37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A1">
      <selection activeCell="A8" sqref="A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0.00390625" style="37" customWidth="1"/>
    <col min="7" max="7" width="5.125" style="0" hidden="1" customWidth="1"/>
    <col min="8" max="8" width="9.375" style="92" customWidth="1"/>
    <col min="9" max="10" width="7.125" style="92" customWidth="1"/>
    <col min="11" max="12" width="6.375" style="92" customWidth="1"/>
    <col min="13" max="13" width="9.00390625" style="92" customWidth="1"/>
    <col min="14" max="14" width="5.375" style="0" customWidth="1"/>
    <col min="15" max="15" width="6.75390625" style="92" customWidth="1"/>
    <col min="16" max="16" width="6.875" style="92" customWidth="1"/>
    <col min="17" max="17" width="6.25390625" style="92" customWidth="1"/>
    <col min="18" max="18" width="6.125" style="92" customWidth="1"/>
    <col min="19" max="19" width="5.375" style="92" customWidth="1"/>
    <col min="20" max="20" width="7.125" style="92" customWidth="1"/>
    <col min="21" max="21" width="3.25390625" style="92" customWidth="1"/>
    <col min="22" max="23" width="6.375" style="92" customWidth="1"/>
  </cols>
  <sheetData>
    <row r="1" spans="15:23" ht="23.25" thickBot="1">
      <c r="O1" s="241" t="s">
        <v>101</v>
      </c>
      <c r="P1" s="241" t="s">
        <v>102</v>
      </c>
      <c r="Q1" s="241" t="s">
        <v>103</v>
      </c>
      <c r="R1" s="241" t="s">
        <v>104</v>
      </c>
      <c r="S1" s="241" t="s">
        <v>115</v>
      </c>
      <c r="T1" s="241" t="s">
        <v>105</v>
      </c>
      <c r="V1" s="228" t="s">
        <v>106</v>
      </c>
      <c r="W1" s="228" t="s">
        <v>106</v>
      </c>
    </row>
    <row r="2" spans="1:23" ht="15.75" customHeight="1">
      <c r="A2" s="425" t="s">
        <v>0</v>
      </c>
      <c r="B2" s="426"/>
      <c r="C2" s="426"/>
      <c r="D2" s="427"/>
      <c r="E2" s="1"/>
      <c r="F2" s="159" t="s">
        <v>1</v>
      </c>
      <c r="G2" s="4" t="s">
        <v>2</v>
      </c>
      <c r="H2" s="101" t="s">
        <v>3</v>
      </c>
      <c r="I2" s="428" t="s">
        <v>4</v>
      </c>
      <c r="J2" s="429"/>
      <c r="K2" s="429"/>
      <c r="L2" s="430"/>
      <c r="M2" s="102" t="s">
        <v>5</v>
      </c>
      <c r="O2" s="229" t="s">
        <v>107</v>
      </c>
      <c r="P2" s="229" t="s">
        <v>108</v>
      </c>
      <c r="Q2" s="229" t="s">
        <v>109</v>
      </c>
      <c r="R2" s="229"/>
      <c r="S2" s="229">
        <v>7201</v>
      </c>
      <c r="T2" s="229" t="s">
        <v>110</v>
      </c>
      <c r="V2" s="229" t="s">
        <v>111</v>
      </c>
      <c r="W2" s="229" t="s">
        <v>112</v>
      </c>
    </row>
    <row r="3" spans="1:23" s="18" customFormat="1" ht="13.5" thickBot="1">
      <c r="A3" s="7" t="s">
        <v>76</v>
      </c>
      <c r="B3" s="8"/>
      <c r="C3" s="431" t="s">
        <v>90</v>
      </c>
      <c r="D3" s="432"/>
      <c r="E3" s="10" t="s">
        <v>6</v>
      </c>
      <c r="F3" s="160">
        <v>2007</v>
      </c>
      <c r="G3" s="13" t="s">
        <v>8</v>
      </c>
      <c r="H3" s="103" t="s">
        <v>9</v>
      </c>
      <c r="I3" s="104" t="s">
        <v>10</v>
      </c>
      <c r="J3" s="105" t="s">
        <v>11</v>
      </c>
      <c r="K3" s="105" t="s">
        <v>12</v>
      </c>
      <c r="L3" s="105" t="s">
        <v>13</v>
      </c>
      <c r="M3" s="106">
        <v>2006</v>
      </c>
      <c r="O3" s="230">
        <v>3</v>
      </c>
      <c r="P3" s="230">
        <v>4</v>
      </c>
      <c r="Q3" s="230">
        <v>5</v>
      </c>
      <c r="R3" s="230">
        <v>6</v>
      </c>
      <c r="S3" s="230">
        <v>7</v>
      </c>
      <c r="T3" s="230">
        <v>8</v>
      </c>
      <c r="U3" s="92"/>
      <c r="V3" s="230" t="s">
        <v>113</v>
      </c>
      <c r="W3" s="230" t="s">
        <v>114</v>
      </c>
    </row>
    <row r="4" spans="1:23" ht="13.5" thickBot="1">
      <c r="A4" s="19" t="s">
        <v>14</v>
      </c>
      <c r="B4" s="20"/>
      <c r="C4" s="20"/>
      <c r="D4" s="20"/>
      <c r="E4" s="21">
        <v>1</v>
      </c>
      <c r="F4" s="161">
        <f>SUM(F6:F28)</f>
        <v>30062000</v>
      </c>
      <c r="G4" s="114">
        <f aca="true" t="shared" si="0" ref="G4:M4">SUM(G6:G28)</f>
        <v>0</v>
      </c>
      <c r="H4" s="115">
        <f t="shared" si="0"/>
        <v>30062000</v>
      </c>
      <c r="I4" s="116">
        <f t="shared" si="0"/>
        <v>0</v>
      </c>
      <c r="J4" s="116">
        <f t="shared" si="0"/>
        <v>0</v>
      </c>
      <c r="K4" s="116">
        <f t="shared" si="0"/>
        <v>0</v>
      </c>
      <c r="L4" s="115">
        <f t="shared" si="0"/>
        <v>0</v>
      </c>
      <c r="M4" s="117">
        <f t="shared" si="0"/>
        <v>14601234</v>
      </c>
      <c r="O4" s="231">
        <f aca="true" t="shared" si="1" ref="O4:T4">SUM(O6:O26)</f>
        <v>50284</v>
      </c>
      <c r="P4" s="231">
        <f t="shared" si="1"/>
        <v>-50284</v>
      </c>
      <c r="Q4" s="231">
        <f t="shared" si="1"/>
        <v>0</v>
      </c>
      <c r="R4" s="231">
        <f t="shared" si="1"/>
        <v>30000</v>
      </c>
      <c r="S4" s="231">
        <f t="shared" si="1"/>
        <v>62</v>
      </c>
      <c r="T4" s="231">
        <f t="shared" si="1"/>
        <v>30062</v>
      </c>
      <c r="V4" s="231">
        <f>SUM(V6:V26)</f>
        <v>22165</v>
      </c>
      <c r="W4" s="231">
        <f>SUM(W6:W26)</f>
        <v>28119</v>
      </c>
    </row>
    <row r="5" spans="1:23" s="37" customFormat="1" ht="12">
      <c r="A5" s="28" t="s">
        <v>15</v>
      </c>
      <c r="B5" s="29" t="s">
        <v>16</v>
      </c>
      <c r="C5" s="29"/>
      <c r="D5" s="29"/>
      <c r="E5" s="30">
        <v>2</v>
      </c>
      <c r="F5" s="162">
        <f>SUM(F6:F16)</f>
        <v>30062000</v>
      </c>
      <c r="G5" s="119">
        <f aca="true" t="shared" si="2" ref="G5:M5">SUM(G6:G16)</f>
        <v>0</v>
      </c>
      <c r="H5" s="120">
        <f t="shared" si="2"/>
        <v>30062000</v>
      </c>
      <c r="I5" s="121">
        <f t="shared" si="2"/>
        <v>0</v>
      </c>
      <c r="J5" s="121">
        <f t="shared" si="2"/>
        <v>0</v>
      </c>
      <c r="K5" s="121">
        <f t="shared" si="2"/>
        <v>0</v>
      </c>
      <c r="L5" s="120">
        <f t="shared" si="2"/>
        <v>0</v>
      </c>
      <c r="M5" s="122">
        <f t="shared" si="2"/>
        <v>14601234</v>
      </c>
      <c r="O5" s="232">
        <f aca="true" t="shared" si="3" ref="O5:T5">SUM(O6:O16)</f>
        <v>50284</v>
      </c>
      <c r="P5" s="232">
        <f t="shared" si="3"/>
        <v>-50284</v>
      </c>
      <c r="Q5" s="232">
        <f t="shared" si="3"/>
        <v>0</v>
      </c>
      <c r="R5" s="232">
        <f t="shared" si="3"/>
        <v>30000</v>
      </c>
      <c r="S5" s="232">
        <f t="shared" si="3"/>
        <v>62</v>
      </c>
      <c r="T5" s="232">
        <f t="shared" si="3"/>
        <v>30062</v>
      </c>
      <c r="U5" s="92"/>
      <c r="V5" s="232">
        <f>SUM(V6:V16)</f>
        <v>22165</v>
      </c>
      <c r="W5" s="232">
        <f>SUM(W6:W16)</f>
        <v>28119</v>
      </c>
    </row>
    <row r="6" spans="1:23" s="98" customFormat="1" ht="12">
      <c r="A6" s="94"/>
      <c r="B6" s="95"/>
      <c r="C6" s="95" t="s">
        <v>17</v>
      </c>
      <c r="D6" s="96" t="s">
        <v>18</v>
      </c>
      <c r="E6" s="97">
        <v>3</v>
      </c>
      <c r="F6" s="163">
        <f>SUM(H6:L6)</f>
        <v>0</v>
      </c>
      <c r="G6" s="124"/>
      <c r="H6" s="125"/>
      <c r="I6" s="125"/>
      <c r="J6" s="126"/>
      <c r="K6" s="126"/>
      <c r="L6" s="127"/>
      <c r="M6" s="128"/>
      <c r="O6" s="234">
        <v>6650</v>
      </c>
      <c r="P6" s="234">
        <v>-6650</v>
      </c>
      <c r="Q6" s="235">
        <f>O6+P6</f>
        <v>0</v>
      </c>
      <c r="R6" s="236"/>
      <c r="S6" s="236"/>
      <c r="T6" s="235">
        <f aca="true" t="shared" si="4" ref="T6:T26">SUM(Q6:S6)</f>
        <v>0</v>
      </c>
      <c r="U6" s="242"/>
      <c r="V6" s="234">
        <v>3011</v>
      </c>
      <c r="W6" s="234">
        <v>3639</v>
      </c>
    </row>
    <row r="7" spans="1:23" s="98" customFormat="1" ht="12">
      <c r="A7" s="94"/>
      <c r="B7" s="95"/>
      <c r="C7" s="95"/>
      <c r="D7" s="96" t="s">
        <v>19</v>
      </c>
      <c r="E7" s="97">
        <v>4</v>
      </c>
      <c r="F7" s="163">
        <f aca="true" t="shared" si="5" ref="F7:F46">SUM(H7:L7)</f>
        <v>0</v>
      </c>
      <c r="G7" s="124"/>
      <c r="H7" s="125"/>
      <c r="I7" s="125"/>
      <c r="J7" s="126"/>
      <c r="K7" s="126"/>
      <c r="L7" s="127"/>
      <c r="M7" s="128"/>
      <c r="O7" s="234">
        <v>0</v>
      </c>
      <c r="P7" s="234">
        <v>0</v>
      </c>
      <c r="Q7" s="235">
        <f aca="true" t="shared" si="6" ref="Q7:Q26">O7+P7</f>
        <v>0</v>
      </c>
      <c r="R7" s="236"/>
      <c r="S7" s="236"/>
      <c r="T7" s="235">
        <f t="shared" si="4"/>
        <v>0</v>
      </c>
      <c r="U7" s="242"/>
      <c r="V7" s="234">
        <v>0</v>
      </c>
      <c r="W7" s="234">
        <v>0</v>
      </c>
    </row>
    <row r="8" spans="1:23" s="98" customFormat="1" ht="12">
      <c r="A8" s="94"/>
      <c r="B8" s="95"/>
      <c r="C8" s="95"/>
      <c r="D8" s="96" t="s">
        <v>20</v>
      </c>
      <c r="E8" s="97">
        <v>5</v>
      </c>
      <c r="F8" s="163">
        <f t="shared" si="5"/>
        <v>0</v>
      </c>
      <c r="G8" s="124"/>
      <c r="H8" s="125"/>
      <c r="I8" s="125"/>
      <c r="J8" s="126"/>
      <c r="K8" s="126"/>
      <c r="L8" s="127"/>
      <c r="M8" s="128"/>
      <c r="O8" s="234">
        <v>2327</v>
      </c>
      <c r="P8" s="234">
        <v>-2327</v>
      </c>
      <c r="Q8" s="235">
        <f t="shared" si="6"/>
        <v>0</v>
      </c>
      <c r="R8" s="236"/>
      <c r="S8" s="236"/>
      <c r="T8" s="235">
        <f t="shared" si="4"/>
        <v>0</v>
      </c>
      <c r="U8" s="242"/>
      <c r="V8" s="234">
        <v>1053</v>
      </c>
      <c r="W8" s="234">
        <v>1274</v>
      </c>
    </row>
    <row r="9" spans="1:23" s="98" customFormat="1" ht="12">
      <c r="A9" s="94"/>
      <c r="B9" s="95"/>
      <c r="C9" s="95"/>
      <c r="D9" s="96" t="s">
        <v>21</v>
      </c>
      <c r="E9" s="97">
        <v>6</v>
      </c>
      <c r="F9" s="163">
        <f t="shared" si="5"/>
        <v>0</v>
      </c>
      <c r="G9" s="124"/>
      <c r="H9" s="125"/>
      <c r="I9" s="125"/>
      <c r="J9" s="126"/>
      <c r="K9" s="126"/>
      <c r="L9" s="127"/>
      <c r="M9" s="128">
        <v>460</v>
      </c>
      <c r="O9" s="234">
        <v>22720</v>
      </c>
      <c r="P9" s="234">
        <v>-22720</v>
      </c>
      <c r="Q9" s="235">
        <f t="shared" si="6"/>
        <v>0</v>
      </c>
      <c r="R9" s="236"/>
      <c r="S9" s="236"/>
      <c r="T9" s="235">
        <f t="shared" si="4"/>
        <v>0</v>
      </c>
      <c r="U9" s="242"/>
      <c r="V9" s="234">
        <v>10030</v>
      </c>
      <c r="W9" s="234">
        <v>12690</v>
      </c>
    </row>
    <row r="10" spans="1:23" s="98" customFormat="1" ht="12">
      <c r="A10" s="94"/>
      <c r="B10" s="95"/>
      <c r="C10" s="95"/>
      <c r="D10" s="96" t="s">
        <v>22</v>
      </c>
      <c r="E10" s="97">
        <v>7</v>
      </c>
      <c r="F10" s="163">
        <f t="shared" si="5"/>
        <v>0</v>
      </c>
      <c r="G10" s="124"/>
      <c r="H10" s="125"/>
      <c r="I10" s="125"/>
      <c r="J10" s="126"/>
      <c r="K10" s="126"/>
      <c r="L10" s="127"/>
      <c r="M10" s="128">
        <v>37630</v>
      </c>
      <c r="O10" s="234">
        <v>3240</v>
      </c>
      <c r="P10" s="234">
        <v>-3240</v>
      </c>
      <c r="Q10" s="235">
        <f t="shared" si="6"/>
        <v>0</v>
      </c>
      <c r="R10" s="236"/>
      <c r="S10" s="236"/>
      <c r="T10" s="235">
        <f t="shared" si="4"/>
        <v>0</v>
      </c>
      <c r="U10" s="242"/>
      <c r="V10" s="234">
        <v>1350</v>
      </c>
      <c r="W10" s="234">
        <v>1890</v>
      </c>
    </row>
    <row r="11" spans="1:23" s="98" customFormat="1" ht="12">
      <c r="A11" s="94"/>
      <c r="B11" s="95"/>
      <c r="C11" s="95"/>
      <c r="D11" s="96" t="s">
        <v>23</v>
      </c>
      <c r="E11" s="97">
        <v>8</v>
      </c>
      <c r="F11" s="163">
        <f t="shared" si="5"/>
        <v>62000</v>
      </c>
      <c r="G11" s="124"/>
      <c r="H11" s="125">
        <v>62000</v>
      </c>
      <c r="I11" s="125"/>
      <c r="J11" s="126"/>
      <c r="K11" s="126"/>
      <c r="L11" s="127"/>
      <c r="M11" s="128">
        <v>8266</v>
      </c>
      <c r="O11" s="234">
        <v>3446</v>
      </c>
      <c r="P11" s="234">
        <v>-3446</v>
      </c>
      <c r="Q11" s="235">
        <f t="shared" si="6"/>
        <v>0</v>
      </c>
      <c r="R11" s="236"/>
      <c r="S11" s="236">
        <v>62</v>
      </c>
      <c r="T11" s="235">
        <f t="shared" si="4"/>
        <v>62</v>
      </c>
      <c r="U11" s="242"/>
      <c r="V11" s="234">
        <v>1514</v>
      </c>
      <c r="W11" s="234">
        <v>1932</v>
      </c>
    </row>
    <row r="12" spans="1:23" s="98" customFormat="1" ht="12">
      <c r="A12" s="94"/>
      <c r="B12" s="95"/>
      <c r="C12" s="95"/>
      <c r="D12" s="96" t="s">
        <v>24</v>
      </c>
      <c r="E12" s="97">
        <v>9</v>
      </c>
      <c r="F12" s="163">
        <f t="shared" si="5"/>
        <v>0</v>
      </c>
      <c r="G12" s="124"/>
      <c r="H12" s="125"/>
      <c r="I12" s="125"/>
      <c r="J12" s="126"/>
      <c r="K12" s="126"/>
      <c r="L12" s="127"/>
      <c r="M12" s="128"/>
      <c r="O12" s="234">
        <v>5990</v>
      </c>
      <c r="P12" s="234">
        <v>-5990</v>
      </c>
      <c r="Q12" s="237">
        <f t="shared" si="6"/>
        <v>0</v>
      </c>
      <c r="R12" s="236"/>
      <c r="S12" s="236"/>
      <c r="T12" s="235">
        <f t="shared" si="4"/>
        <v>0</v>
      </c>
      <c r="U12" s="242"/>
      <c r="V12" s="234">
        <v>2740</v>
      </c>
      <c r="W12" s="234">
        <v>3250</v>
      </c>
    </row>
    <row r="13" spans="1:23" s="98" customFormat="1" ht="12">
      <c r="A13" s="94"/>
      <c r="B13" s="95"/>
      <c r="C13" s="95"/>
      <c r="D13" s="96" t="s">
        <v>25</v>
      </c>
      <c r="E13" s="97">
        <v>10</v>
      </c>
      <c r="F13" s="163">
        <f t="shared" si="5"/>
        <v>0</v>
      </c>
      <c r="G13" s="124"/>
      <c r="H13" s="125"/>
      <c r="I13" s="125"/>
      <c r="J13" s="126"/>
      <c r="K13" s="126"/>
      <c r="L13" s="127"/>
      <c r="M13" s="128"/>
      <c r="O13" s="234">
        <v>50</v>
      </c>
      <c r="P13" s="234">
        <v>-50</v>
      </c>
      <c r="Q13" s="235">
        <f t="shared" si="6"/>
        <v>0</v>
      </c>
      <c r="R13" s="236"/>
      <c r="S13" s="236"/>
      <c r="T13" s="235">
        <f t="shared" si="4"/>
        <v>0</v>
      </c>
      <c r="U13" s="242"/>
      <c r="V13" s="234">
        <v>23</v>
      </c>
      <c r="W13" s="234">
        <v>27</v>
      </c>
    </row>
    <row r="14" spans="1:23" s="98" customFormat="1" ht="12">
      <c r="A14" s="94"/>
      <c r="B14" s="95"/>
      <c r="C14" s="95"/>
      <c r="D14" s="96" t="s">
        <v>26</v>
      </c>
      <c r="E14" s="97">
        <v>11</v>
      </c>
      <c r="F14" s="163">
        <f t="shared" si="5"/>
        <v>30000000</v>
      </c>
      <c r="G14" s="124"/>
      <c r="H14" s="125">
        <v>30000000</v>
      </c>
      <c r="I14" s="125"/>
      <c r="J14" s="126"/>
      <c r="K14" s="126"/>
      <c r="L14" s="127"/>
      <c r="M14" s="128">
        <v>14554771</v>
      </c>
      <c r="O14" s="234">
        <v>5448</v>
      </c>
      <c r="P14" s="234">
        <v>-5448</v>
      </c>
      <c r="Q14" s="235">
        <f t="shared" si="6"/>
        <v>0</v>
      </c>
      <c r="R14" s="236">
        <v>30000</v>
      </c>
      <c r="S14" s="236"/>
      <c r="T14" s="235">
        <f t="shared" si="4"/>
        <v>30000</v>
      </c>
      <c r="U14" s="242"/>
      <c r="V14" s="234">
        <v>2260</v>
      </c>
      <c r="W14" s="234">
        <v>3188</v>
      </c>
    </row>
    <row r="15" spans="1:23" s="98" customFormat="1" ht="12">
      <c r="A15" s="94"/>
      <c r="B15" s="95"/>
      <c r="C15" s="95"/>
      <c r="D15" s="96" t="s">
        <v>27</v>
      </c>
      <c r="E15" s="97">
        <v>12</v>
      </c>
      <c r="F15" s="163">
        <f t="shared" si="5"/>
        <v>0</v>
      </c>
      <c r="G15" s="124"/>
      <c r="H15" s="125"/>
      <c r="I15" s="125"/>
      <c r="J15" s="126"/>
      <c r="K15" s="126"/>
      <c r="L15" s="127"/>
      <c r="M15" s="128"/>
      <c r="O15" s="234">
        <v>0</v>
      </c>
      <c r="P15" s="234">
        <v>0</v>
      </c>
      <c r="Q15" s="235">
        <f t="shared" si="6"/>
        <v>0</v>
      </c>
      <c r="R15" s="236"/>
      <c r="S15" s="236"/>
      <c r="T15" s="235">
        <f t="shared" si="4"/>
        <v>0</v>
      </c>
      <c r="U15" s="242"/>
      <c r="V15" s="234">
        <v>0</v>
      </c>
      <c r="W15" s="234">
        <v>0</v>
      </c>
    </row>
    <row r="16" spans="1:23" s="98" customFormat="1" ht="12">
      <c r="A16" s="94"/>
      <c r="B16" s="95"/>
      <c r="C16" s="96"/>
      <c r="D16" s="96" t="s">
        <v>28</v>
      </c>
      <c r="E16" s="97">
        <v>13</v>
      </c>
      <c r="F16" s="163">
        <f t="shared" si="5"/>
        <v>0</v>
      </c>
      <c r="G16" s="124"/>
      <c r="H16" s="125"/>
      <c r="I16" s="125"/>
      <c r="J16" s="126"/>
      <c r="K16" s="126"/>
      <c r="L16" s="127"/>
      <c r="M16" s="128">
        <v>107</v>
      </c>
      <c r="O16" s="234">
        <v>413</v>
      </c>
      <c r="P16" s="234">
        <v>-413</v>
      </c>
      <c r="Q16" s="235">
        <f t="shared" si="6"/>
        <v>0</v>
      </c>
      <c r="R16" s="236"/>
      <c r="S16" s="236"/>
      <c r="T16" s="235">
        <f t="shared" si="4"/>
        <v>0</v>
      </c>
      <c r="U16" s="242"/>
      <c r="V16" s="234">
        <v>184</v>
      </c>
      <c r="W16" s="234">
        <v>229</v>
      </c>
    </row>
    <row r="17" spans="1:23" s="37" customFormat="1" ht="12">
      <c r="A17" s="28"/>
      <c r="B17" s="47" t="s">
        <v>29</v>
      </c>
      <c r="C17" s="39"/>
      <c r="D17" s="39"/>
      <c r="E17" s="40">
        <v>14</v>
      </c>
      <c r="F17" s="164">
        <f t="shared" si="5"/>
        <v>0</v>
      </c>
      <c r="G17" s="130"/>
      <c r="H17" s="131"/>
      <c r="I17" s="131"/>
      <c r="J17" s="132"/>
      <c r="K17" s="132"/>
      <c r="L17" s="133"/>
      <c r="M17" s="134"/>
      <c r="O17" s="232"/>
      <c r="P17" s="232"/>
      <c r="Q17" s="232">
        <f t="shared" si="6"/>
        <v>0</v>
      </c>
      <c r="R17" s="232"/>
      <c r="S17" s="232"/>
      <c r="T17" s="235">
        <f t="shared" si="4"/>
        <v>0</v>
      </c>
      <c r="U17" s="92"/>
      <c r="V17" s="232"/>
      <c r="W17" s="232"/>
    </row>
    <row r="18" spans="1:23" s="37" customFormat="1" ht="12">
      <c r="A18" s="28"/>
      <c r="B18" s="47" t="s">
        <v>31</v>
      </c>
      <c r="C18" s="39"/>
      <c r="D18" s="39"/>
      <c r="E18" s="40">
        <v>15</v>
      </c>
      <c r="F18" s="164">
        <f t="shared" si="5"/>
        <v>0</v>
      </c>
      <c r="G18" s="130"/>
      <c r="H18" s="131"/>
      <c r="I18" s="131"/>
      <c r="J18" s="132"/>
      <c r="K18" s="132"/>
      <c r="L18" s="133"/>
      <c r="M18" s="134"/>
      <c r="O18" s="232"/>
      <c r="P18" s="232"/>
      <c r="Q18" s="232">
        <f t="shared" si="6"/>
        <v>0</v>
      </c>
      <c r="R18" s="232"/>
      <c r="S18" s="232"/>
      <c r="T18" s="235">
        <f t="shared" si="4"/>
        <v>0</v>
      </c>
      <c r="U18" s="92"/>
      <c r="V18" s="232"/>
      <c r="W18" s="232"/>
    </row>
    <row r="19" spans="1:23" s="37" customFormat="1" ht="12">
      <c r="A19" s="28"/>
      <c r="B19" s="48" t="s">
        <v>33</v>
      </c>
      <c r="C19" s="49"/>
      <c r="D19" s="49"/>
      <c r="E19" s="50">
        <v>16</v>
      </c>
      <c r="F19" s="164">
        <f t="shared" si="5"/>
        <v>0</v>
      </c>
      <c r="G19" s="130"/>
      <c r="H19" s="131"/>
      <c r="I19" s="131"/>
      <c r="J19" s="132"/>
      <c r="K19" s="132"/>
      <c r="L19" s="133"/>
      <c r="M19" s="134"/>
      <c r="O19" s="232"/>
      <c r="P19" s="232"/>
      <c r="Q19" s="232">
        <f t="shared" si="6"/>
        <v>0</v>
      </c>
      <c r="R19" s="232"/>
      <c r="S19" s="232"/>
      <c r="T19" s="235">
        <f t="shared" si="4"/>
        <v>0</v>
      </c>
      <c r="U19" s="92"/>
      <c r="V19" s="232"/>
      <c r="W19" s="232"/>
    </row>
    <row r="20" spans="1:23" s="37" customFormat="1" ht="12">
      <c r="A20" s="28"/>
      <c r="B20" s="48" t="s">
        <v>35</v>
      </c>
      <c r="C20" s="49"/>
      <c r="D20" s="49"/>
      <c r="E20" s="50">
        <v>17</v>
      </c>
      <c r="F20" s="164">
        <f t="shared" si="5"/>
        <v>0</v>
      </c>
      <c r="G20" s="130"/>
      <c r="H20" s="131"/>
      <c r="I20" s="131"/>
      <c r="J20" s="132"/>
      <c r="K20" s="132"/>
      <c r="L20" s="133"/>
      <c r="M20" s="134"/>
      <c r="O20" s="232"/>
      <c r="P20" s="232"/>
      <c r="Q20" s="232">
        <f t="shared" si="6"/>
        <v>0</v>
      </c>
      <c r="R20" s="232"/>
      <c r="S20" s="232"/>
      <c r="T20" s="235">
        <f t="shared" si="4"/>
        <v>0</v>
      </c>
      <c r="U20" s="92"/>
      <c r="V20" s="232"/>
      <c r="W20" s="232"/>
    </row>
    <row r="21" spans="1:23" s="37" customFormat="1" ht="12">
      <c r="A21" s="28"/>
      <c r="B21" s="48" t="s">
        <v>37</v>
      </c>
      <c r="C21" s="48"/>
      <c r="D21" s="48"/>
      <c r="E21" s="50">
        <v>18</v>
      </c>
      <c r="F21" s="164">
        <f t="shared" si="5"/>
        <v>0</v>
      </c>
      <c r="G21" s="130"/>
      <c r="H21" s="131"/>
      <c r="I21" s="131"/>
      <c r="J21" s="132"/>
      <c r="K21" s="132"/>
      <c r="L21" s="133"/>
      <c r="M21" s="134"/>
      <c r="O21" s="232"/>
      <c r="P21" s="232"/>
      <c r="Q21" s="232">
        <f t="shared" si="6"/>
        <v>0</v>
      </c>
      <c r="R21" s="232"/>
      <c r="S21" s="232"/>
      <c r="T21" s="235">
        <f t="shared" si="4"/>
        <v>0</v>
      </c>
      <c r="U21" s="92"/>
      <c r="V21" s="232"/>
      <c r="W21" s="232"/>
    </row>
    <row r="22" spans="1:23" s="37" customFormat="1" ht="12">
      <c r="A22" s="28"/>
      <c r="B22" s="48" t="s">
        <v>39</v>
      </c>
      <c r="C22" s="48"/>
      <c r="D22" s="48"/>
      <c r="E22" s="50">
        <v>19</v>
      </c>
      <c r="F22" s="164">
        <f t="shared" si="5"/>
        <v>0</v>
      </c>
      <c r="G22" s="130"/>
      <c r="H22" s="131"/>
      <c r="I22" s="131"/>
      <c r="J22" s="132"/>
      <c r="K22" s="132"/>
      <c r="L22" s="133"/>
      <c r="M22" s="134"/>
      <c r="O22" s="232"/>
      <c r="P22" s="232"/>
      <c r="Q22" s="232">
        <f t="shared" si="6"/>
        <v>0</v>
      </c>
      <c r="R22" s="232"/>
      <c r="S22" s="232"/>
      <c r="T22" s="235">
        <f t="shared" si="4"/>
        <v>0</v>
      </c>
      <c r="U22" s="92"/>
      <c r="V22" s="232"/>
      <c r="W22" s="232"/>
    </row>
    <row r="23" spans="1:23" s="37" customFormat="1" ht="12">
      <c r="A23" s="28"/>
      <c r="B23" s="48" t="s">
        <v>41</v>
      </c>
      <c r="C23" s="48"/>
      <c r="D23" s="48"/>
      <c r="E23" s="50">
        <v>20</v>
      </c>
      <c r="F23" s="164">
        <f t="shared" si="5"/>
        <v>0</v>
      </c>
      <c r="G23" s="130"/>
      <c r="H23" s="133"/>
      <c r="I23" s="132"/>
      <c r="J23" s="132"/>
      <c r="K23" s="132"/>
      <c r="L23" s="133"/>
      <c r="M23" s="134"/>
      <c r="O23" s="232"/>
      <c r="P23" s="232"/>
      <c r="Q23" s="232">
        <f t="shared" si="6"/>
        <v>0</v>
      </c>
      <c r="R23" s="232"/>
      <c r="S23" s="232"/>
      <c r="T23" s="235">
        <f t="shared" si="4"/>
        <v>0</v>
      </c>
      <c r="U23" s="92"/>
      <c r="V23" s="232"/>
      <c r="W23" s="232"/>
    </row>
    <row r="24" spans="1:23" s="37" customFormat="1" ht="12">
      <c r="A24" s="28"/>
      <c r="B24" s="48" t="s">
        <v>43</v>
      </c>
      <c r="C24" s="48"/>
      <c r="D24" s="48"/>
      <c r="E24" s="50">
        <v>21</v>
      </c>
      <c r="F24" s="164">
        <f t="shared" si="5"/>
        <v>0</v>
      </c>
      <c r="G24" s="130"/>
      <c r="H24" s="133"/>
      <c r="I24" s="132"/>
      <c r="J24" s="132"/>
      <c r="K24" s="132"/>
      <c r="L24" s="133"/>
      <c r="M24" s="134"/>
      <c r="O24" s="232"/>
      <c r="P24" s="232"/>
      <c r="Q24" s="232">
        <f t="shared" si="6"/>
        <v>0</v>
      </c>
      <c r="R24" s="232"/>
      <c r="S24" s="232"/>
      <c r="T24" s="235">
        <f t="shared" si="4"/>
        <v>0</v>
      </c>
      <c r="U24" s="92"/>
      <c r="V24" s="232"/>
      <c r="W24" s="232"/>
    </row>
    <row r="25" spans="1:23" s="37" customFormat="1" ht="12">
      <c r="A25" s="28"/>
      <c r="B25" s="48" t="s">
        <v>45</v>
      </c>
      <c r="C25" s="48"/>
      <c r="D25" s="48"/>
      <c r="E25" s="50">
        <v>22</v>
      </c>
      <c r="F25" s="164">
        <f t="shared" si="5"/>
        <v>0</v>
      </c>
      <c r="G25" s="130"/>
      <c r="H25" s="133"/>
      <c r="I25" s="132"/>
      <c r="J25" s="132"/>
      <c r="K25" s="132"/>
      <c r="L25" s="133"/>
      <c r="M25" s="134"/>
      <c r="O25" s="232"/>
      <c r="P25" s="232"/>
      <c r="Q25" s="232">
        <f t="shared" si="6"/>
        <v>0</v>
      </c>
      <c r="R25" s="232"/>
      <c r="S25" s="232"/>
      <c r="T25" s="235">
        <f t="shared" si="4"/>
        <v>0</v>
      </c>
      <c r="U25" s="92"/>
      <c r="V25" s="232"/>
      <c r="W25" s="232"/>
    </row>
    <row r="26" spans="1:23" s="37" customFormat="1" ht="12">
      <c r="A26" s="28"/>
      <c r="B26" s="48" t="s">
        <v>46</v>
      </c>
      <c r="C26" s="48"/>
      <c r="D26" s="48"/>
      <c r="E26" s="50">
        <v>23</v>
      </c>
      <c r="F26" s="164">
        <f t="shared" si="5"/>
        <v>0</v>
      </c>
      <c r="G26" s="130"/>
      <c r="H26" s="133"/>
      <c r="I26" s="132"/>
      <c r="J26" s="132"/>
      <c r="K26" s="132"/>
      <c r="L26" s="133"/>
      <c r="M26" s="134"/>
      <c r="O26" s="232"/>
      <c r="P26" s="232"/>
      <c r="Q26" s="232">
        <f t="shared" si="6"/>
        <v>0</v>
      </c>
      <c r="R26" s="232"/>
      <c r="S26" s="232"/>
      <c r="T26" s="235">
        <f t="shared" si="4"/>
        <v>0</v>
      </c>
      <c r="U26" s="92"/>
      <c r="V26" s="232"/>
      <c r="W26" s="232"/>
    </row>
    <row r="27" spans="1:23" s="37" customFormat="1" ht="12">
      <c r="A27" s="28"/>
      <c r="B27" s="48" t="s">
        <v>48</v>
      </c>
      <c r="C27" s="48"/>
      <c r="D27" s="48"/>
      <c r="E27" s="50">
        <v>24</v>
      </c>
      <c r="F27" s="164">
        <f t="shared" si="5"/>
        <v>0</v>
      </c>
      <c r="G27" s="130"/>
      <c r="H27" s="133"/>
      <c r="I27" s="132"/>
      <c r="J27" s="132"/>
      <c r="K27" s="132"/>
      <c r="L27" s="133"/>
      <c r="M27" s="134"/>
      <c r="O27" s="232"/>
      <c r="P27" s="232"/>
      <c r="Q27" s="232"/>
      <c r="R27" s="232"/>
      <c r="S27" s="232"/>
      <c r="T27" s="235"/>
      <c r="U27" s="92"/>
      <c r="V27" s="232"/>
      <c r="W27" s="232"/>
    </row>
    <row r="28" spans="1:23" s="37" customFormat="1" ht="12.75" thickBot="1">
      <c r="A28" s="28"/>
      <c r="B28" s="47" t="s">
        <v>50</v>
      </c>
      <c r="C28" s="47"/>
      <c r="D28" s="47"/>
      <c r="E28" s="40">
        <v>25</v>
      </c>
      <c r="F28" s="164">
        <f t="shared" si="5"/>
        <v>0</v>
      </c>
      <c r="G28" s="130"/>
      <c r="H28" s="133"/>
      <c r="I28" s="132"/>
      <c r="J28" s="132"/>
      <c r="K28" s="132"/>
      <c r="L28" s="133"/>
      <c r="M28" s="134"/>
      <c r="O28" s="232"/>
      <c r="P28" s="232"/>
      <c r="Q28" s="232"/>
      <c r="R28" s="232"/>
      <c r="S28" s="232"/>
      <c r="T28" s="235"/>
      <c r="U28" s="92"/>
      <c r="V28" s="232"/>
      <c r="W28" s="232"/>
    </row>
    <row r="29" spans="1:23" ht="13.5" thickBot="1">
      <c r="A29" s="54" t="s">
        <v>52</v>
      </c>
      <c r="B29" s="55"/>
      <c r="C29" s="55"/>
      <c r="D29" s="55"/>
      <c r="E29" s="21">
        <v>26</v>
      </c>
      <c r="F29" s="161">
        <f>SUM(F30:F46)</f>
        <v>30062000</v>
      </c>
      <c r="G29" s="114">
        <f aca="true" t="shared" si="7" ref="G29:M29">SUM(G30:G46)</f>
        <v>0</v>
      </c>
      <c r="H29" s="115">
        <f t="shared" si="7"/>
        <v>30062000</v>
      </c>
      <c r="I29" s="116">
        <f t="shared" si="7"/>
        <v>0</v>
      </c>
      <c r="J29" s="116">
        <f t="shared" si="7"/>
        <v>0</v>
      </c>
      <c r="K29" s="116">
        <f t="shared" si="7"/>
        <v>0</v>
      </c>
      <c r="L29" s="115">
        <f t="shared" si="7"/>
        <v>0</v>
      </c>
      <c r="M29" s="117">
        <f t="shared" si="7"/>
        <v>14605456</v>
      </c>
      <c r="O29" s="231">
        <f aca="true" t="shared" si="8" ref="O29:T29">SUM(O30:O46)</f>
        <v>0</v>
      </c>
      <c r="P29" s="231">
        <f t="shared" si="8"/>
        <v>0</v>
      </c>
      <c r="Q29" s="231">
        <f t="shared" si="8"/>
        <v>0</v>
      </c>
      <c r="R29" s="231">
        <f t="shared" si="8"/>
        <v>30000</v>
      </c>
      <c r="S29" s="231">
        <f t="shared" si="8"/>
        <v>62</v>
      </c>
      <c r="T29" s="231">
        <f t="shared" si="8"/>
        <v>30062</v>
      </c>
      <c r="V29" s="231">
        <f>SUM(V30:V46)</f>
        <v>0</v>
      </c>
      <c r="W29" s="231">
        <f>SUM(W30:W46)</f>
        <v>0</v>
      </c>
    </row>
    <row r="30" spans="1:23" s="37" customFormat="1" ht="12">
      <c r="A30" s="28" t="s">
        <v>15</v>
      </c>
      <c r="B30" s="39" t="s">
        <v>53</v>
      </c>
      <c r="C30" s="39"/>
      <c r="D30" s="39"/>
      <c r="E30" s="40">
        <v>27</v>
      </c>
      <c r="F30" s="164">
        <f t="shared" si="5"/>
        <v>0</v>
      </c>
      <c r="G30" s="119"/>
      <c r="H30" s="120"/>
      <c r="I30" s="121"/>
      <c r="J30" s="121"/>
      <c r="K30" s="121"/>
      <c r="L30" s="120"/>
      <c r="M30" s="122"/>
      <c r="O30" s="238"/>
      <c r="P30" s="238"/>
      <c r="Q30" s="238">
        <f aca="true" t="shared" si="9" ref="Q30:Q41">O30+P30</f>
        <v>0</v>
      </c>
      <c r="R30" s="238"/>
      <c r="S30" s="238"/>
      <c r="T30" s="235">
        <f aca="true" t="shared" si="10" ref="T30:T41">SUM(Q30:S30)</f>
        <v>0</v>
      </c>
      <c r="U30" s="92"/>
      <c r="V30" s="238"/>
      <c r="W30" s="238"/>
    </row>
    <row r="31" spans="1:23" s="37" customFormat="1" ht="12">
      <c r="A31" s="28"/>
      <c r="B31" s="47" t="s">
        <v>29</v>
      </c>
      <c r="C31" s="47"/>
      <c r="D31" s="47"/>
      <c r="E31" s="40">
        <v>28</v>
      </c>
      <c r="F31" s="164">
        <f t="shared" si="5"/>
        <v>0</v>
      </c>
      <c r="G31" s="135"/>
      <c r="H31" s="136"/>
      <c r="I31" s="137"/>
      <c r="J31" s="137"/>
      <c r="K31" s="137"/>
      <c r="L31" s="136"/>
      <c r="M31" s="138"/>
      <c r="O31" s="239"/>
      <c r="P31" s="239"/>
      <c r="Q31" s="239">
        <f t="shared" si="9"/>
        <v>0</v>
      </c>
      <c r="R31" s="239"/>
      <c r="S31" s="239"/>
      <c r="T31" s="235">
        <f t="shared" si="10"/>
        <v>0</v>
      </c>
      <c r="U31" s="92"/>
      <c r="V31" s="239"/>
      <c r="W31" s="239"/>
    </row>
    <row r="32" spans="1:23" s="37" customFormat="1" ht="12">
      <c r="A32" s="28"/>
      <c r="B32" s="47" t="s">
        <v>31</v>
      </c>
      <c r="C32" s="47"/>
      <c r="D32" s="47"/>
      <c r="E32" s="40">
        <v>29</v>
      </c>
      <c r="F32" s="164">
        <f t="shared" si="5"/>
        <v>0</v>
      </c>
      <c r="G32" s="135"/>
      <c r="H32" s="136"/>
      <c r="I32" s="137"/>
      <c r="J32" s="137"/>
      <c r="K32" s="137"/>
      <c r="L32" s="136"/>
      <c r="M32" s="138"/>
      <c r="O32" s="239"/>
      <c r="P32" s="239"/>
      <c r="Q32" s="239">
        <f t="shared" si="9"/>
        <v>0</v>
      </c>
      <c r="R32" s="239"/>
      <c r="S32" s="239"/>
      <c r="T32" s="235">
        <f t="shared" si="10"/>
        <v>0</v>
      </c>
      <c r="U32" s="92"/>
      <c r="V32" s="239"/>
      <c r="W32" s="239"/>
    </row>
    <row r="33" spans="1:23" s="37" customFormat="1" ht="12">
      <c r="A33" s="28"/>
      <c r="B33" s="48" t="s">
        <v>33</v>
      </c>
      <c r="C33" s="49"/>
      <c r="D33" s="49"/>
      <c r="E33" s="50">
        <v>30</v>
      </c>
      <c r="F33" s="164">
        <f t="shared" si="5"/>
        <v>0</v>
      </c>
      <c r="G33" s="135"/>
      <c r="H33" s="136"/>
      <c r="I33" s="137"/>
      <c r="J33" s="137"/>
      <c r="K33" s="137"/>
      <c r="L33" s="136"/>
      <c r="M33" s="138"/>
      <c r="O33" s="239"/>
      <c r="P33" s="239"/>
      <c r="Q33" s="239">
        <f t="shared" si="9"/>
        <v>0</v>
      </c>
      <c r="R33" s="239"/>
      <c r="S33" s="239"/>
      <c r="T33" s="235">
        <f t="shared" si="10"/>
        <v>0</v>
      </c>
      <c r="U33" s="92"/>
      <c r="V33" s="239"/>
      <c r="W33" s="239"/>
    </row>
    <row r="34" spans="1:23" s="37" customFormat="1" ht="12">
      <c r="A34" s="28"/>
      <c r="B34" s="48" t="s">
        <v>35</v>
      </c>
      <c r="C34" s="48"/>
      <c r="D34" s="48"/>
      <c r="E34" s="50">
        <v>31</v>
      </c>
      <c r="F34" s="164">
        <f t="shared" si="5"/>
        <v>0</v>
      </c>
      <c r="G34" s="135"/>
      <c r="H34" s="136"/>
      <c r="I34" s="137"/>
      <c r="J34" s="137"/>
      <c r="K34" s="137"/>
      <c r="L34" s="136"/>
      <c r="M34" s="138"/>
      <c r="O34" s="239"/>
      <c r="P34" s="239"/>
      <c r="Q34" s="239">
        <f t="shared" si="9"/>
        <v>0</v>
      </c>
      <c r="R34" s="239"/>
      <c r="S34" s="239"/>
      <c r="T34" s="235">
        <f t="shared" si="10"/>
        <v>0</v>
      </c>
      <c r="U34" s="92"/>
      <c r="V34" s="239"/>
      <c r="W34" s="239"/>
    </row>
    <row r="35" spans="1:23" s="37" customFormat="1" ht="12">
      <c r="A35" s="28"/>
      <c r="B35" s="48" t="s">
        <v>55</v>
      </c>
      <c r="C35" s="48"/>
      <c r="D35" s="48"/>
      <c r="E35" s="50">
        <v>32</v>
      </c>
      <c r="F35" s="164">
        <f t="shared" si="5"/>
        <v>0</v>
      </c>
      <c r="G35" s="135"/>
      <c r="H35" s="136"/>
      <c r="I35" s="137"/>
      <c r="J35" s="137"/>
      <c r="K35" s="137"/>
      <c r="L35" s="136"/>
      <c r="M35" s="138"/>
      <c r="O35" s="239"/>
      <c r="P35" s="239"/>
      <c r="Q35" s="239">
        <f t="shared" si="9"/>
        <v>0</v>
      </c>
      <c r="R35" s="239"/>
      <c r="S35" s="239"/>
      <c r="T35" s="235">
        <f t="shared" si="10"/>
        <v>0</v>
      </c>
      <c r="U35" s="92"/>
      <c r="V35" s="239"/>
      <c r="W35" s="239"/>
    </row>
    <row r="36" spans="1:23" s="37" customFormat="1" ht="12">
      <c r="A36" s="28"/>
      <c r="B36" s="48" t="s">
        <v>37</v>
      </c>
      <c r="C36" s="48"/>
      <c r="D36" s="48"/>
      <c r="E36" s="50">
        <v>33</v>
      </c>
      <c r="F36" s="164">
        <f t="shared" si="5"/>
        <v>0</v>
      </c>
      <c r="G36" s="135"/>
      <c r="H36" s="136"/>
      <c r="I36" s="137"/>
      <c r="J36" s="137"/>
      <c r="K36" s="137"/>
      <c r="L36" s="136"/>
      <c r="M36" s="138"/>
      <c r="O36" s="239"/>
      <c r="P36" s="239"/>
      <c r="Q36" s="239">
        <f t="shared" si="9"/>
        <v>0</v>
      </c>
      <c r="R36" s="239"/>
      <c r="S36" s="239"/>
      <c r="T36" s="235">
        <f t="shared" si="10"/>
        <v>0</v>
      </c>
      <c r="U36" s="92"/>
      <c r="V36" s="239"/>
      <c r="W36" s="239"/>
    </row>
    <row r="37" spans="1:23" s="37" customFormat="1" ht="12">
      <c r="A37" s="28"/>
      <c r="B37" s="48" t="s">
        <v>39</v>
      </c>
      <c r="C37" s="48"/>
      <c r="D37" s="48"/>
      <c r="E37" s="50">
        <v>34</v>
      </c>
      <c r="F37" s="164">
        <f t="shared" si="5"/>
        <v>0</v>
      </c>
      <c r="G37" s="135"/>
      <c r="H37" s="136"/>
      <c r="I37" s="137"/>
      <c r="J37" s="137"/>
      <c r="K37" s="137"/>
      <c r="L37" s="136"/>
      <c r="M37" s="138"/>
      <c r="O37" s="239"/>
      <c r="P37" s="239"/>
      <c r="Q37" s="239">
        <f t="shared" si="9"/>
        <v>0</v>
      </c>
      <c r="R37" s="239"/>
      <c r="S37" s="239"/>
      <c r="T37" s="235">
        <f t="shared" si="10"/>
        <v>0</v>
      </c>
      <c r="U37" s="92"/>
      <c r="V37" s="239"/>
      <c r="W37" s="239"/>
    </row>
    <row r="38" spans="1:23" s="37" customFormat="1" ht="12">
      <c r="A38" s="28"/>
      <c r="B38" s="48" t="s">
        <v>57</v>
      </c>
      <c r="C38" s="48"/>
      <c r="D38" s="48"/>
      <c r="E38" s="50">
        <v>35</v>
      </c>
      <c r="F38" s="164">
        <f t="shared" si="5"/>
        <v>0</v>
      </c>
      <c r="G38" s="135"/>
      <c r="H38" s="136"/>
      <c r="I38" s="137"/>
      <c r="J38" s="137"/>
      <c r="K38" s="137"/>
      <c r="L38" s="136"/>
      <c r="M38" s="138"/>
      <c r="O38" s="239"/>
      <c r="P38" s="239"/>
      <c r="Q38" s="239">
        <f t="shared" si="9"/>
        <v>0</v>
      </c>
      <c r="R38" s="239"/>
      <c r="S38" s="239"/>
      <c r="T38" s="235">
        <f t="shared" si="10"/>
        <v>0</v>
      </c>
      <c r="U38" s="92"/>
      <c r="V38" s="239"/>
      <c r="W38" s="239"/>
    </row>
    <row r="39" spans="1:23" s="37" customFormat="1" ht="12">
      <c r="A39" s="28"/>
      <c r="B39" s="48" t="s">
        <v>58</v>
      </c>
      <c r="C39" s="48"/>
      <c r="D39" s="48"/>
      <c r="E39" s="50">
        <v>36</v>
      </c>
      <c r="F39" s="164">
        <f t="shared" si="5"/>
        <v>0</v>
      </c>
      <c r="G39" s="135"/>
      <c r="H39" s="136"/>
      <c r="I39" s="137"/>
      <c r="J39" s="137"/>
      <c r="K39" s="137"/>
      <c r="L39" s="136"/>
      <c r="M39" s="138"/>
      <c r="O39" s="239"/>
      <c r="P39" s="239"/>
      <c r="Q39" s="239">
        <f t="shared" si="9"/>
        <v>0</v>
      </c>
      <c r="R39" s="239"/>
      <c r="S39" s="239"/>
      <c r="T39" s="235">
        <f t="shared" si="10"/>
        <v>0</v>
      </c>
      <c r="U39" s="92"/>
      <c r="V39" s="239"/>
      <c r="W39" s="239"/>
    </row>
    <row r="40" spans="1:23" s="37" customFormat="1" ht="12">
      <c r="A40" s="28"/>
      <c r="B40" s="48" t="s">
        <v>60</v>
      </c>
      <c r="C40" s="48"/>
      <c r="D40" s="48"/>
      <c r="E40" s="50">
        <v>37</v>
      </c>
      <c r="F40" s="164">
        <f t="shared" si="5"/>
        <v>0</v>
      </c>
      <c r="G40" s="135"/>
      <c r="H40" s="136"/>
      <c r="I40" s="137"/>
      <c r="J40" s="137"/>
      <c r="K40" s="137"/>
      <c r="L40" s="136"/>
      <c r="M40" s="138"/>
      <c r="O40" s="239"/>
      <c r="P40" s="239"/>
      <c r="Q40" s="239">
        <f t="shared" si="9"/>
        <v>0</v>
      </c>
      <c r="R40" s="239"/>
      <c r="S40" s="239"/>
      <c r="T40" s="235">
        <f t="shared" si="10"/>
        <v>0</v>
      </c>
      <c r="U40" s="92"/>
      <c r="V40" s="239"/>
      <c r="W40" s="239"/>
    </row>
    <row r="41" spans="1:23" s="37" customFormat="1" ht="12">
      <c r="A41" s="28"/>
      <c r="B41" s="48" t="s">
        <v>61</v>
      </c>
      <c r="C41" s="48"/>
      <c r="D41" s="48"/>
      <c r="E41" s="50">
        <v>38</v>
      </c>
      <c r="F41" s="164">
        <f t="shared" si="5"/>
        <v>0</v>
      </c>
      <c r="G41" s="135"/>
      <c r="H41" s="136"/>
      <c r="I41" s="137"/>
      <c r="J41" s="137"/>
      <c r="K41" s="137"/>
      <c r="L41" s="136"/>
      <c r="M41" s="138"/>
      <c r="O41" s="239"/>
      <c r="P41" s="239"/>
      <c r="Q41" s="239">
        <f t="shared" si="9"/>
        <v>0</v>
      </c>
      <c r="R41" s="239"/>
      <c r="S41" s="239"/>
      <c r="T41" s="235">
        <f t="shared" si="10"/>
        <v>0</v>
      </c>
      <c r="U41" s="92"/>
      <c r="V41" s="239"/>
      <c r="W41" s="239"/>
    </row>
    <row r="42" spans="1:23" s="37" customFormat="1" ht="12">
      <c r="A42" s="28"/>
      <c r="B42" s="48" t="s">
        <v>46</v>
      </c>
      <c r="C42" s="48"/>
      <c r="D42" s="48"/>
      <c r="E42" s="50">
        <v>39</v>
      </c>
      <c r="F42" s="164">
        <f t="shared" si="5"/>
        <v>0</v>
      </c>
      <c r="G42" s="135"/>
      <c r="H42" s="136"/>
      <c r="I42" s="137"/>
      <c r="J42" s="137"/>
      <c r="K42" s="137"/>
      <c r="L42" s="136"/>
      <c r="M42" s="138"/>
      <c r="O42" s="239"/>
      <c r="P42" s="239"/>
      <c r="Q42" s="239"/>
      <c r="R42" s="239"/>
      <c r="S42" s="239"/>
      <c r="T42" s="235"/>
      <c r="U42" s="92"/>
      <c r="V42" s="239"/>
      <c r="W42" s="239"/>
    </row>
    <row r="43" spans="1:23" s="37" customFormat="1" ht="12">
      <c r="A43" s="28"/>
      <c r="B43" s="48" t="s">
        <v>62</v>
      </c>
      <c r="C43" s="48"/>
      <c r="D43" s="48"/>
      <c r="E43" s="50">
        <v>40</v>
      </c>
      <c r="F43" s="164">
        <f t="shared" si="5"/>
        <v>0</v>
      </c>
      <c r="G43" s="135"/>
      <c r="H43" s="136"/>
      <c r="I43" s="137"/>
      <c r="J43" s="137"/>
      <c r="K43" s="137"/>
      <c r="L43" s="136"/>
      <c r="M43" s="138"/>
      <c r="O43" s="239"/>
      <c r="P43" s="239"/>
      <c r="Q43" s="239"/>
      <c r="R43" s="239"/>
      <c r="S43" s="239"/>
      <c r="T43" s="235"/>
      <c r="U43" s="92"/>
      <c r="V43" s="239"/>
      <c r="W43" s="239"/>
    </row>
    <row r="44" spans="1:23" s="37" customFormat="1" ht="12">
      <c r="A44" s="28"/>
      <c r="B44" s="48" t="s">
        <v>63</v>
      </c>
      <c r="C44" s="48"/>
      <c r="D44" s="48"/>
      <c r="E44" s="50">
        <v>41</v>
      </c>
      <c r="F44" s="164">
        <f t="shared" si="5"/>
        <v>30062000</v>
      </c>
      <c r="G44" s="135"/>
      <c r="H44" s="136">
        <f>H4</f>
        <v>30062000</v>
      </c>
      <c r="I44" s="137"/>
      <c r="J44" s="137"/>
      <c r="K44" s="137"/>
      <c r="L44" s="136"/>
      <c r="M44" s="138">
        <v>14605456</v>
      </c>
      <c r="O44" s="239"/>
      <c r="P44" s="239"/>
      <c r="Q44" s="239">
        <f>O44+P44</f>
        <v>0</v>
      </c>
      <c r="R44" s="240">
        <v>30000</v>
      </c>
      <c r="S44" s="239">
        <v>62</v>
      </c>
      <c r="T44" s="235">
        <f>SUM(Q44:S44)</f>
        <v>30062</v>
      </c>
      <c r="U44" s="92"/>
      <c r="V44" s="239"/>
      <c r="W44" s="239"/>
    </row>
    <row r="45" spans="1:23" s="37" customFormat="1" ht="12">
      <c r="A45" s="28"/>
      <c r="B45" s="48" t="s">
        <v>64</v>
      </c>
      <c r="C45" s="48"/>
      <c r="D45" s="48"/>
      <c r="E45" s="50">
        <v>42</v>
      </c>
      <c r="F45" s="164">
        <f t="shared" si="5"/>
        <v>0</v>
      </c>
      <c r="G45" s="135"/>
      <c r="H45" s="139" t="s">
        <v>99</v>
      </c>
      <c r="I45" s="137"/>
      <c r="J45" s="137"/>
      <c r="K45" s="137"/>
      <c r="L45" s="136"/>
      <c r="M45" s="138"/>
      <c r="O45" s="239"/>
      <c r="P45" s="239"/>
      <c r="Q45" s="239">
        <f>O45+P45</f>
        <v>0</v>
      </c>
      <c r="R45" s="239"/>
      <c r="S45" s="239"/>
      <c r="T45" s="235">
        <f>SUM(Q45:S45)</f>
        <v>0</v>
      </c>
      <c r="U45" s="92"/>
      <c r="V45" s="239"/>
      <c r="W45" s="239"/>
    </row>
    <row r="46" spans="1:23" s="37" customFormat="1" ht="12">
      <c r="A46" s="65"/>
      <c r="B46" s="66" t="s">
        <v>50</v>
      </c>
      <c r="C46" s="66"/>
      <c r="D46" s="66"/>
      <c r="E46" s="67">
        <v>43</v>
      </c>
      <c r="F46" s="165">
        <f t="shared" si="5"/>
        <v>0</v>
      </c>
      <c r="G46" s="141"/>
      <c r="H46" s="142"/>
      <c r="I46" s="143"/>
      <c r="J46" s="143"/>
      <c r="K46" s="143"/>
      <c r="L46" s="142"/>
      <c r="M46" s="144"/>
      <c r="O46" s="239"/>
      <c r="P46" s="239"/>
      <c r="Q46" s="239">
        <f>O46+P46</f>
        <v>0</v>
      </c>
      <c r="R46" s="239"/>
      <c r="S46" s="240"/>
      <c r="T46" s="235">
        <f>SUM(Q46:S46)</f>
        <v>0</v>
      </c>
      <c r="U46" s="92"/>
      <c r="V46" s="239"/>
      <c r="W46" s="239"/>
    </row>
    <row r="47" spans="1:23" s="37" customFormat="1" ht="12.75" thickBot="1">
      <c r="A47" s="73" t="s">
        <v>66</v>
      </c>
      <c r="B47" s="74"/>
      <c r="C47" s="74"/>
      <c r="D47" s="74"/>
      <c r="E47" s="40">
        <v>44</v>
      </c>
      <c r="F47" s="147">
        <f>F30+F35+F39+F44+F45+F46-F5-F28</f>
        <v>0</v>
      </c>
      <c r="G47" s="146">
        <f>G30+G35+G39+G44+G45+G46+-G5-G28</f>
        <v>0</v>
      </c>
      <c r="H47" s="146">
        <f>H30+H35+H39+H44+H46-H5-H28</f>
        <v>0</v>
      </c>
      <c r="I47" s="146">
        <f>I30+I35+I39+I44+I45+I46-I5-I28</f>
        <v>0</v>
      </c>
      <c r="J47" s="146">
        <f>J30+J35+J39+J44+J45+J46-J5-J28</f>
        <v>0</v>
      </c>
      <c r="K47" s="146">
        <f>K30+K35+K39+K44+K45+K46-K5-K28</f>
        <v>0</v>
      </c>
      <c r="L47" s="146">
        <f>L30+L35+L39+L44+L45+L46-L5-L28</f>
        <v>0</v>
      </c>
      <c r="M47" s="147">
        <f>M30+M35+M39+M44+M45+M46-M5-M28</f>
        <v>4222</v>
      </c>
      <c r="O47" s="233"/>
      <c r="P47" s="233"/>
      <c r="Q47" s="233"/>
      <c r="R47" s="233"/>
      <c r="S47" s="233"/>
      <c r="T47" s="233"/>
      <c r="U47" s="92"/>
      <c r="V47" s="233"/>
      <c r="W47" s="233"/>
    </row>
    <row r="48" spans="1:23" ht="13.5" thickBot="1">
      <c r="A48" s="54" t="s">
        <v>67</v>
      </c>
      <c r="B48" s="55"/>
      <c r="C48" s="55"/>
      <c r="D48" s="55"/>
      <c r="E48" s="21">
        <v>45</v>
      </c>
      <c r="F48" s="161">
        <f>F29-F4</f>
        <v>0</v>
      </c>
      <c r="G48" s="114">
        <f aca="true" t="shared" si="11" ref="G48:M48">G29-G4</f>
        <v>0</v>
      </c>
      <c r="H48" s="115">
        <f t="shared" si="11"/>
        <v>0</v>
      </c>
      <c r="I48" s="116">
        <f t="shared" si="11"/>
        <v>0</v>
      </c>
      <c r="J48" s="116">
        <f t="shared" si="11"/>
        <v>0</v>
      </c>
      <c r="K48" s="116">
        <f t="shared" si="11"/>
        <v>0</v>
      </c>
      <c r="L48" s="115">
        <f t="shared" si="11"/>
        <v>0</v>
      </c>
      <c r="M48" s="117">
        <f t="shared" si="11"/>
        <v>4222</v>
      </c>
      <c r="O48" s="231">
        <f aca="true" t="shared" si="12" ref="O48:T48">O29-O4</f>
        <v>-50284</v>
      </c>
      <c r="P48" s="231">
        <f t="shared" si="12"/>
        <v>50284</v>
      </c>
      <c r="Q48" s="231">
        <f t="shared" si="12"/>
        <v>0</v>
      </c>
      <c r="R48" s="231">
        <f t="shared" si="12"/>
        <v>0</v>
      </c>
      <c r="S48" s="231">
        <f t="shared" si="12"/>
        <v>0</v>
      </c>
      <c r="T48" s="231">
        <f t="shared" si="12"/>
        <v>0</v>
      </c>
      <c r="V48" s="231">
        <f>V29-V4</f>
        <v>-22165</v>
      </c>
      <c r="W48" s="231">
        <f>W29-W4</f>
        <v>-28119</v>
      </c>
    </row>
    <row r="49" spans="1:23" ht="12.75">
      <c r="A49" s="80"/>
      <c r="B49" s="80"/>
      <c r="C49" s="80"/>
      <c r="D49" s="80"/>
      <c r="E49" s="81"/>
      <c r="W49" s="420"/>
    </row>
    <row r="50" spans="5:23" s="80" customFormat="1" ht="12">
      <c r="E50" s="81"/>
      <c r="F50" s="37"/>
      <c r="H50" s="92"/>
      <c r="I50" s="92"/>
      <c r="J50" s="92"/>
      <c r="K50" s="92"/>
      <c r="L50" s="92"/>
      <c r="M50" s="92"/>
      <c r="O50" s="92"/>
      <c r="P50" s="92"/>
      <c r="Q50" s="92"/>
      <c r="R50" s="92"/>
      <c r="S50" s="92"/>
      <c r="T50" s="92"/>
      <c r="U50" s="92"/>
      <c r="V50" s="92"/>
      <c r="W50" s="92"/>
    </row>
    <row r="51" spans="1:23" s="80" customFormat="1" ht="12">
      <c r="A51" s="84" t="s">
        <v>100</v>
      </c>
      <c r="E51" s="81"/>
      <c r="F51" s="167"/>
      <c r="H51" s="92"/>
      <c r="J51" s="156"/>
      <c r="L51" s="92"/>
      <c r="M51" s="92"/>
      <c r="O51" s="92"/>
      <c r="P51" s="92"/>
      <c r="Q51" s="92"/>
      <c r="R51" s="92"/>
      <c r="S51" s="92"/>
      <c r="T51" s="92"/>
      <c r="U51" s="92"/>
      <c r="V51" s="92"/>
      <c r="W51" s="92"/>
    </row>
    <row r="52" spans="5:23" s="84" customFormat="1" ht="12">
      <c r="E52" s="86"/>
      <c r="F52" s="168"/>
      <c r="H52" s="108"/>
      <c r="I52" s="108"/>
      <c r="J52" s="108"/>
      <c r="K52" s="108"/>
      <c r="L52" s="108"/>
      <c r="M52" s="108"/>
      <c r="O52" s="108"/>
      <c r="P52" s="108"/>
      <c r="Q52" s="108"/>
      <c r="R52" s="108"/>
      <c r="S52" s="108"/>
      <c r="T52" s="108"/>
      <c r="U52" s="108"/>
      <c r="V52" s="108"/>
      <c r="W52" s="108"/>
    </row>
    <row r="53" spans="5:23" s="84" customFormat="1" ht="12">
      <c r="E53" s="86"/>
      <c r="F53" s="168"/>
      <c r="H53" s="108"/>
      <c r="I53" s="108"/>
      <c r="J53" s="108"/>
      <c r="K53" s="108"/>
      <c r="L53" s="108"/>
      <c r="M53" s="108"/>
      <c r="O53" s="108"/>
      <c r="P53" s="108"/>
      <c r="Q53" s="108"/>
      <c r="R53" s="108"/>
      <c r="S53" s="108"/>
      <c r="T53" s="108"/>
      <c r="U53" s="108"/>
      <c r="V53" s="108"/>
      <c r="W53" s="108"/>
    </row>
    <row r="54" spans="5:23" s="84" customFormat="1" ht="12">
      <c r="E54" s="86"/>
      <c r="F54" s="168"/>
      <c r="H54" s="108"/>
      <c r="I54" s="108"/>
      <c r="J54" s="108"/>
      <c r="K54" s="108"/>
      <c r="L54" s="108"/>
      <c r="M54" s="108"/>
      <c r="O54" s="108"/>
      <c r="P54" s="108"/>
      <c r="Q54" s="108"/>
      <c r="R54" s="108"/>
      <c r="S54" s="108"/>
      <c r="T54" s="108"/>
      <c r="U54" s="108"/>
      <c r="V54" s="108"/>
      <c r="W54" s="108"/>
    </row>
    <row r="55" spans="1:23" s="80" customFormat="1" ht="12">
      <c r="A55" s="84"/>
      <c r="B55" s="84"/>
      <c r="C55" s="84"/>
      <c r="D55" s="84"/>
      <c r="E55" s="81"/>
      <c r="F55" s="37"/>
      <c r="H55" s="92"/>
      <c r="I55" s="92"/>
      <c r="J55" s="92"/>
      <c r="K55" s="92"/>
      <c r="L55" s="92"/>
      <c r="M55" s="92"/>
      <c r="O55" s="92"/>
      <c r="P55" s="92"/>
      <c r="Q55" s="92"/>
      <c r="R55" s="92"/>
      <c r="S55" s="92"/>
      <c r="T55" s="92"/>
      <c r="U55" s="92"/>
      <c r="V55" s="92"/>
      <c r="W55" s="92"/>
    </row>
    <row r="56" spans="1:6" s="92" customFormat="1" ht="12">
      <c r="A56" s="84"/>
      <c r="B56" s="84"/>
      <c r="C56" s="84"/>
      <c r="D56" s="84"/>
      <c r="E56" s="90"/>
      <c r="F56" s="37"/>
    </row>
    <row r="57" spans="1:6" s="92" customFormat="1" ht="12">
      <c r="A57" s="84"/>
      <c r="B57" s="84"/>
      <c r="C57" s="84"/>
      <c r="D57" s="84"/>
      <c r="E57" s="90"/>
      <c r="F57" s="37"/>
    </row>
    <row r="58" spans="1:6" s="92" customFormat="1" ht="12">
      <c r="A58" s="84"/>
      <c r="B58" s="84"/>
      <c r="C58" s="84"/>
      <c r="D58" s="84"/>
      <c r="E58" s="90"/>
      <c r="F58" s="37"/>
    </row>
  </sheetData>
  <mergeCells count="3">
    <mergeCell ref="A2:D2"/>
    <mergeCell ref="I2:L2"/>
    <mergeCell ref="C3:D3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45">
      <selection activeCell="A51" sqref="A51:A53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0.00390625" style="37" customWidth="1"/>
    <col min="7" max="7" width="5.125" style="0" hidden="1" customWidth="1"/>
    <col min="8" max="8" width="9.00390625" style="92" customWidth="1"/>
    <col min="9" max="11" width="8.00390625" style="92" customWidth="1"/>
    <col min="12" max="12" width="8.125" style="92" customWidth="1"/>
    <col min="13" max="13" width="9.62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91</v>
      </c>
      <c r="D2" s="432"/>
      <c r="E2" s="10" t="s">
        <v>6</v>
      </c>
      <c r="F2" s="16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>SUM(F5:F27)</f>
        <v>4928000</v>
      </c>
      <c r="G3" s="114">
        <f aca="true" t="shared" si="0" ref="G3:M3">SUM(G5:G27)</f>
        <v>0</v>
      </c>
      <c r="H3" s="115">
        <f t="shared" si="0"/>
        <v>4774000</v>
      </c>
      <c r="I3" s="116">
        <f t="shared" si="0"/>
        <v>124000</v>
      </c>
      <c r="J3" s="116">
        <f t="shared" si="0"/>
        <v>0</v>
      </c>
      <c r="K3" s="116">
        <f t="shared" si="0"/>
        <v>30000</v>
      </c>
      <c r="L3" s="115">
        <f t="shared" si="0"/>
        <v>0</v>
      </c>
      <c r="M3" s="117">
        <f t="shared" si="0"/>
        <v>4656371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>SUM(F5:F15)</f>
        <v>4928000</v>
      </c>
      <c r="G4" s="119">
        <f aca="true" t="shared" si="1" ref="G4:M4">SUM(G5:G15)</f>
        <v>0</v>
      </c>
      <c r="H4" s="120">
        <f t="shared" si="1"/>
        <v>4774000</v>
      </c>
      <c r="I4" s="121">
        <f t="shared" si="1"/>
        <v>124000</v>
      </c>
      <c r="J4" s="121">
        <f t="shared" si="1"/>
        <v>0</v>
      </c>
      <c r="K4" s="121">
        <f t="shared" si="1"/>
        <v>30000</v>
      </c>
      <c r="L4" s="120">
        <f t="shared" si="1"/>
        <v>0</v>
      </c>
      <c r="M4" s="122">
        <f t="shared" si="1"/>
        <v>4656371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63">
        <f>SUM(H5:L5)</f>
        <v>1330000</v>
      </c>
      <c r="G5" s="124"/>
      <c r="H5" s="125">
        <v>1300000</v>
      </c>
      <c r="I5" s="125"/>
      <c r="J5" s="126"/>
      <c r="K5" s="126">
        <v>30000</v>
      </c>
      <c r="L5" s="127"/>
      <c r="M5" s="128">
        <v>1052747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63">
        <f aca="true" t="shared" si="2" ref="F6:F45">SUM(H6:L6)</f>
        <v>175000</v>
      </c>
      <c r="G6" s="124"/>
      <c r="H6" s="125">
        <v>175000</v>
      </c>
      <c r="I6" s="125"/>
      <c r="J6" s="126"/>
      <c r="K6" s="126"/>
      <c r="L6" s="127"/>
      <c r="M6" s="128">
        <v>139912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63">
        <f t="shared" si="2"/>
        <v>543000</v>
      </c>
      <c r="G7" s="124"/>
      <c r="H7" s="125">
        <v>543000</v>
      </c>
      <c r="I7" s="125"/>
      <c r="J7" s="126"/>
      <c r="K7" s="126"/>
      <c r="L7" s="127"/>
      <c r="M7" s="128">
        <v>417429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63">
        <f t="shared" si="2"/>
        <v>1050000</v>
      </c>
      <c r="G8" s="124"/>
      <c r="H8" s="125">
        <v>1050000</v>
      </c>
      <c r="I8" s="125"/>
      <c r="J8" s="126"/>
      <c r="K8" s="126"/>
      <c r="L8" s="127"/>
      <c r="M8" s="128">
        <v>971228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63">
        <f t="shared" si="2"/>
        <v>524000</v>
      </c>
      <c r="G9" s="124"/>
      <c r="H9" s="125">
        <v>400000</v>
      </c>
      <c r="I9" s="125">
        <v>124000</v>
      </c>
      <c r="J9" s="126"/>
      <c r="K9" s="126"/>
      <c r="L9" s="127"/>
      <c r="M9" s="128">
        <v>260305</v>
      </c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63">
        <f t="shared" si="2"/>
        <v>587000</v>
      </c>
      <c r="G10" s="124"/>
      <c r="H10" s="125">
        <v>587000</v>
      </c>
      <c r="I10" s="125"/>
      <c r="J10" s="126"/>
      <c r="K10" s="126"/>
      <c r="L10" s="127"/>
      <c r="M10" s="128">
        <v>1073251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63">
        <f t="shared" si="2"/>
        <v>200000</v>
      </c>
      <c r="G11" s="124"/>
      <c r="H11" s="125">
        <v>200000</v>
      </c>
      <c r="I11" s="125"/>
      <c r="J11" s="126"/>
      <c r="K11" s="126"/>
      <c r="L11" s="127"/>
      <c r="M11" s="128">
        <v>109666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63">
        <f t="shared" si="2"/>
        <v>40000</v>
      </c>
      <c r="G12" s="124"/>
      <c r="H12" s="125">
        <v>40000</v>
      </c>
      <c r="I12" s="125"/>
      <c r="J12" s="126"/>
      <c r="K12" s="126"/>
      <c r="L12" s="127"/>
      <c r="M12" s="128">
        <v>17127</v>
      </c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63">
        <f t="shared" si="2"/>
        <v>399000</v>
      </c>
      <c r="G13" s="124"/>
      <c r="H13" s="125">
        <v>399000</v>
      </c>
      <c r="I13" s="125"/>
      <c r="J13" s="126"/>
      <c r="K13" s="126"/>
      <c r="L13" s="127"/>
      <c r="M13" s="128">
        <v>398676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63">
        <f t="shared" si="2"/>
        <v>0</v>
      </c>
      <c r="G14" s="124"/>
      <c r="H14" s="125"/>
      <c r="I14" s="125"/>
      <c r="J14" s="126"/>
      <c r="K14" s="126"/>
      <c r="L14" s="127"/>
      <c r="M14" s="128"/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63">
        <f t="shared" si="2"/>
        <v>80000</v>
      </c>
      <c r="G15" s="124"/>
      <c r="H15" s="125">
        <v>80000</v>
      </c>
      <c r="I15" s="125"/>
      <c r="J15" s="126"/>
      <c r="K15" s="126"/>
      <c r="L15" s="127"/>
      <c r="M15" s="128">
        <v>216030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0</v>
      </c>
      <c r="G16" s="130"/>
      <c r="H16" s="131"/>
      <c r="I16" s="131"/>
      <c r="J16" s="132"/>
      <c r="K16" s="132"/>
      <c r="L16" s="133"/>
      <c r="M16" s="134"/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0</v>
      </c>
      <c r="G17" s="130"/>
      <c r="H17" s="131"/>
      <c r="I17" s="131"/>
      <c r="J17" s="132"/>
      <c r="K17" s="132"/>
      <c r="L17" s="133"/>
      <c r="M17" s="134"/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0</v>
      </c>
      <c r="G18" s="130"/>
      <c r="H18" s="131"/>
      <c r="I18" s="131"/>
      <c r="J18" s="132"/>
      <c r="K18" s="132"/>
      <c r="L18" s="133"/>
      <c r="M18" s="134"/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/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2"/>
        <v>0</v>
      </c>
      <c r="G22" s="130"/>
      <c r="H22" s="133"/>
      <c r="I22" s="132"/>
      <c r="J22" s="132"/>
      <c r="K22" s="132"/>
      <c r="L22" s="133"/>
      <c r="M22" s="134"/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/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2"/>
        <v>0</v>
      </c>
      <c r="G24" s="130"/>
      <c r="H24" s="133"/>
      <c r="I24" s="132"/>
      <c r="J24" s="132"/>
      <c r="K24" s="132"/>
      <c r="L24" s="133"/>
      <c r="M24" s="134"/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/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0</v>
      </c>
      <c r="G27" s="130"/>
      <c r="H27" s="133"/>
      <c r="I27" s="132"/>
      <c r="J27" s="132"/>
      <c r="K27" s="132"/>
      <c r="L27" s="133"/>
      <c r="M27" s="134"/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>SUM(F29:F45)</f>
        <v>5178000</v>
      </c>
      <c r="G28" s="114">
        <f aca="true" t="shared" si="3" ref="G28:M28">SUM(G29:G45)</f>
        <v>0</v>
      </c>
      <c r="H28" s="115">
        <f t="shared" si="3"/>
        <v>5024000</v>
      </c>
      <c r="I28" s="116">
        <f t="shared" si="3"/>
        <v>124000</v>
      </c>
      <c r="J28" s="116">
        <f t="shared" si="3"/>
        <v>0</v>
      </c>
      <c r="K28" s="116">
        <f t="shared" si="3"/>
        <v>30000</v>
      </c>
      <c r="L28" s="115">
        <f t="shared" si="3"/>
        <v>0</v>
      </c>
      <c r="M28" s="117">
        <f t="shared" si="3"/>
        <v>4959568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40">
        <v>27</v>
      </c>
      <c r="F29" s="164">
        <f t="shared" si="2"/>
        <v>4071000</v>
      </c>
      <c r="G29" s="119"/>
      <c r="H29" s="120">
        <v>4071000</v>
      </c>
      <c r="I29" s="121"/>
      <c r="J29" s="121"/>
      <c r="K29" s="121"/>
      <c r="L29" s="120"/>
      <c r="M29" s="122">
        <v>3895000</v>
      </c>
    </row>
    <row r="30" spans="1:13" s="37" customFormat="1" ht="12">
      <c r="A30" s="28"/>
      <c r="B30" s="47" t="s">
        <v>29</v>
      </c>
      <c r="C30" s="47"/>
      <c r="D30" s="47"/>
      <c r="E30" s="40">
        <v>28</v>
      </c>
      <c r="F30" s="164">
        <f t="shared" si="2"/>
        <v>0</v>
      </c>
      <c r="G30" s="135"/>
      <c r="H30" s="136"/>
      <c r="I30" s="137"/>
      <c r="J30" s="137"/>
      <c r="K30" s="137"/>
      <c r="L30" s="136"/>
      <c r="M30" s="138"/>
    </row>
    <row r="31" spans="1:13" s="37" customFormat="1" ht="12">
      <c r="A31" s="28"/>
      <c r="B31" s="47" t="s">
        <v>31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/>
    </row>
    <row r="32" spans="1:13" s="37" customFormat="1" ht="12">
      <c r="A32" s="28"/>
      <c r="B32" s="48" t="s">
        <v>33</v>
      </c>
      <c r="C32" s="49"/>
      <c r="D32" s="49"/>
      <c r="E32" s="50">
        <v>30</v>
      </c>
      <c r="F32" s="164">
        <f t="shared" si="2"/>
        <v>0</v>
      </c>
      <c r="G32" s="135"/>
      <c r="H32" s="136"/>
      <c r="I32" s="137"/>
      <c r="J32" s="137"/>
      <c r="K32" s="137"/>
      <c r="L32" s="136"/>
      <c r="M32" s="138"/>
    </row>
    <row r="33" spans="1:13" s="37" customFormat="1" ht="12">
      <c r="A33" s="28"/>
      <c r="B33" s="48" t="s">
        <v>35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/>
    </row>
    <row r="34" spans="1:13" s="37" customFormat="1" ht="12">
      <c r="A34" s="28"/>
      <c r="B34" s="48" t="s">
        <v>55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</row>
    <row r="35" spans="1:13" s="37" customFormat="1" ht="12">
      <c r="A35" s="28"/>
      <c r="B35" s="48" t="s">
        <v>37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/>
    </row>
    <row r="36" spans="1:13" s="37" customFormat="1" ht="12">
      <c r="A36" s="28"/>
      <c r="B36" s="48" t="s">
        <v>39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/>
    </row>
    <row r="37" spans="1:13" s="37" customFormat="1" ht="12">
      <c r="A37" s="28"/>
      <c r="B37" s="48" t="s">
        <v>57</v>
      </c>
      <c r="C37" s="48"/>
      <c r="D37" s="48"/>
      <c r="E37" s="50">
        <v>35</v>
      </c>
      <c r="F37" s="164">
        <f t="shared" si="2"/>
        <v>0</v>
      </c>
      <c r="G37" s="135"/>
      <c r="H37" s="136"/>
      <c r="I37" s="137"/>
      <c r="J37" s="137"/>
      <c r="K37" s="137"/>
      <c r="L37" s="136"/>
      <c r="M37" s="138"/>
    </row>
    <row r="38" spans="1:13" s="37" customFormat="1" ht="12">
      <c r="A38" s="28"/>
      <c r="B38" s="48" t="s">
        <v>58</v>
      </c>
      <c r="C38" s="48"/>
      <c r="D38" s="48"/>
      <c r="E38" s="50">
        <v>36</v>
      </c>
      <c r="F38" s="164">
        <f t="shared" si="2"/>
        <v>0</v>
      </c>
      <c r="G38" s="135"/>
      <c r="H38" s="136"/>
      <c r="I38" s="137"/>
      <c r="J38" s="137"/>
      <c r="K38" s="137"/>
      <c r="L38" s="136"/>
      <c r="M38" s="138"/>
    </row>
    <row r="39" spans="1:13" s="37" customFormat="1" ht="12">
      <c r="A39" s="28"/>
      <c r="B39" s="48" t="s">
        <v>60</v>
      </c>
      <c r="C39" s="48"/>
      <c r="D39" s="48"/>
      <c r="E39" s="50">
        <v>37</v>
      </c>
      <c r="F39" s="164">
        <f t="shared" si="2"/>
        <v>0</v>
      </c>
      <c r="G39" s="135"/>
      <c r="H39" s="136"/>
      <c r="I39" s="137"/>
      <c r="J39" s="137"/>
      <c r="K39" s="137"/>
      <c r="L39" s="136"/>
      <c r="M39" s="138"/>
    </row>
    <row r="40" spans="1:13" s="37" customFormat="1" ht="12">
      <c r="A40" s="28"/>
      <c r="B40" s="48" t="s">
        <v>61</v>
      </c>
      <c r="C40" s="48"/>
      <c r="D40" s="48"/>
      <c r="E40" s="50">
        <v>38</v>
      </c>
      <c r="F40" s="164">
        <f t="shared" si="2"/>
        <v>0</v>
      </c>
      <c r="G40" s="135"/>
      <c r="H40" s="136"/>
      <c r="I40" s="137"/>
      <c r="J40" s="137"/>
      <c r="K40" s="137"/>
      <c r="L40" s="136"/>
      <c r="M40" s="138"/>
    </row>
    <row r="41" spans="1:13" s="37" customFormat="1" ht="12">
      <c r="A41" s="28"/>
      <c r="B41" s="48" t="s">
        <v>46</v>
      </c>
      <c r="C41" s="48"/>
      <c r="D41" s="48"/>
      <c r="E41" s="50">
        <v>39</v>
      </c>
      <c r="F41" s="164">
        <f t="shared" si="2"/>
        <v>0</v>
      </c>
      <c r="G41" s="135"/>
      <c r="H41" s="136"/>
      <c r="I41" s="137"/>
      <c r="J41" s="137"/>
      <c r="K41" s="137"/>
      <c r="L41" s="136"/>
      <c r="M41" s="138"/>
    </row>
    <row r="42" spans="1:13" s="37" customFormat="1" ht="12">
      <c r="A42" s="28"/>
      <c r="B42" s="48" t="s">
        <v>62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/>
    </row>
    <row r="43" spans="1:13" s="37" customFormat="1" ht="12">
      <c r="A43" s="28"/>
      <c r="B43" s="48" t="s">
        <v>63</v>
      </c>
      <c r="C43" s="48"/>
      <c r="D43" s="48"/>
      <c r="E43" s="50">
        <v>41</v>
      </c>
      <c r="F43" s="164">
        <f t="shared" si="2"/>
        <v>953000</v>
      </c>
      <c r="G43" s="135"/>
      <c r="H43" s="136">
        <v>953000</v>
      </c>
      <c r="I43" s="137"/>
      <c r="J43" s="137"/>
      <c r="K43" s="137"/>
      <c r="L43" s="136"/>
      <c r="M43" s="138">
        <v>1064568</v>
      </c>
    </row>
    <row r="44" spans="1:13" s="37" customFormat="1" ht="12">
      <c r="A44" s="28"/>
      <c r="B44" s="48" t="s">
        <v>64</v>
      </c>
      <c r="C44" s="48"/>
      <c r="D44" s="48"/>
      <c r="E44" s="50">
        <v>42</v>
      </c>
      <c r="F44" s="164">
        <f t="shared" si="2"/>
        <v>154000</v>
      </c>
      <c r="G44" s="135"/>
      <c r="H44" s="139" t="s">
        <v>99</v>
      </c>
      <c r="I44" s="137">
        <v>124000</v>
      </c>
      <c r="J44" s="137"/>
      <c r="K44" s="137">
        <v>30000</v>
      </c>
      <c r="L44" s="136"/>
      <c r="M44" s="138"/>
    </row>
    <row r="45" spans="1:13" s="37" customFormat="1" ht="12">
      <c r="A45" s="65"/>
      <c r="B45" s="66" t="s">
        <v>50</v>
      </c>
      <c r="C45" s="66"/>
      <c r="D45" s="66"/>
      <c r="E45" s="67">
        <v>43</v>
      </c>
      <c r="F45" s="165">
        <f t="shared" si="2"/>
        <v>0</v>
      </c>
      <c r="G45" s="141"/>
      <c r="H45" s="142"/>
      <c r="I45" s="143"/>
      <c r="J45" s="143"/>
      <c r="K45" s="143"/>
      <c r="L45" s="142"/>
      <c r="M45" s="144"/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47">
        <f>F29+F34+F38+F43+F44+F45-F4-F27</f>
        <v>250000</v>
      </c>
      <c r="G46" s="146">
        <f>G29+G34+G38+G43+G44+G45+-G4-G27</f>
        <v>0</v>
      </c>
      <c r="H46" s="146">
        <f>H29+H34+H38+H43+H45-H4-H27</f>
        <v>250000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303197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61">
        <f>F28-F3</f>
        <v>250000</v>
      </c>
      <c r="G47" s="114">
        <f aca="true" t="shared" si="4" ref="G47:M47">G28-G3</f>
        <v>0</v>
      </c>
      <c r="H47" s="115">
        <f t="shared" si="4"/>
        <v>250000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303197</v>
      </c>
    </row>
    <row r="48" spans="1:5" ht="12.75">
      <c r="A48" s="80"/>
      <c r="B48" s="80"/>
      <c r="C48" s="80"/>
      <c r="D48" s="80"/>
      <c r="E48" s="81"/>
    </row>
    <row r="49" spans="5:13" s="80" customFormat="1" ht="12"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>
      <c r="A50" s="84" t="s">
        <v>100</v>
      </c>
      <c r="E50" s="81"/>
      <c r="F50" s="167"/>
      <c r="H50" s="92"/>
      <c r="I50" s="92"/>
      <c r="J50" s="156"/>
      <c r="K50" s="92"/>
      <c r="L50" s="92"/>
      <c r="M50" s="92"/>
    </row>
    <row r="51" spans="5:13" s="84" customFormat="1" ht="12">
      <c r="E51" s="86"/>
      <c r="F51" s="168"/>
      <c r="H51" s="108"/>
      <c r="I51" s="108"/>
      <c r="J51" s="108"/>
      <c r="K51" s="108"/>
      <c r="L51" s="108"/>
      <c r="M51" s="108"/>
    </row>
    <row r="52" spans="5:13" s="84" customFormat="1" ht="12">
      <c r="E52" s="86"/>
      <c r="F52" s="168"/>
      <c r="H52" s="108"/>
      <c r="I52" s="108"/>
      <c r="J52" s="108"/>
      <c r="K52" s="108"/>
      <c r="L52" s="108"/>
      <c r="M52" s="108"/>
    </row>
    <row r="53" spans="5:13" s="84" customFormat="1" ht="12">
      <c r="E53" s="86"/>
      <c r="F53" s="168"/>
      <c r="H53" s="108"/>
      <c r="I53" s="108"/>
      <c r="J53" s="108"/>
      <c r="K53" s="108"/>
      <c r="L53" s="108"/>
      <c r="M53" s="108"/>
    </row>
    <row r="54" spans="1:13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</row>
    <row r="55" spans="1:6" s="92" customFormat="1" ht="12">
      <c r="A55" s="84"/>
      <c r="B55" s="84"/>
      <c r="C55" s="84"/>
      <c r="D55" s="84"/>
      <c r="E55" s="90"/>
      <c r="F55" s="37"/>
    </row>
    <row r="56" spans="1:6" s="92" customFormat="1" ht="12">
      <c r="A56" s="84"/>
      <c r="B56" s="84"/>
      <c r="C56" s="84"/>
      <c r="D56" s="84"/>
      <c r="E56" s="90"/>
      <c r="F56" s="37"/>
    </row>
    <row r="57" spans="1:6" s="92" customFormat="1" ht="12">
      <c r="A57" s="84"/>
      <c r="B57" s="84"/>
      <c r="C57" s="84"/>
      <c r="D57" s="84"/>
      <c r="E57" s="90"/>
      <c r="F57" s="37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41">
      <selection activeCell="A50" sqref="A5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1.75390625" style="18" customWidth="1"/>
    <col min="7" max="7" width="5.125" style="0" hidden="1" customWidth="1"/>
    <col min="8" max="8" width="10.125" style="92" customWidth="1"/>
    <col min="9" max="11" width="8.00390625" style="92" customWidth="1"/>
    <col min="12" max="12" width="8.125" style="92" customWidth="1"/>
    <col min="13" max="13" width="9.62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9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92</v>
      </c>
      <c r="D2" s="432"/>
      <c r="E2" s="10" t="s">
        <v>6</v>
      </c>
      <c r="F2" s="10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13">
        <f>SUM(F5:F27)</f>
        <v>24240000</v>
      </c>
      <c r="G3" s="114">
        <f aca="true" t="shared" si="0" ref="G3:M3">SUM(G5:G27)</f>
        <v>0</v>
      </c>
      <c r="H3" s="115">
        <f t="shared" si="0"/>
        <v>24240000</v>
      </c>
      <c r="I3" s="116">
        <f t="shared" si="0"/>
        <v>0</v>
      </c>
      <c r="J3" s="116">
        <f t="shared" si="0"/>
        <v>0</v>
      </c>
      <c r="K3" s="116">
        <f t="shared" si="0"/>
        <v>0</v>
      </c>
      <c r="L3" s="115">
        <f t="shared" si="0"/>
        <v>0</v>
      </c>
      <c r="M3" s="117">
        <f t="shared" si="0"/>
        <v>15608595</v>
      </c>
    </row>
    <row r="4" spans="1:13" s="37" customFormat="1" ht="12.75">
      <c r="A4" s="28" t="s">
        <v>15</v>
      </c>
      <c r="B4" s="29" t="s">
        <v>16</v>
      </c>
      <c r="C4" s="29"/>
      <c r="D4" s="29"/>
      <c r="E4" s="30">
        <v>2</v>
      </c>
      <c r="F4" s="118">
        <f>SUM(F5:F15)</f>
        <v>3475000</v>
      </c>
      <c r="G4" s="119">
        <f aca="true" t="shared" si="1" ref="G4:M4">SUM(G5:G15)</f>
        <v>0</v>
      </c>
      <c r="H4" s="120">
        <f t="shared" si="1"/>
        <v>3475000</v>
      </c>
      <c r="I4" s="121">
        <f t="shared" si="1"/>
        <v>0</v>
      </c>
      <c r="J4" s="121">
        <f t="shared" si="1"/>
        <v>0</v>
      </c>
      <c r="K4" s="121">
        <f t="shared" si="1"/>
        <v>0</v>
      </c>
      <c r="L4" s="120">
        <f t="shared" si="1"/>
        <v>0</v>
      </c>
      <c r="M4" s="122">
        <f t="shared" si="1"/>
        <v>3036579</v>
      </c>
    </row>
    <row r="5" spans="1:13" s="98" customFormat="1" ht="12.75">
      <c r="A5" s="94"/>
      <c r="B5" s="95"/>
      <c r="C5" s="95" t="s">
        <v>17</v>
      </c>
      <c r="D5" s="96" t="s">
        <v>18</v>
      </c>
      <c r="E5" s="97">
        <v>3</v>
      </c>
      <c r="F5" s="123">
        <f>SUM(H5:L5)</f>
        <v>800000</v>
      </c>
      <c r="G5" s="124"/>
      <c r="H5" s="125">
        <v>800000</v>
      </c>
      <c r="I5" s="125"/>
      <c r="J5" s="126"/>
      <c r="K5" s="126"/>
      <c r="L5" s="127"/>
      <c r="M5" s="128">
        <v>1163536</v>
      </c>
    </row>
    <row r="6" spans="1:13" s="98" customFormat="1" ht="12.75">
      <c r="A6" s="94"/>
      <c r="B6" s="95"/>
      <c r="C6" s="95"/>
      <c r="D6" s="96" t="s">
        <v>19</v>
      </c>
      <c r="E6" s="97">
        <v>4</v>
      </c>
      <c r="F6" s="123">
        <f aca="true" t="shared" si="2" ref="F6:F45">SUM(H6:L6)</f>
        <v>350000</v>
      </c>
      <c r="G6" s="124"/>
      <c r="H6" s="125">
        <v>350000</v>
      </c>
      <c r="I6" s="125"/>
      <c r="J6" s="126"/>
      <c r="K6" s="126"/>
      <c r="L6" s="127"/>
      <c r="M6" s="128">
        <v>46670</v>
      </c>
    </row>
    <row r="7" spans="1:13" s="98" customFormat="1" ht="12.75">
      <c r="A7" s="94"/>
      <c r="B7" s="95"/>
      <c r="C7" s="95"/>
      <c r="D7" s="96" t="s">
        <v>20</v>
      </c>
      <c r="E7" s="97">
        <v>5</v>
      </c>
      <c r="F7" s="123">
        <f t="shared" si="2"/>
        <v>181000</v>
      </c>
      <c r="G7" s="124"/>
      <c r="H7" s="125">
        <v>181000</v>
      </c>
      <c r="I7" s="125"/>
      <c r="J7" s="126"/>
      <c r="K7" s="126"/>
      <c r="L7" s="127"/>
      <c r="M7" s="128">
        <v>409215</v>
      </c>
    </row>
    <row r="8" spans="1:13" s="98" customFormat="1" ht="12.75">
      <c r="A8" s="94"/>
      <c r="B8" s="95"/>
      <c r="C8" s="95"/>
      <c r="D8" s="96" t="s">
        <v>21</v>
      </c>
      <c r="E8" s="97">
        <v>6</v>
      </c>
      <c r="F8" s="123">
        <f t="shared" si="2"/>
        <v>50000</v>
      </c>
      <c r="G8" s="124"/>
      <c r="H8" s="125">
        <v>50000</v>
      </c>
      <c r="I8" s="125"/>
      <c r="J8" s="126"/>
      <c r="K8" s="126"/>
      <c r="L8" s="127"/>
      <c r="M8" s="128">
        <v>10624</v>
      </c>
    </row>
    <row r="9" spans="1:13" s="98" customFormat="1" ht="12.75">
      <c r="A9" s="94"/>
      <c r="B9" s="95"/>
      <c r="C9" s="95"/>
      <c r="D9" s="96" t="s">
        <v>22</v>
      </c>
      <c r="E9" s="97">
        <v>7</v>
      </c>
      <c r="F9" s="123">
        <f t="shared" si="2"/>
        <v>50000</v>
      </c>
      <c r="G9" s="124"/>
      <c r="H9" s="125">
        <v>50000</v>
      </c>
      <c r="I9" s="125"/>
      <c r="J9" s="126"/>
      <c r="K9" s="126"/>
      <c r="L9" s="127"/>
      <c r="M9" s="128">
        <v>1190</v>
      </c>
    </row>
    <row r="10" spans="1:13" s="98" customFormat="1" ht="12.75">
      <c r="A10" s="94"/>
      <c r="B10" s="95"/>
      <c r="C10" s="95"/>
      <c r="D10" s="96" t="s">
        <v>23</v>
      </c>
      <c r="E10" s="97">
        <v>8</v>
      </c>
      <c r="F10" s="123">
        <f t="shared" si="2"/>
        <v>200000</v>
      </c>
      <c r="G10" s="124"/>
      <c r="H10" s="125">
        <v>200000</v>
      </c>
      <c r="I10" s="125"/>
      <c r="J10" s="126"/>
      <c r="K10" s="126"/>
      <c r="L10" s="127"/>
      <c r="M10" s="128">
        <v>603191</v>
      </c>
    </row>
    <row r="11" spans="1:13" s="98" customFormat="1" ht="12.75">
      <c r="A11" s="94"/>
      <c r="B11" s="95"/>
      <c r="C11" s="95"/>
      <c r="D11" s="96" t="s">
        <v>24</v>
      </c>
      <c r="E11" s="97">
        <v>9</v>
      </c>
      <c r="F11" s="123">
        <f t="shared" si="2"/>
        <v>1200000</v>
      </c>
      <c r="G11" s="124"/>
      <c r="H11" s="125">
        <v>1200000</v>
      </c>
      <c r="I11" s="125"/>
      <c r="J11" s="126"/>
      <c r="K11" s="126"/>
      <c r="L11" s="127"/>
      <c r="M11" s="128">
        <v>177008</v>
      </c>
    </row>
    <row r="12" spans="1:13" s="98" customFormat="1" ht="12.75">
      <c r="A12" s="94"/>
      <c r="B12" s="95"/>
      <c r="C12" s="95"/>
      <c r="D12" s="96" t="s">
        <v>25</v>
      </c>
      <c r="E12" s="97">
        <v>10</v>
      </c>
      <c r="F12" s="123">
        <f t="shared" si="2"/>
        <v>20000</v>
      </c>
      <c r="G12" s="124"/>
      <c r="H12" s="125">
        <v>20000</v>
      </c>
      <c r="I12" s="125"/>
      <c r="J12" s="126"/>
      <c r="K12" s="126"/>
      <c r="L12" s="127"/>
      <c r="M12" s="128">
        <v>20727</v>
      </c>
    </row>
    <row r="13" spans="1:13" s="98" customFormat="1" ht="12.75">
      <c r="A13" s="94"/>
      <c r="B13" s="95"/>
      <c r="C13" s="95"/>
      <c r="D13" s="96" t="s">
        <v>26</v>
      </c>
      <c r="E13" s="97">
        <v>11</v>
      </c>
      <c r="F13" s="123">
        <f t="shared" si="2"/>
        <v>379000</v>
      </c>
      <c r="G13" s="124"/>
      <c r="H13" s="125">
        <v>379000</v>
      </c>
      <c r="I13" s="125"/>
      <c r="J13" s="126"/>
      <c r="K13" s="126"/>
      <c r="L13" s="127"/>
      <c r="M13" s="128">
        <v>379074</v>
      </c>
    </row>
    <row r="14" spans="1:13" s="98" customFormat="1" ht="12.75">
      <c r="A14" s="94"/>
      <c r="B14" s="95"/>
      <c r="C14" s="95"/>
      <c r="D14" s="96" t="s">
        <v>27</v>
      </c>
      <c r="E14" s="97">
        <v>12</v>
      </c>
      <c r="F14" s="123">
        <f t="shared" si="2"/>
        <v>0</v>
      </c>
      <c r="G14" s="124"/>
      <c r="H14" s="125"/>
      <c r="I14" s="125"/>
      <c r="J14" s="126"/>
      <c r="K14" s="126"/>
      <c r="L14" s="127"/>
      <c r="M14" s="128"/>
    </row>
    <row r="15" spans="1:13" s="98" customFormat="1" ht="12.75">
      <c r="A15" s="94"/>
      <c r="B15" s="95"/>
      <c r="C15" s="96"/>
      <c r="D15" s="96" t="s">
        <v>28</v>
      </c>
      <c r="E15" s="97">
        <v>13</v>
      </c>
      <c r="F15" s="123">
        <f t="shared" si="2"/>
        <v>245000</v>
      </c>
      <c r="G15" s="124"/>
      <c r="H15" s="125">
        <v>245000</v>
      </c>
      <c r="I15" s="125"/>
      <c r="J15" s="126"/>
      <c r="K15" s="126"/>
      <c r="L15" s="127"/>
      <c r="M15" s="128">
        <v>225344</v>
      </c>
    </row>
    <row r="16" spans="1:13" s="37" customFormat="1" ht="12.75">
      <c r="A16" s="28"/>
      <c r="B16" s="47" t="s">
        <v>29</v>
      </c>
      <c r="C16" s="39"/>
      <c r="D16" s="39"/>
      <c r="E16" s="40">
        <v>14</v>
      </c>
      <c r="F16" s="129">
        <f t="shared" si="2"/>
        <v>0</v>
      </c>
      <c r="G16" s="130"/>
      <c r="H16" s="131"/>
      <c r="I16" s="131"/>
      <c r="J16" s="132"/>
      <c r="K16" s="132"/>
      <c r="L16" s="133"/>
      <c r="M16" s="134"/>
    </row>
    <row r="17" spans="1:13" s="37" customFormat="1" ht="12.75">
      <c r="A17" s="28"/>
      <c r="B17" s="47" t="s">
        <v>31</v>
      </c>
      <c r="C17" s="39"/>
      <c r="D17" s="39"/>
      <c r="E17" s="40">
        <v>15</v>
      </c>
      <c r="F17" s="129">
        <f t="shared" si="2"/>
        <v>0</v>
      </c>
      <c r="G17" s="130"/>
      <c r="H17" s="131"/>
      <c r="I17" s="131"/>
      <c r="J17" s="132"/>
      <c r="K17" s="132"/>
      <c r="L17" s="133"/>
      <c r="M17" s="134"/>
    </row>
    <row r="18" spans="1:13" s="37" customFormat="1" ht="12.75">
      <c r="A18" s="28"/>
      <c r="B18" s="48" t="s">
        <v>33</v>
      </c>
      <c r="C18" s="49"/>
      <c r="D18" s="49"/>
      <c r="E18" s="50">
        <v>16</v>
      </c>
      <c r="F18" s="129">
        <f t="shared" si="2"/>
        <v>12550000</v>
      </c>
      <c r="G18" s="130"/>
      <c r="H18" s="131">
        <v>12550000</v>
      </c>
      <c r="I18" s="131"/>
      <c r="J18" s="132"/>
      <c r="K18" s="132"/>
      <c r="L18" s="133"/>
      <c r="M18" s="134">
        <v>8120000</v>
      </c>
    </row>
    <row r="19" spans="1:13" s="37" customFormat="1" ht="12.75">
      <c r="A19" s="28"/>
      <c r="B19" s="48" t="s">
        <v>35</v>
      </c>
      <c r="C19" s="49"/>
      <c r="D19" s="49"/>
      <c r="E19" s="50">
        <v>17</v>
      </c>
      <c r="F19" s="129">
        <f t="shared" si="2"/>
        <v>0</v>
      </c>
      <c r="G19" s="130"/>
      <c r="H19" s="131"/>
      <c r="I19" s="131"/>
      <c r="J19" s="132"/>
      <c r="K19" s="132"/>
      <c r="L19" s="133"/>
      <c r="M19" s="134"/>
    </row>
    <row r="20" spans="1:13" s="37" customFormat="1" ht="12.75">
      <c r="A20" s="28"/>
      <c r="B20" s="48" t="s">
        <v>37</v>
      </c>
      <c r="C20" s="48"/>
      <c r="D20" s="48"/>
      <c r="E20" s="50">
        <v>18</v>
      </c>
      <c r="F20" s="129">
        <f t="shared" si="2"/>
        <v>0</v>
      </c>
      <c r="G20" s="130"/>
      <c r="H20" s="131"/>
      <c r="I20" s="131"/>
      <c r="J20" s="132"/>
      <c r="K20" s="132"/>
      <c r="L20" s="133"/>
      <c r="M20" s="134"/>
    </row>
    <row r="21" spans="1:13" s="37" customFormat="1" ht="12.75">
      <c r="A21" s="28"/>
      <c r="B21" s="48" t="s">
        <v>39</v>
      </c>
      <c r="C21" s="48"/>
      <c r="D21" s="48"/>
      <c r="E21" s="50">
        <v>19</v>
      </c>
      <c r="F21" s="129">
        <f t="shared" si="2"/>
        <v>8215000</v>
      </c>
      <c r="G21" s="130"/>
      <c r="H21" s="131">
        <v>8215000</v>
      </c>
      <c r="I21" s="131"/>
      <c r="J21" s="132"/>
      <c r="K21" s="132"/>
      <c r="L21" s="133"/>
      <c r="M21" s="134">
        <v>4452016</v>
      </c>
    </row>
    <row r="22" spans="1:13" s="37" customFormat="1" ht="12.75">
      <c r="A22" s="28"/>
      <c r="B22" s="48" t="s">
        <v>41</v>
      </c>
      <c r="C22" s="48"/>
      <c r="D22" s="48"/>
      <c r="E22" s="50">
        <v>20</v>
      </c>
      <c r="F22" s="129">
        <f t="shared" si="2"/>
        <v>0</v>
      </c>
      <c r="G22" s="130"/>
      <c r="H22" s="133"/>
      <c r="I22" s="132"/>
      <c r="J22" s="132"/>
      <c r="K22" s="132"/>
      <c r="L22" s="133"/>
      <c r="M22" s="134"/>
    </row>
    <row r="23" spans="1:13" s="37" customFormat="1" ht="12.75">
      <c r="A23" s="28"/>
      <c r="B23" s="48" t="s">
        <v>43</v>
      </c>
      <c r="C23" s="48"/>
      <c r="D23" s="48"/>
      <c r="E23" s="50">
        <v>21</v>
      </c>
      <c r="F23" s="129">
        <f t="shared" si="2"/>
        <v>0</v>
      </c>
      <c r="G23" s="130"/>
      <c r="H23" s="133"/>
      <c r="I23" s="132"/>
      <c r="J23" s="132"/>
      <c r="K23" s="132"/>
      <c r="L23" s="133"/>
      <c r="M23" s="134"/>
    </row>
    <row r="24" spans="1:13" s="37" customFormat="1" ht="12.75">
      <c r="A24" s="28"/>
      <c r="B24" s="48" t="s">
        <v>45</v>
      </c>
      <c r="C24" s="48"/>
      <c r="D24" s="48"/>
      <c r="E24" s="50">
        <v>22</v>
      </c>
      <c r="F24" s="129">
        <f t="shared" si="2"/>
        <v>0</v>
      </c>
      <c r="G24" s="130"/>
      <c r="H24" s="133"/>
      <c r="I24" s="132"/>
      <c r="J24" s="132"/>
      <c r="K24" s="132"/>
      <c r="L24" s="133"/>
      <c r="M24" s="134"/>
    </row>
    <row r="25" spans="1:13" s="37" customFormat="1" ht="12.75">
      <c r="A25" s="28"/>
      <c r="B25" s="48" t="s">
        <v>46</v>
      </c>
      <c r="C25" s="48"/>
      <c r="D25" s="48"/>
      <c r="E25" s="50">
        <v>23</v>
      </c>
      <c r="F25" s="129">
        <f t="shared" si="2"/>
        <v>0</v>
      </c>
      <c r="G25" s="130"/>
      <c r="H25" s="133"/>
      <c r="I25" s="132"/>
      <c r="J25" s="132"/>
      <c r="K25" s="132"/>
      <c r="L25" s="133"/>
      <c r="M25" s="134"/>
    </row>
    <row r="26" spans="1:13" s="37" customFormat="1" ht="12.75">
      <c r="A26" s="28"/>
      <c r="B26" s="48" t="s">
        <v>48</v>
      </c>
      <c r="C26" s="48"/>
      <c r="D26" s="48"/>
      <c r="E26" s="50">
        <v>24</v>
      </c>
      <c r="F26" s="129">
        <f t="shared" si="2"/>
        <v>0</v>
      </c>
      <c r="G26" s="130"/>
      <c r="H26" s="133"/>
      <c r="I26" s="132"/>
      <c r="J26" s="132"/>
      <c r="K26" s="132"/>
      <c r="L26" s="133"/>
      <c r="M26" s="134"/>
    </row>
    <row r="27" spans="1:13" s="37" customFormat="1" ht="13.5" thickBot="1">
      <c r="A27" s="28"/>
      <c r="B27" s="47" t="s">
        <v>50</v>
      </c>
      <c r="C27" s="47"/>
      <c r="D27" s="47"/>
      <c r="E27" s="40">
        <v>25</v>
      </c>
      <c r="F27" s="129">
        <f t="shared" si="2"/>
        <v>0</v>
      </c>
      <c r="G27" s="130"/>
      <c r="H27" s="133"/>
      <c r="I27" s="132"/>
      <c r="J27" s="132"/>
      <c r="K27" s="132"/>
      <c r="L27" s="133"/>
      <c r="M27" s="134"/>
    </row>
    <row r="28" spans="1:13" ht="13.5" thickBot="1">
      <c r="A28" s="54" t="s">
        <v>52</v>
      </c>
      <c r="B28" s="55"/>
      <c r="C28" s="55"/>
      <c r="D28" s="55"/>
      <c r="E28" s="21">
        <v>26</v>
      </c>
      <c r="F28" s="113">
        <f>SUM(F29:F45)</f>
        <v>24390000</v>
      </c>
      <c r="G28" s="114">
        <f aca="true" t="shared" si="3" ref="G28:M28">SUM(G29:G45)</f>
        <v>0</v>
      </c>
      <c r="H28" s="115">
        <f t="shared" si="3"/>
        <v>24390000</v>
      </c>
      <c r="I28" s="116">
        <f t="shared" si="3"/>
        <v>0</v>
      </c>
      <c r="J28" s="116">
        <f t="shared" si="3"/>
        <v>0</v>
      </c>
      <c r="K28" s="116">
        <f t="shared" si="3"/>
        <v>0</v>
      </c>
      <c r="L28" s="115">
        <f t="shared" si="3"/>
        <v>0</v>
      </c>
      <c r="M28" s="117">
        <f t="shared" si="3"/>
        <v>15715755</v>
      </c>
    </row>
    <row r="29" spans="1:13" s="37" customFormat="1" ht="12.75">
      <c r="A29" s="28" t="s">
        <v>15</v>
      </c>
      <c r="B29" s="39" t="s">
        <v>53</v>
      </c>
      <c r="C29" s="39"/>
      <c r="D29" s="39"/>
      <c r="E29" s="40">
        <v>27</v>
      </c>
      <c r="F29" s="129">
        <f t="shared" si="2"/>
        <v>3110000</v>
      </c>
      <c r="G29" s="119"/>
      <c r="H29" s="120">
        <v>3110000</v>
      </c>
      <c r="I29" s="121"/>
      <c r="J29" s="121"/>
      <c r="K29" s="121"/>
      <c r="L29" s="120"/>
      <c r="M29" s="122">
        <v>2040000</v>
      </c>
    </row>
    <row r="30" spans="1:13" s="37" customFormat="1" ht="12.75">
      <c r="A30" s="28"/>
      <c r="B30" s="47" t="s">
        <v>29</v>
      </c>
      <c r="C30" s="47"/>
      <c r="D30" s="47"/>
      <c r="E30" s="40">
        <v>28</v>
      </c>
      <c r="F30" s="129">
        <f t="shared" si="2"/>
        <v>0</v>
      </c>
      <c r="G30" s="135"/>
      <c r="H30" s="136"/>
      <c r="I30" s="137"/>
      <c r="J30" s="137"/>
      <c r="K30" s="137"/>
      <c r="L30" s="136"/>
      <c r="M30" s="138"/>
    </row>
    <row r="31" spans="1:13" s="37" customFormat="1" ht="12.75">
      <c r="A31" s="28"/>
      <c r="B31" s="47" t="s">
        <v>31</v>
      </c>
      <c r="C31" s="47"/>
      <c r="D31" s="47"/>
      <c r="E31" s="40">
        <v>29</v>
      </c>
      <c r="F31" s="129">
        <f t="shared" si="2"/>
        <v>0</v>
      </c>
      <c r="G31" s="135"/>
      <c r="H31" s="136"/>
      <c r="I31" s="137"/>
      <c r="J31" s="137"/>
      <c r="K31" s="137"/>
      <c r="L31" s="136"/>
      <c r="M31" s="138"/>
    </row>
    <row r="32" spans="1:13" s="37" customFormat="1" ht="12.75">
      <c r="A32" s="28"/>
      <c r="B32" s="48" t="s">
        <v>33</v>
      </c>
      <c r="C32" s="49"/>
      <c r="D32" s="49"/>
      <c r="E32" s="50">
        <v>30</v>
      </c>
      <c r="F32" s="129">
        <f t="shared" si="2"/>
        <v>12550000</v>
      </c>
      <c r="G32" s="135"/>
      <c r="H32" s="136">
        <f>H18</f>
        <v>12550000</v>
      </c>
      <c r="I32" s="137"/>
      <c r="J32" s="137"/>
      <c r="K32" s="137"/>
      <c r="L32" s="136"/>
      <c r="M32" s="138">
        <f>M18</f>
        <v>8120000</v>
      </c>
    </row>
    <row r="33" spans="1:13" s="37" customFormat="1" ht="12.75">
      <c r="A33" s="28"/>
      <c r="B33" s="48" t="s">
        <v>35</v>
      </c>
      <c r="C33" s="48"/>
      <c r="D33" s="48"/>
      <c r="E33" s="50">
        <v>31</v>
      </c>
      <c r="F33" s="129">
        <f t="shared" si="2"/>
        <v>0</v>
      </c>
      <c r="G33" s="135"/>
      <c r="H33" s="136"/>
      <c r="I33" s="137"/>
      <c r="J33" s="137"/>
      <c r="K33" s="137"/>
      <c r="L33" s="136"/>
      <c r="M33" s="138"/>
    </row>
    <row r="34" spans="1:13" s="37" customFormat="1" ht="12.75">
      <c r="A34" s="28"/>
      <c r="B34" s="48" t="s">
        <v>55</v>
      </c>
      <c r="C34" s="48"/>
      <c r="D34" s="48"/>
      <c r="E34" s="50">
        <v>32</v>
      </c>
      <c r="F34" s="129">
        <f t="shared" si="2"/>
        <v>0</v>
      </c>
      <c r="G34" s="135"/>
      <c r="H34" s="136"/>
      <c r="I34" s="137"/>
      <c r="J34" s="137"/>
      <c r="K34" s="137"/>
      <c r="L34" s="136"/>
      <c r="M34" s="138"/>
    </row>
    <row r="35" spans="1:13" s="37" customFormat="1" ht="12.75">
      <c r="A35" s="28"/>
      <c r="B35" s="48" t="s">
        <v>37</v>
      </c>
      <c r="C35" s="48"/>
      <c r="D35" s="48"/>
      <c r="E35" s="50">
        <v>33</v>
      </c>
      <c r="F35" s="129">
        <f t="shared" si="2"/>
        <v>0</v>
      </c>
      <c r="G35" s="135"/>
      <c r="H35" s="136"/>
      <c r="I35" s="137"/>
      <c r="J35" s="137"/>
      <c r="K35" s="137"/>
      <c r="L35" s="136"/>
      <c r="M35" s="138"/>
    </row>
    <row r="36" spans="1:13" s="37" customFormat="1" ht="12.75">
      <c r="A36" s="28"/>
      <c r="B36" s="48" t="s">
        <v>39</v>
      </c>
      <c r="C36" s="48"/>
      <c r="D36" s="48"/>
      <c r="E36" s="50">
        <v>34</v>
      </c>
      <c r="F36" s="129">
        <f t="shared" si="2"/>
        <v>8215000</v>
      </c>
      <c r="G36" s="135"/>
      <c r="H36" s="136">
        <f>H21</f>
        <v>8215000</v>
      </c>
      <c r="I36" s="137"/>
      <c r="J36" s="137"/>
      <c r="K36" s="137"/>
      <c r="L36" s="136"/>
      <c r="M36" s="138">
        <v>4452016</v>
      </c>
    </row>
    <row r="37" spans="1:13" s="37" customFormat="1" ht="12.75">
      <c r="A37" s="28"/>
      <c r="B37" s="48" t="s">
        <v>57</v>
      </c>
      <c r="C37" s="48"/>
      <c r="D37" s="48"/>
      <c r="E37" s="50">
        <v>35</v>
      </c>
      <c r="F37" s="129">
        <f t="shared" si="2"/>
        <v>0</v>
      </c>
      <c r="G37" s="135"/>
      <c r="H37" s="136"/>
      <c r="I37" s="137"/>
      <c r="J37" s="137"/>
      <c r="K37" s="137"/>
      <c r="L37" s="136"/>
      <c r="M37" s="138"/>
    </row>
    <row r="38" spans="1:13" s="37" customFormat="1" ht="12.75">
      <c r="A38" s="28"/>
      <c r="B38" s="48" t="s">
        <v>58</v>
      </c>
      <c r="C38" s="48"/>
      <c r="D38" s="48"/>
      <c r="E38" s="50">
        <v>36</v>
      </c>
      <c r="F38" s="129">
        <f t="shared" si="2"/>
        <v>0</v>
      </c>
      <c r="G38" s="135"/>
      <c r="H38" s="136"/>
      <c r="I38" s="137"/>
      <c r="J38" s="137"/>
      <c r="K38" s="137"/>
      <c r="L38" s="136"/>
      <c r="M38" s="138"/>
    </row>
    <row r="39" spans="1:13" s="37" customFormat="1" ht="12.75">
      <c r="A39" s="28"/>
      <c r="B39" s="48" t="s">
        <v>60</v>
      </c>
      <c r="C39" s="48"/>
      <c r="D39" s="48"/>
      <c r="E39" s="50">
        <v>37</v>
      </c>
      <c r="F39" s="129">
        <f t="shared" si="2"/>
        <v>0</v>
      </c>
      <c r="G39" s="135"/>
      <c r="H39" s="136"/>
      <c r="I39" s="137"/>
      <c r="J39" s="137"/>
      <c r="K39" s="137"/>
      <c r="L39" s="136"/>
      <c r="M39" s="138"/>
    </row>
    <row r="40" spans="1:13" s="37" customFormat="1" ht="12.75">
      <c r="A40" s="28"/>
      <c r="B40" s="48" t="s">
        <v>61</v>
      </c>
      <c r="C40" s="48"/>
      <c r="D40" s="48"/>
      <c r="E40" s="50">
        <v>38</v>
      </c>
      <c r="F40" s="129">
        <f t="shared" si="2"/>
        <v>0</v>
      </c>
      <c r="G40" s="135"/>
      <c r="H40" s="136"/>
      <c r="I40" s="137"/>
      <c r="J40" s="137"/>
      <c r="K40" s="137"/>
      <c r="L40" s="136"/>
      <c r="M40" s="138"/>
    </row>
    <row r="41" spans="1:13" s="37" customFormat="1" ht="12.75">
      <c r="A41" s="28"/>
      <c r="B41" s="48" t="s">
        <v>46</v>
      </c>
      <c r="C41" s="48"/>
      <c r="D41" s="48"/>
      <c r="E41" s="50">
        <v>39</v>
      </c>
      <c r="F41" s="129">
        <f t="shared" si="2"/>
        <v>0</v>
      </c>
      <c r="G41" s="135"/>
      <c r="H41" s="136"/>
      <c r="I41" s="137"/>
      <c r="J41" s="137"/>
      <c r="K41" s="137"/>
      <c r="L41" s="136"/>
      <c r="M41" s="138"/>
    </row>
    <row r="42" spans="1:13" s="37" customFormat="1" ht="12.75">
      <c r="A42" s="28"/>
      <c r="B42" s="48" t="s">
        <v>62</v>
      </c>
      <c r="C42" s="48"/>
      <c r="D42" s="48"/>
      <c r="E42" s="50">
        <v>40</v>
      </c>
      <c r="F42" s="129">
        <f t="shared" si="2"/>
        <v>0</v>
      </c>
      <c r="G42" s="135"/>
      <c r="H42" s="136"/>
      <c r="I42" s="137"/>
      <c r="J42" s="137"/>
      <c r="K42" s="137"/>
      <c r="L42" s="136"/>
      <c r="M42" s="138"/>
    </row>
    <row r="43" spans="1:13" s="37" customFormat="1" ht="12.75">
      <c r="A43" s="28"/>
      <c r="B43" s="48" t="s">
        <v>63</v>
      </c>
      <c r="C43" s="48"/>
      <c r="D43" s="48"/>
      <c r="E43" s="50">
        <v>41</v>
      </c>
      <c r="F43" s="129">
        <f t="shared" si="2"/>
        <v>515000</v>
      </c>
      <c r="G43" s="135"/>
      <c r="H43" s="136">
        <v>515000</v>
      </c>
      <c r="I43" s="137"/>
      <c r="J43" s="137"/>
      <c r="K43" s="137"/>
      <c r="L43" s="136"/>
      <c r="M43" s="138">
        <v>1103739</v>
      </c>
    </row>
    <row r="44" spans="1:13" s="37" customFormat="1" ht="12.75">
      <c r="A44" s="28"/>
      <c r="B44" s="48" t="s">
        <v>64</v>
      </c>
      <c r="C44" s="48"/>
      <c r="D44" s="48"/>
      <c r="E44" s="50">
        <v>42</v>
      </c>
      <c r="F44" s="129">
        <f t="shared" si="2"/>
        <v>0</v>
      </c>
      <c r="G44" s="135"/>
      <c r="H44" s="139" t="s">
        <v>99</v>
      </c>
      <c r="I44" s="137"/>
      <c r="J44" s="137"/>
      <c r="K44" s="137"/>
      <c r="L44" s="136"/>
      <c r="M44" s="138"/>
    </row>
    <row r="45" spans="1:13" s="37" customFormat="1" ht="12.75">
      <c r="A45" s="65"/>
      <c r="B45" s="66" t="s">
        <v>50</v>
      </c>
      <c r="C45" s="66"/>
      <c r="D45" s="66"/>
      <c r="E45" s="67">
        <v>43</v>
      </c>
      <c r="F45" s="140">
        <f t="shared" si="2"/>
        <v>0</v>
      </c>
      <c r="G45" s="141"/>
      <c r="H45" s="142"/>
      <c r="I45" s="143"/>
      <c r="J45" s="143"/>
      <c r="K45" s="143"/>
      <c r="L45" s="142"/>
      <c r="M45" s="144"/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47">
        <f>F29+F34+F38+F43+F44+F45-F4-F27</f>
        <v>150000</v>
      </c>
      <c r="G46" s="146">
        <f>G29+G34+G38+G43+G44+G45+-G4-G27</f>
        <v>0</v>
      </c>
      <c r="H46" s="146">
        <f>H29+H34+H38+H43+H45-H4-H27</f>
        <v>150000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107160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13">
        <f>F28-F3</f>
        <v>150000</v>
      </c>
      <c r="G47" s="114">
        <f aca="true" t="shared" si="4" ref="G47:M47">G28-G3</f>
        <v>0</v>
      </c>
      <c r="H47" s="115">
        <f t="shared" si="4"/>
        <v>150000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107160</v>
      </c>
    </row>
    <row r="48" spans="1:5" ht="9.75" customHeight="1">
      <c r="A48" s="80"/>
      <c r="B48" s="80"/>
      <c r="C48" s="80"/>
      <c r="D48" s="80"/>
      <c r="E48" s="81"/>
    </row>
    <row r="49" spans="5:13" s="80" customFormat="1" ht="8.25" customHeight="1">
      <c r="E49" s="81"/>
      <c r="F49" s="18"/>
      <c r="H49" s="92"/>
      <c r="I49" s="92"/>
      <c r="J49" s="92"/>
      <c r="K49" s="92"/>
      <c r="L49" s="92"/>
      <c r="M49" s="92"/>
    </row>
    <row r="50" spans="1:13" s="80" customFormat="1" ht="12.75">
      <c r="A50" s="84" t="s">
        <v>100</v>
      </c>
      <c r="E50" s="81"/>
      <c r="F50" s="157"/>
      <c r="H50" s="92"/>
      <c r="J50" s="156"/>
      <c r="L50" s="92"/>
      <c r="M50" s="92"/>
    </row>
    <row r="51" spans="5:13" s="84" customFormat="1" ht="12.75">
      <c r="E51" s="86"/>
      <c r="F51" s="88"/>
      <c r="H51" s="108"/>
      <c r="I51" s="108"/>
      <c r="J51" s="108"/>
      <c r="K51" s="108"/>
      <c r="L51" s="108"/>
      <c r="M51" s="108"/>
    </row>
    <row r="52" spans="5:13" s="84" customFormat="1" ht="12.75">
      <c r="E52" s="86"/>
      <c r="F52" s="88"/>
      <c r="H52" s="108"/>
      <c r="I52" s="108"/>
      <c r="J52" s="108"/>
      <c r="K52" s="108"/>
      <c r="L52" s="108"/>
      <c r="M52" s="108"/>
    </row>
    <row r="53" spans="5:13" s="84" customFormat="1" ht="12.75">
      <c r="E53" s="86"/>
      <c r="F53" s="88"/>
      <c r="H53" s="108"/>
      <c r="I53" s="108"/>
      <c r="J53" s="108"/>
      <c r="K53" s="108"/>
      <c r="L53" s="108"/>
      <c r="M53" s="108"/>
    </row>
    <row r="54" spans="1:13" s="80" customFormat="1" ht="12.75">
      <c r="A54" s="84"/>
      <c r="B54" s="84"/>
      <c r="C54" s="84"/>
      <c r="D54" s="84"/>
      <c r="E54" s="81"/>
      <c r="F54" s="18"/>
      <c r="H54" s="92"/>
      <c r="I54" s="92"/>
      <c r="J54" s="92"/>
      <c r="K54" s="92"/>
      <c r="L54" s="92"/>
      <c r="M54" s="92"/>
    </row>
    <row r="55" spans="1:6" s="92" customFormat="1" ht="12.75">
      <c r="A55" s="84"/>
      <c r="B55" s="84"/>
      <c r="C55" s="84"/>
      <c r="D55" s="84"/>
      <c r="E55" s="90"/>
      <c r="F55" s="18"/>
    </row>
    <row r="56" spans="1:6" s="92" customFormat="1" ht="12.75">
      <c r="A56" s="84"/>
      <c r="B56" s="84"/>
      <c r="C56" s="84"/>
      <c r="D56" s="84"/>
      <c r="E56" s="90"/>
      <c r="F56" s="18"/>
    </row>
    <row r="57" spans="1:6" s="92" customFormat="1" ht="12.75">
      <c r="A57" s="84"/>
      <c r="B57" s="84"/>
      <c r="C57" s="84"/>
      <c r="D57" s="84"/>
      <c r="E57" s="90"/>
      <c r="F57" s="18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27" bottom="0.28" header="0.1968503937007874" footer="0.19"/>
  <pageSetup horizontalDpi="600" verticalDpi="600" orientation="landscape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47">
      <selection activeCell="A53" sqref="A53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0.00390625" style="37" customWidth="1"/>
    <col min="7" max="7" width="5.125" style="0" hidden="1" customWidth="1"/>
    <col min="8" max="8" width="8.75390625" style="92" customWidth="1"/>
    <col min="9" max="11" width="8.00390625" style="92" customWidth="1"/>
    <col min="12" max="12" width="8.125" style="92" customWidth="1"/>
    <col min="13" max="13" width="9.62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93</v>
      </c>
      <c r="D2" s="432"/>
      <c r="E2" s="10" t="s">
        <v>6</v>
      </c>
      <c r="F2" s="16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>SUM(F5:F27)</f>
        <v>23160000</v>
      </c>
      <c r="G3" s="114">
        <f aca="true" t="shared" si="0" ref="G3:M3">SUM(G5:G27)</f>
        <v>0</v>
      </c>
      <c r="H3" s="115">
        <f t="shared" si="0"/>
        <v>14200000</v>
      </c>
      <c r="I3" s="116">
        <f t="shared" si="0"/>
        <v>0</v>
      </c>
      <c r="J3" s="116">
        <f t="shared" si="0"/>
        <v>8960000</v>
      </c>
      <c r="K3" s="116">
        <f t="shared" si="0"/>
        <v>0</v>
      </c>
      <c r="L3" s="115">
        <f t="shared" si="0"/>
        <v>0</v>
      </c>
      <c r="M3" s="117">
        <f t="shared" si="0"/>
        <v>34997575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>SUM(F5:F15)</f>
        <v>8960000</v>
      </c>
      <c r="G4" s="119">
        <f aca="true" t="shared" si="1" ref="G4:M4">SUM(G5:G15)</f>
        <v>0</v>
      </c>
      <c r="H4" s="120">
        <f t="shared" si="1"/>
        <v>0</v>
      </c>
      <c r="I4" s="121">
        <f t="shared" si="1"/>
        <v>0</v>
      </c>
      <c r="J4" s="121">
        <f t="shared" si="1"/>
        <v>8960000</v>
      </c>
      <c r="K4" s="121">
        <f t="shared" si="1"/>
        <v>0</v>
      </c>
      <c r="L4" s="120">
        <f t="shared" si="1"/>
        <v>0</v>
      </c>
      <c r="M4" s="122">
        <f t="shared" si="1"/>
        <v>29627722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63">
        <f>SUM(H5:L5)</f>
        <v>2900000</v>
      </c>
      <c r="G5" s="124"/>
      <c r="H5" s="125"/>
      <c r="I5" s="125"/>
      <c r="J5" s="126">
        <v>2900000</v>
      </c>
      <c r="K5" s="126"/>
      <c r="L5" s="127"/>
      <c r="M5" s="128">
        <v>3455928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63">
        <f aca="true" t="shared" si="2" ref="F6:F45">SUM(H6:L6)</f>
        <v>4200000</v>
      </c>
      <c r="G6" s="124"/>
      <c r="H6" s="125"/>
      <c r="I6" s="125"/>
      <c r="J6" s="126">
        <v>4200000</v>
      </c>
      <c r="K6" s="126"/>
      <c r="L6" s="127"/>
      <c r="M6" s="128">
        <v>4125246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63">
        <f t="shared" si="2"/>
        <v>1015000</v>
      </c>
      <c r="G7" s="124"/>
      <c r="H7" s="125"/>
      <c r="I7" s="125"/>
      <c r="J7" s="126">
        <v>1015000</v>
      </c>
      <c r="K7" s="126"/>
      <c r="L7" s="127"/>
      <c r="M7" s="128">
        <v>1209934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63">
        <f t="shared" si="2"/>
        <v>20000</v>
      </c>
      <c r="G8" s="124"/>
      <c r="H8" s="125"/>
      <c r="I8" s="125"/>
      <c r="J8" s="126">
        <v>20000</v>
      </c>
      <c r="K8" s="126"/>
      <c r="L8" s="127"/>
      <c r="M8" s="128">
        <v>32995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63">
        <f t="shared" si="2"/>
        <v>25000</v>
      </c>
      <c r="G9" s="124"/>
      <c r="H9" s="125"/>
      <c r="I9" s="125"/>
      <c r="J9" s="126">
        <v>25000</v>
      </c>
      <c r="K9" s="126"/>
      <c r="L9" s="127"/>
      <c r="M9" s="128"/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63">
        <f t="shared" si="2"/>
        <v>5000</v>
      </c>
      <c r="G10" s="124"/>
      <c r="H10" s="125"/>
      <c r="I10" s="125"/>
      <c r="J10" s="126">
        <v>5000</v>
      </c>
      <c r="K10" s="126"/>
      <c r="L10" s="127"/>
      <c r="M10" s="128">
        <v>46490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63">
        <f t="shared" si="2"/>
        <v>130000</v>
      </c>
      <c r="G11" s="124"/>
      <c r="H11" s="125"/>
      <c r="I11" s="125"/>
      <c r="J11" s="126">
        <v>130000</v>
      </c>
      <c r="K11" s="126"/>
      <c r="L11" s="127"/>
      <c r="M11" s="128">
        <v>1015988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63">
        <f t="shared" si="2"/>
        <v>300000</v>
      </c>
      <c r="G12" s="124"/>
      <c r="H12" s="125"/>
      <c r="I12" s="125"/>
      <c r="J12" s="126">
        <v>300000</v>
      </c>
      <c r="K12" s="126"/>
      <c r="L12" s="127"/>
      <c r="M12" s="128">
        <v>397853</v>
      </c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63">
        <f t="shared" si="2"/>
        <v>300000</v>
      </c>
      <c r="G13" s="124"/>
      <c r="H13" s="125"/>
      <c r="I13" s="125"/>
      <c r="J13" s="126">
        <v>300000</v>
      </c>
      <c r="K13" s="126"/>
      <c r="L13" s="127"/>
      <c r="M13" s="128">
        <v>190235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63">
        <f t="shared" si="2"/>
        <v>0</v>
      </c>
      <c r="G14" s="124"/>
      <c r="H14" s="125"/>
      <c r="I14" s="125"/>
      <c r="J14" s="126"/>
      <c r="K14" s="126"/>
      <c r="L14" s="127"/>
      <c r="M14" s="128"/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63">
        <f t="shared" si="2"/>
        <v>65000</v>
      </c>
      <c r="G15" s="124"/>
      <c r="H15" s="125"/>
      <c r="I15" s="125"/>
      <c r="J15" s="126">
        <v>65000</v>
      </c>
      <c r="K15" s="126"/>
      <c r="L15" s="127"/>
      <c r="M15" s="128">
        <v>19153053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0</v>
      </c>
      <c r="G16" s="130"/>
      <c r="H16" s="131"/>
      <c r="I16" s="131"/>
      <c r="J16" s="132"/>
      <c r="K16" s="132"/>
      <c r="L16" s="133"/>
      <c r="M16" s="134"/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0</v>
      </c>
      <c r="G17" s="130"/>
      <c r="H17" s="131"/>
      <c r="I17" s="131"/>
      <c r="J17" s="132"/>
      <c r="K17" s="132"/>
      <c r="L17" s="133"/>
      <c r="M17" s="134"/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0</v>
      </c>
      <c r="G18" s="130"/>
      <c r="H18" s="131"/>
      <c r="I18" s="131"/>
      <c r="J18" s="132"/>
      <c r="K18" s="132"/>
      <c r="L18" s="133"/>
      <c r="M18" s="134"/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/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2"/>
        <v>6000000</v>
      </c>
      <c r="G22" s="130"/>
      <c r="H22" s="133">
        <v>6000000</v>
      </c>
      <c r="I22" s="132"/>
      <c r="J22" s="132"/>
      <c r="K22" s="132"/>
      <c r="L22" s="133"/>
      <c r="M22" s="134"/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/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2"/>
        <v>2500000</v>
      </c>
      <c r="G24" s="130"/>
      <c r="H24" s="133">
        <v>2500000</v>
      </c>
      <c r="I24" s="132"/>
      <c r="J24" s="132"/>
      <c r="K24" s="132"/>
      <c r="L24" s="133"/>
      <c r="M24" s="134"/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/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5700000</v>
      </c>
      <c r="G27" s="130"/>
      <c r="H27" s="133">
        <v>5700000</v>
      </c>
      <c r="I27" s="132"/>
      <c r="J27" s="132"/>
      <c r="K27" s="132"/>
      <c r="L27" s="133"/>
      <c r="M27" s="134">
        <v>5369853</v>
      </c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>SUM(F29:F45)</f>
        <v>23460000</v>
      </c>
      <c r="G28" s="114">
        <f aca="true" t="shared" si="3" ref="G28:M28">SUM(G29:G45)</f>
        <v>0</v>
      </c>
      <c r="H28" s="115">
        <f t="shared" si="3"/>
        <v>14500000</v>
      </c>
      <c r="I28" s="116">
        <f t="shared" si="3"/>
        <v>0</v>
      </c>
      <c r="J28" s="116">
        <f t="shared" si="3"/>
        <v>8960000</v>
      </c>
      <c r="K28" s="116">
        <f t="shared" si="3"/>
        <v>0</v>
      </c>
      <c r="L28" s="115">
        <f t="shared" si="3"/>
        <v>0</v>
      </c>
      <c r="M28" s="117">
        <f t="shared" si="3"/>
        <v>35148964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40">
        <v>27</v>
      </c>
      <c r="F29" s="164">
        <f t="shared" si="2"/>
        <v>0</v>
      </c>
      <c r="G29" s="119"/>
      <c r="H29" s="120"/>
      <c r="I29" s="121"/>
      <c r="J29" s="121"/>
      <c r="K29" s="121"/>
      <c r="L29" s="120"/>
      <c r="M29" s="122"/>
    </row>
    <row r="30" spans="1:13" s="37" customFormat="1" ht="12">
      <c r="A30" s="28"/>
      <c r="B30" s="47" t="s">
        <v>29</v>
      </c>
      <c r="C30" s="47"/>
      <c r="D30" s="47"/>
      <c r="E30" s="40">
        <v>28</v>
      </c>
      <c r="F30" s="164">
        <f t="shared" si="2"/>
        <v>0</v>
      </c>
      <c r="G30" s="135"/>
      <c r="H30" s="136"/>
      <c r="I30" s="137"/>
      <c r="J30" s="137"/>
      <c r="K30" s="137"/>
      <c r="L30" s="136"/>
      <c r="M30" s="138"/>
    </row>
    <row r="31" spans="1:13" s="37" customFormat="1" ht="12">
      <c r="A31" s="28"/>
      <c r="B31" s="47" t="s">
        <v>31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/>
    </row>
    <row r="32" spans="1:13" s="37" customFormat="1" ht="12">
      <c r="A32" s="28"/>
      <c r="B32" s="48" t="s">
        <v>33</v>
      </c>
      <c r="C32" s="49"/>
      <c r="D32" s="49"/>
      <c r="E32" s="50">
        <v>30</v>
      </c>
      <c r="F32" s="164">
        <f t="shared" si="2"/>
        <v>0</v>
      </c>
      <c r="G32" s="135"/>
      <c r="H32" s="136"/>
      <c r="I32" s="137"/>
      <c r="J32" s="137"/>
      <c r="K32" s="137"/>
      <c r="L32" s="136"/>
      <c r="M32" s="138"/>
    </row>
    <row r="33" spans="1:13" s="37" customFormat="1" ht="12">
      <c r="A33" s="28"/>
      <c r="B33" s="48" t="s">
        <v>35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/>
    </row>
    <row r="34" spans="1:13" s="37" customFormat="1" ht="12">
      <c r="A34" s="28"/>
      <c r="B34" s="48" t="s">
        <v>55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</row>
    <row r="35" spans="1:13" s="37" customFormat="1" ht="12">
      <c r="A35" s="28"/>
      <c r="B35" s="48" t="s">
        <v>37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/>
    </row>
    <row r="36" spans="1:13" s="37" customFormat="1" ht="12">
      <c r="A36" s="28"/>
      <c r="B36" s="48" t="s">
        <v>39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/>
    </row>
    <row r="37" spans="1:13" s="37" customFormat="1" ht="12">
      <c r="A37" s="28"/>
      <c r="B37" s="48" t="s">
        <v>57</v>
      </c>
      <c r="C37" s="48"/>
      <c r="D37" s="48"/>
      <c r="E37" s="50">
        <v>35</v>
      </c>
      <c r="F37" s="164">
        <f t="shared" si="2"/>
        <v>0</v>
      </c>
      <c r="G37" s="135"/>
      <c r="H37" s="136"/>
      <c r="I37" s="137"/>
      <c r="J37" s="137"/>
      <c r="K37" s="137"/>
      <c r="L37" s="136"/>
      <c r="M37" s="138"/>
    </row>
    <row r="38" spans="1:13" s="37" customFormat="1" ht="12">
      <c r="A38" s="28"/>
      <c r="B38" s="48" t="s">
        <v>58</v>
      </c>
      <c r="C38" s="48"/>
      <c r="D38" s="48"/>
      <c r="E38" s="50">
        <v>36</v>
      </c>
      <c r="F38" s="164">
        <f t="shared" si="2"/>
        <v>0</v>
      </c>
      <c r="G38" s="135"/>
      <c r="H38" s="136"/>
      <c r="I38" s="137"/>
      <c r="J38" s="137"/>
      <c r="K38" s="137"/>
      <c r="L38" s="136"/>
      <c r="M38" s="138"/>
    </row>
    <row r="39" spans="1:13" s="37" customFormat="1" ht="12">
      <c r="A39" s="28"/>
      <c r="B39" s="48" t="s">
        <v>60</v>
      </c>
      <c r="C39" s="48"/>
      <c r="D39" s="48"/>
      <c r="E39" s="50">
        <v>37</v>
      </c>
      <c r="F39" s="164">
        <f t="shared" si="2"/>
        <v>0</v>
      </c>
      <c r="G39" s="135"/>
      <c r="H39" s="136"/>
      <c r="I39" s="137"/>
      <c r="J39" s="137"/>
      <c r="K39" s="137"/>
      <c r="L39" s="136"/>
      <c r="M39" s="138"/>
    </row>
    <row r="40" spans="1:13" s="37" customFormat="1" ht="12">
      <c r="A40" s="28"/>
      <c r="B40" s="48" t="s">
        <v>61</v>
      </c>
      <c r="C40" s="48"/>
      <c r="D40" s="48"/>
      <c r="E40" s="50">
        <v>38</v>
      </c>
      <c r="F40" s="164">
        <f t="shared" si="2"/>
        <v>2500000</v>
      </c>
      <c r="G40" s="135"/>
      <c r="H40" s="136">
        <v>2500000</v>
      </c>
      <c r="I40" s="137"/>
      <c r="J40" s="137"/>
      <c r="K40" s="137"/>
      <c r="L40" s="136"/>
      <c r="M40" s="138"/>
    </row>
    <row r="41" spans="1:13" s="37" customFormat="1" ht="12">
      <c r="A41" s="28"/>
      <c r="B41" s="48" t="s">
        <v>46</v>
      </c>
      <c r="C41" s="48"/>
      <c r="D41" s="48"/>
      <c r="E41" s="50">
        <v>39</v>
      </c>
      <c r="F41" s="164">
        <f t="shared" si="2"/>
        <v>0</v>
      </c>
      <c r="G41" s="135"/>
      <c r="H41" s="136"/>
      <c r="I41" s="137"/>
      <c r="J41" s="137"/>
      <c r="K41" s="137"/>
      <c r="L41" s="136"/>
      <c r="M41" s="138"/>
    </row>
    <row r="42" spans="1:13" s="37" customFormat="1" ht="12">
      <c r="A42" s="28"/>
      <c r="B42" s="48" t="s">
        <v>62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/>
    </row>
    <row r="43" spans="1:13" s="37" customFormat="1" ht="12">
      <c r="A43" s="28"/>
      <c r="B43" s="48" t="s">
        <v>63</v>
      </c>
      <c r="C43" s="48"/>
      <c r="D43" s="48"/>
      <c r="E43" s="50">
        <v>41</v>
      </c>
      <c r="F43" s="164">
        <f t="shared" si="2"/>
        <v>6000000</v>
      </c>
      <c r="G43" s="135"/>
      <c r="H43" s="136">
        <v>6000000</v>
      </c>
      <c r="I43" s="137"/>
      <c r="J43" s="137"/>
      <c r="K43" s="137"/>
      <c r="L43" s="136"/>
      <c r="M43" s="138"/>
    </row>
    <row r="44" spans="1:13" s="37" customFormat="1" ht="12">
      <c r="A44" s="28"/>
      <c r="B44" s="48" t="s">
        <v>64</v>
      </c>
      <c r="C44" s="48"/>
      <c r="D44" s="48"/>
      <c r="E44" s="50">
        <v>42</v>
      </c>
      <c r="F44" s="164">
        <f t="shared" si="2"/>
        <v>8960000</v>
      </c>
      <c r="G44" s="135"/>
      <c r="H44" s="139" t="s">
        <v>99</v>
      </c>
      <c r="I44" s="137"/>
      <c r="J44" s="137">
        <v>8960000</v>
      </c>
      <c r="K44" s="137"/>
      <c r="L44" s="136"/>
      <c r="M44" s="138">
        <v>29627721</v>
      </c>
    </row>
    <row r="45" spans="1:13" s="37" customFormat="1" ht="12">
      <c r="A45" s="65"/>
      <c r="B45" s="66" t="s">
        <v>50</v>
      </c>
      <c r="C45" s="66"/>
      <c r="D45" s="66"/>
      <c r="E45" s="67">
        <v>43</v>
      </c>
      <c r="F45" s="165">
        <f t="shared" si="2"/>
        <v>6000000</v>
      </c>
      <c r="G45" s="141"/>
      <c r="H45" s="142">
        <v>6000000</v>
      </c>
      <c r="I45" s="143"/>
      <c r="J45" s="143"/>
      <c r="K45" s="143"/>
      <c r="L45" s="142"/>
      <c r="M45" s="144">
        <v>5521243</v>
      </c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47">
        <f>F29+F34+F38+F43+F44+F45-F4-F27</f>
        <v>6300000</v>
      </c>
      <c r="G46" s="146">
        <f>G29+G34+G38+G43+G44+G45+-G4-G27</f>
        <v>0</v>
      </c>
      <c r="H46" s="146">
        <f>H29+H34+H38+H43+H45-H4-H27</f>
        <v>6300000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151389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61">
        <f>F28-F3</f>
        <v>300000</v>
      </c>
      <c r="G47" s="114">
        <f aca="true" t="shared" si="4" ref="G47:M47">G28-G3</f>
        <v>0</v>
      </c>
      <c r="H47" s="115">
        <f t="shared" si="4"/>
        <v>300000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151389</v>
      </c>
    </row>
    <row r="48" spans="1:5" ht="12.75">
      <c r="A48" s="80"/>
      <c r="B48" s="80"/>
      <c r="C48" s="80"/>
      <c r="D48" s="80"/>
      <c r="E48" s="81"/>
    </row>
    <row r="49" spans="5:13" s="80" customFormat="1" ht="12"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>
      <c r="A50" s="84" t="s">
        <v>100</v>
      </c>
      <c r="E50" s="81"/>
      <c r="F50" s="167"/>
      <c r="H50" s="92"/>
      <c r="J50" s="156"/>
      <c r="L50" s="92"/>
      <c r="M50" s="92"/>
    </row>
    <row r="51" spans="5:13" s="84" customFormat="1" ht="12">
      <c r="E51" s="86"/>
      <c r="F51" s="168"/>
      <c r="H51" s="108"/>
      <c r="I51" s="108"/>
      <c r="J51" s="108"/>
      <c r="K51" s="108"/>
      <c r="L51" s="108"/>
      <c r="M51" s="108"/>
    </row>
    <row r="52" spans="5:13" s="84" customFormat="1" ht="12">
      <c r="E52" s="86"/>
      <c r="F52" s="168"/>
      <c r="H52" s="108"/>
      <c r="I52" s="108"/>
      <c r="J52" s="108"/>
      <c r="K52" s="108"/>
      <c r="L52" s="108"/>
      <c r="M52" s="108"/>
    </row>
    <row r="53" spans="5:13" s="84" customFormat="1" ht="12">
      <c r="E53" s="86"/>
      <c r="F53" s="168"/>
      <c r="H53" s="108"/>
      <c r="I53" s="108"/>
      <c r="J53" s="108"/>
      <c r="K53" s="108"/>
      <c r="L53" s="108"/>
      <c r="M53" s="108"/>
    </row>
    <row r="54" spans="1:13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</row>
    <row r="55" spans="1:6" s="92" customFormat="1" ht="12">
      <c r="A55" s="84"/>
      <c r="B55" s="84"/>
      <c r="C55" s="84"/>
      <c r="D55" s="84"/>
      <c r="E55" s="90"/>
      <c r="F55" s="37"/>
    </row>
    <row r="56" spans="1:6" s="92" customFormat="1" ht="12">
      <c r="A56" s="84"/>
      <c r="B56" s="84"/>
      <c r="C56" s="84"/>
      <c r="D56" s="84"/>
      <c r="E56" s="90"/>
      <c r="F56" s="37"/>
    </row>
    <row r="57" spans="1:6" s="92" customFormat="1" ht="12">
      <c r="A57" s="84"/>
      <c r="B57" s="84"/>
      <c r="C57" s="84"/>
      <c r="D57" s="84"/>
      <c r="E57" s="90"/>
      <c r="F57" s="37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36">
      <selection activeCell="F52" sqref="F52:H59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1.375" style="37" customWidth="1"/>
    <col min="7" max="7" width="11.125" style="37" customWidth="1"/>
    <col min="8" max="8" width="11.625" style="401" customWidth="1"/>
    <col min="9" max="9" width="5.125" style="0" hidden="1" customWidth="1"/>
    <col min="10" max="10" width="8.875" style="92" customWidth="1"/>
    <col min="11" max="11" width="7.375" style="92" customWidth="1"/>
    <col min="12" max="14" width="6.375" style="92" customWidth="1"/>
    <col min="15" max="15" width="9.125" style="92" customWidth="1"/>
  </cols>
  <sheetData>
    <row r="1" spans="1:15" ht="15.75" customHeight="1">
      <c r="A1" s="425" t="s">
        <v>138</v>
      </c>
      <c r="B1" s="426"/>
      <c r="C1" s="426"/>
      <c r="D1" s="427"/>
      <c r="E1" s="372"/>
      <c r="F1" s="380"/>
      <c r="G1" s="375"/>
      <c r="H1" s="394" t="s">
        <v>1</v>
      </c>
      <c r="I1" s="4" t="s">
        <v>2</v>
      </c>
      <c r="J1" s="101" t="s">
        <v>3</v>
      </c>
      <c r="K1" s="428" t="s">
        <v>4</v>
      </c>
      <c r="L1" s="429"/>
      <c r="M1" s="429"/>
      <c r="N1" s="430"/>
      <c r="O1" s="102" t="s">
        <v>5</v>
      </c>
    </row>
    <row r="2" spans="1:15" s="18" customFormat="1" ht="13.5" thickBot="1">
      <c r="A2" s="7" t="s">
        <v>76</v>
      </c>
      <c r="B2" s="8"/>
      <c r="C2" s="431" t="s">
        <v>136</v>
      </c>
      <c r="D2" s="432"/>
      <c r="E2" s="373" t="s">
        <v>6</v>
      </c>
      <c r="F2" s="386" t="s">
        <v>137</v>
      </c>
      <c r="G2" s="387" t="s">
        <v>28</v>
      </c>
      <c r="H2" s="395">
        <v>2007</v>
      </c>
      <c r="I2" s="13" t="s">
        <v>8</v>
      </c>
      <c r="J2" s="103" t="s">
        <v>9</v>
      </c>
      <c r="K2" s="104" t="s">
        <v>10</v>
      </c>
      <c r="L2" s="105" t="s">
        <v>11</v>
      </c>
      <c r="M2" s="105" t="s">
        <v>12</v>
      </c>
      <c r="N2" s="105" t="s">
        <v>13</v>
      </c>
      <c r="O2" s="106">
        <v>2006</v>
      </c>
    </row>
    <row r="3" spans="1:15" ht="13.5" thickBot="1">
      <c r="A3" s="19" t="s">
        <v>14</v>
      </c>
      <c r="B3" s="20"/>
      <c r="C3" s="20"/>
      <c r="D3" s="20"/>
      <c r="E3" s="333">
        <v>1</v>
      </c>
      <c r="F3" s="381">
        <f>SUM(F5:F27)</f>
        <v>2439399.185676338</v>
      </c>
      <c r="G3" s="376">
        <f>SUM(G5:G27)</f>
        <v>964698.631</v>
      </c>
      <c r="H3" s="334">
        <f>SUM(H5:H27)</f>
        <v>3404097.816676338</v>
      </c>
      <c r="I3" s="114">
        <f aca="true" t="shared" si="0" ref="I3:O3">SUM(I5:I27)</f>
        <v>0</v>
      </c>
      <c r="J3" s="115">
        <f t="shared" si="0"/>
        <v>3248244.667361338</v>
      </c>
      <c r="K3" s="116">
        <f t="shared" si="0"/>
        <v>98283.597175</v>
      </c>
      <c r="L3" s="116">
        <f t="shared" si="0"/>
        <v>34404.04514</v>
      </c>
      <c r="M3" s="116">
        <f t="shared" si="0"/>
        <v>10764</v>
      </c>
      <c r="N3" s="115">
        <f t="shared" si="0"/>
        <v>12401.507</v>
      </c>
      <c r="O3" s="117">
        <f t="shared" si="0"/>
        <v>3114457.01007</v>
      </c>
    </row>
    <row r="4" spans="1:15" s="37" customFormat="1" ht="12">
      <c r="A4" s="28" t="s">
        <v>15</v>
      </c>
      <c r="B4" s="29" t="s">
        <v>16</v>
      </c>
      <c r="C4" s="29"/>
      <c r="D4" s="29"/>
      <c r="E4" s="374">
        <v>2</v>
      </c>
      <c r="F4" s="382">
        <f>SUM(F5:F15)</f>
        <v>1621690.142356338</v>
      </c>
      <c r="G4" s="119">
        <f>SUM(G5:G15)</f>
        <v>765956.564</v>
      </c>
      <c r="H4" s="396">
        <f>SUM(H5:H15)</f>
        <v>2387646.706356338</v>
      </c>
      <c r="I4" s="119">
        <f aca="true" t="shared" si="1" ref="I4:O4">SUM(I5:I15)</f>
        <v>0</v>
      </c>
      <c r="J4" s="120">
        <f t="shared" si="1"/>
        <v>2256896.153181338</v>
      </c>
      <c r="K4" s="121">
        <f t="shared" si="1"/>
        <v>98283.597175</v>
      </c>
      <c r="L4" s="121">
        <f t="shared" si="1"/>
        <v>9301.448999999999</v>
      </c>
      <c r="M4" s="121">
        <f t="shared" si="1"/>
        <v>10764</v>
      </c>
      <c r="N4" s="120">
        <f t="shared" si="1"/>
        <v>12401.507</v>
      </c>
      <c r="O4" s="122">
        <f t="shared" si="1"/>
        <v>2164876.27728</v>
      </c>
    </row>
    <row r="5" spans="1:15" s="37" customFormat="1" ht="12">
      <c r="A5" s="28"/>
      <c r="B5" s="38"/>
      <c r="C5" s="38" t="s">
        <v>17</v>
      </c>
      <c r="D5" s="39" t="s">
        <v>18</v>
      </c>
      <c r="E5" s="330">
        <v>3</v>
      </c>
      <c r="F5" s="383">
        <f>'fak v tis'!O5</f>
        <v>789121.1776265206</v>
      </c>
      <c r="G5" s="377">
        <f>'ostatni v tis'!P5</f>
        <v>153435.506</v>
      </c>
      <c r="H5" s="397">
        <f>SUM(F5:G5)</f>
        <v>942556.6836265207</v>
      </c>
      <c r="I5" s="124"/>
      <c r="J5" s="324">
        <f>'fak v tis'!Q5+'ostatni v tis'!R5</f>
        <v>918204.1081265206</v>
      </c>
      <c r="K5" s="324">
        <f>'fak v tis'!R5+'ostatni v tis'!S5</f>
        <v>13535.8665</v>
      </c>
      <c r="L5" s="187">
        <f>'fak v tis'!S5+'ostatni v tis'!T5</f>
        <v>2900</v>
      </c>
      <c r="M5" s="187">
        <f>'fak v tis'!T5+'ostatni v tis'!U5</f>
        <v>7916.709000000001</v>
      </c>
      <c r="N5" s="389">
        <f>'fak v tis'!U5+'ostatni v tis'!V5</f>
        <v>0</v>
      </c>
      <c r="O5" s="325">
        <f>'fak v tis'!V5+'ostatni v tis'!W5</f>
        <v>883184.3954999999</v>
      </c>
    </row>
    <row r="6" spans="1:15" s="37" customFormat="1" ht="12">
      <c r="A6" s="28"/>
      <c r="B6" s="38"/>
      <c r="C6" s="38"/>
      <c r="D6" s="39" t="s">
        <v>19</v>
      </c>
      <c r="E6" s="330">
        <v>4</v>
      </c>
      <c r="F6" s="384">
        <f>'fak v tis'!O6</f>
        <v>27401</v>
      </c>
      <c r="G6" s="378">
        <f>'ostatni v tis'!P6</f>
        <v>10212</v>
      </c>
      <c r="H6" s="398">
        <f aca="true" t="shared" si="2" ref="H6:H45">SUM(F6:G6)</f>
        <v>37613</v>
      </c>
      <c r="I6" s="124"/>
      <c r="J6" s="125">
        <f>'fak v tis'!Q6+'ostatni v tis'!R6</f>
        <v>33213</v>
      </c>
      <c r="K6" s="125">
        <f>'fak v tis'!R6+'ostatni v tis'!S6</f>
        <v>200</v>
      </c>
      <c r="L6" s="126">
        <f>'fak v tis'!S6+'ostatni v tis'!T6</f>
        <v>4200</v>
      </c>
      <c r="M6" s="126">
        <f>'fak v tis'!T6+'ostatni v tis'!U6</f>
        <v>0</v>
      </c>
      <c r="N6" s="127">
        <f>'fak v tis'!U6+'ostatni v tis'!V6</f>
        <v>0</v>
      </c>
      <c r="O6" s="128">
        <f>'fak v tis'!V6+'ostatni v tis'!W6</f>
        <v>34702.621999999996</v>
      </c>
    </row>
    <row r="7" spans="1:15" s="37" customFormat="1" ht="12">
      <c r="A7" s="28"/>
      <c r="B7" s="38"/>
      <c r="C7" s="38"/>
      <c r="D7" s="39" t="s">
        <v>20</v>
      </c>
      <c r="E7" s="330">
        <v>5</v>
      </c>
      <c r="F7" s="384">
        <f>'fak v tis'!O7</f>
        <v>291488.6756118126</v>
      </c>
      <c r="G7" s="378">
        <f>'ostatni v tis'!P7</f>
        <v>58232.881</v>
      </c>
      <c r="H7" s="398">
        <f t="shared" si="2"/>
        <v>349721.5566118126</v>
      </c>
      <c r="I7" s="124"/>
      <c r="J7" s="125">
        <f>'fak v tis'!Q7+'ostatni v tis'!R7</f>
        <v>340876.1619368127</v>
      </c>
      <c r="K7" s="125">
        <f>'fak v tis'!R7+'ostatni v tis'!S7</f>
        <v>4983.103675</v>
      </c>
      <c r="L7" s="126">
        <f>'fak v tis'!S7+'ostatni v tis'!T7</f>
        <v>1015</v>
      </c>
      <c r="M7" s="126">
        <f>'fak v tis'!T7+'ostatni v tis'!U7</f>
        <v>2847.291</v>
      </c>
      <c r="N7" s="127">
        <f>'fak v tis'!U7+'ostatni v tis'!V7</f>
        <v>0</v>
      </c>
      <c r="O7" s="128">
        <f>'fak v tis'!V7+'ostatni v tis'!W7</f>
        <v>313152.8749</v>
      </c>
    </row>
    <row r="8" spans="1:15" s="37" customFormat="1" ht="12">
      <c r="A8" s="28"/>
      <c r="B8" s="38"/>
      <c r="C8" s="38"/>
      <c r="D8" s="39" t="s">
        <v>21</v>
      </c>
      <c r="E8" s="330">
        <v>6</v>
      </c>
      <c r="F8" s="384">
        <f>'fak v tis'!O8</f>
        <v>60440.4</v>
      </c>
      <c r="G8" s="378">
        <f>'ostatni v tis'!P8</f>
        <v>38280</v>
      </c>
      <c r="H8" s="398">
        <f t="shared" si="2"/>
        <v>98720.4</v>
      </c>
      <c r="I8" s="124"/>
      <c r="J8" s="125">
        <f>'fak v tis'!Q8+'ostatni v tis'!R8</f>
        <v>98500.4</v>
      </c>
      <c r="K8" s="125">
        <f>'fak v tis'!R8+'ostatni v tis'!S8</f>
        <v>200</v>
      </c>
      <c r="L8" s="126">
        <f>'fak v tis'!S8+'ostatni v tis'!T8</f>
        <v>20</v>
      </c>
      <c r="M8" s="126">
        <f>'fak v tis'!T8+'ostatni v tis'!U8</f>
        <v>0</v>
      </c>
      <c r="N8" s="127">
        <f>'fak v tis'!U8+'ostatni v tis'!V8</f>
        <v>0</v>
      </c>
      <c r="O8" s="128">
        <f>'fak v tis'!V8+'ostatni v tis'!W8</f>
        <v>82627.97095</v>
      </c>
    </row>
    <row r="9" spans="1:15" s="37" customFormat="1" ht="12">
      <c r="A9" s="28"/>
      <c r="B9" s="38"/>
      <c r="C9" s="38"/>
      <c r="D9" s="39" t="s">
        <v>22</v>
      </c>
      <c r="E9" s="330">
        <v>7</v>
      </c>
      <c r="F9" s="384">
        <f>'fak v tis'!O9</f>
        <v>17917</v>
      </c>
      <c r="G9" s="378">
        <f>'ostatni v tis'!P9</f>
        <v>37469.520000000004</v>
      </c>
      <c r="H9" s="398">
        <f t="shared" si="2"/>
        <v>55386.520000000004</v>
      </c>
      <c r="I9" s="124"/>
      <c r="J9" s="125">
        <f>'fak v tis'!Q9+'ostatni v tis'!R9</f>
        <v>53182.520000000004</v>
      </c>
      <c r="K9" s="125">
        <f>'fak v tis'!R9+'ostatni v tis'!S9</f>
        <v>2179</v>
      </c>
      <c r="L9" s="126">
        <f>'fak v tis'!S9+'ostatni v tis'!T9</f>
        <v>25</v>
      </c>
      <c r="M9" s="126">
        <f>'fak v tis'!T9+'ostatni v tis'!U9</f>
        <v>0</v>
      </c>
      <c r="N9" s="127">
        <f>'fak v tis'!U9+'ostatni v tis'!V9</f>
        <v>0</v>
      </c>
      <c r="O9" s="128">
        <f>'fak v tis'!V9+'ostatni v tis'!W9</f>
        <v>45312.49745</v>
      </c>
    </row>
    <row r="10" spans="1:15" s="37" customFormat="1" ht="12">
      <c r="A10" s="28"/>
      <c r="B10" s="38"/>
      <c r="C10" s="38"/>
      <c r="D10" s="39" t="s">
        <v>23</v>
      </c>
      <c r="E10" s="330">
        <v>8</v>
      </c>
      <c r="F10" s="384">
        <f>'fak v tis'!O10</f>
        <v>102133.62</v>
      </c>
      <c r="G10" s="378">
        <f>'ostatni v tis'!P10</f>
        <v>125804.828</v>
      </c>
      <c r="H10" s="398">
        <f t="shared" si="2"/>
        <v>227938.44799999997</v>
      </c>
      <c r="I10" s="124"/>
      <c r="J10" s="125">
        <f>'fak v tis'!Q10+'ostatni v tis'!R10</f>
        <v>164430.047</v>
      </c>
      <c r="K10" s="125">
        <f>'fak v tis'!R10+'ostatni v tis'!S10</f>
        <v>63487.781</v>
      </c>
      <c r="L10" s="126">
        <f>'fak v tis'!S10+'ostatni v tis'!T10</f>
        <v>20.619999999999997</v>
      </c>
      <c r="M10" s="126">
        <f>'fak v tis'!T10+'ostatni v tis'!U10</f>
        <v>0</v>
      </c>
      <c r="N10" s="127">
        <f>'fak v tis'!U10+'ostatni v tis'!V10</f>
        <v>0</v>
      </c>
      <c r="O10" s="128">
        <f>'fak v tis'!V10+'ostatni v tis'!W10</f>
        <v>139767.62694000002</v>
      </c>
    </row>
    <row r="11" spans="1:15" s="37" customFormat="1" ht="12">
      <c r="A11" s="28"/>
      <c r="B11" s="38"/>
      <c r="C11" s="38"/>
      <c r="D11" s="39" t="s">
        <v>24</v>
      </c>
      <c r="E11" s="330">
        <v>9</v>
      </c>
      <c r="F11" s="384">
        <f>'fak v tis'!O11</f>
        <v>86786</v>
      </c>
      <c r="G11" s="378">
        <f>'ostatni v tis'!P11</f>
        <v>106434.213</v>
      </c>
      <c r="H11" s="398">
        <f t="shared" si="2"/>
        <v>193220.213</v>
      </c>
      <c r="I11" s="124"/>
      <c r="J11" s="125">
        <f>'fak v tis'!Q11+'ostatni v tis'!R11</f>
        <v>190361.213</v>
      </c>
      <c r="K11" s="125">
        <f>'fak v tis'!R11+'ostatni v tis'!S11</f>
        <v>2700</v>
      </c>
      <c r="L11" s="126">
        <f>'fak v tis'!S11+'ostatni v tis'!T11</f>
        <v>159</v>
      </c>
      <c r="M11" s="126">
        <f>'fak v tis'!T11+'ostatni v tis'!U11</f>
        <v>0</v>
      </c>
      <c r="N11" s="127">
        <f>'fak v tis'!U11+'ostatni v tis'!V11</f>
        <v>0</v>
      </c>
      <c r="O11" s="128">
        <f>'fak v tis'!V11+'ostatni v tis'!W11</f>
        <v>147449.65781</v>
      </c>
    </row>
    <row r="12" spans="1:15" s="37" customFormat="1" ht="12">
      <c r="A12" s="28"/>
      <c r="B12" s="38"/>
      <c r="C12" s="38"/>
      <c r="D12" s="39" t="s">
        <v>25</v>
      </c>
      <c r="E12" s="330">
        <v>10</v>
      </c>
      <c r="F12" s="384">
        <f>'fak v tis'!O12</f>
        <v>13930</v>
      </c>
      <c r="G12" s="378">
        <f>'ostatni v tis'!P12</f>
        <v>4041.1279999999997</v>
      </c>
      <c r="H12" s="398">
        <f t="shared" si="2"/>
        <v>17971.128</v>
      </c>
      <c r="I12" s="124"/>
      <c r="J12" s="125">
        <f>'fak v tis'!Q12+'ostatni v tis'!R12</f>
        <v>17471.128</v>
      </c>
      <c r="K12" s="125">
        <f>'fak v tis'!R12+'ostatni v tis'!S12</f>
        <v>200</v>
      </c>
      <c r="L12" s="126">
        <f>'fak v tis'!S12+'ostatni v tis'!T12</f>
        <v>300</v>
      </c>
      <c r="M12" s="126">
        <f>'fak v tis'!T12+'ostatni v tis'!U12</f>
        <v>0</v>
      </c>
      <c r="N12" s="127">
        <f>'fak v tis'!U12+'ostatni v tis'!V12</f>
        <v>0</v>
      </c>
      <c r="O12" s="128">
        <f>'fak v tis'!V12+'ostatni v tis'!W12</f>
        <v>15527.52953</v>
      </c>
    </row>
    <row r="13" spans="1:15" s="37" customFormat="1" ht="12">
      <c r="A13" s="28"/>
      <c r="B13" s="38"/>
      <c r="C13" s="38"/>
      <c r="D13" s="39" t="s">
        <v>26</v>
      </c>
      <c r="E13" s="330">
        <v>11</v>
      </c>
      <c r="F13" s="384">
        <f>'fak v tis'!O13</f>
        <v>145495</v>
      </c>
      <c r="G13" s="378">
        <f>'ostatni v tis'!P13</f>
        <v>81903</v>
      </c>
      <c r="H13" s="398">
        <f t="shared" si="2"/>
        <v>227398</v>
      </c>
      <c r="I13" s="124"/>
      <c r="J13" s="125">
        <f>'fak v tis'!Q13+'ostatni v tis'!R13</f>
        <v>226798</v>
      </c>
      <c r="K13" s="125">
        <f>'fak v tis'!R13+'ostatni v tis'!S13</f>
        <v>300</v>
      </c>
      <c r="L13" s="126">
        <f>'fak v tis'!S13+'ostatni v tis'!T13</f>
        <v>300</v>
      </c>
      <c r="M13" s="126">
        <f>'fak v tis'!T13+'ostatni v tis'!U13</f>
        <v>0</v>
      </c>
      <c r="N13" s="127">
        <f>'fak v tis'!U13+'ostatni v tis'!V13</f>
        <v>0</v>
      </c>
      <c r="O13" s="128">
        <f>'fak v tis'!V13+'ostatni v tis'!W13</f>
        <v>206233.40261000002</v>
      </c>
    </row>
    <row r="14" spans="1:15" s="37" customFormat="1" ht="12">
      <c r="A14" s="28"/>
      <c r="B14" s="38"/>
      <c r="C14" s="38"/>
      <c r="D14" s="39" t="s">
        <v>27</v>
      </c>
      <c r="E14" s="330">
        <v>12</v>
      </c>
      <c r="F14" s="384">
        <f>'fak v tis'!O14</f>
        <v>24472</v>
      </c>
      <c r="G14" s="378">
        <f>'ostatni v tis'!P14</f>
        <v>110597.34</v>
      </c>
      <c r="H14" s="398">
        <f t="shared" si="2"/>
        <v>135069.34</v>
      </c>
      <c r="I14" s="124"/>
      <c r="J14" s="125">
        <f>'fak v tis'!Q14+'ostatni v tis'!R14</f>
        <v>121922.033</v>
      </c>
      <c r="K14" s="125">
        <f>'fak v tis'!R14+'ostatni v tis'!S14</f>
        <v>694.34</v>
      </c>
      <c r="L14" s="126">
        <f>'fak v tis'!S14+'ostatni v tis'!T14</f>
        <v>51.46</v>
      </c>
      <c r="M14" s="126">
        <f>'fak v tis'!T14+'ostatni v tis'!U14</f>
        <v>0</v>
      </c>
      <c r="N14" s="127">
        <f>'fak v tis'!U14+'ostatni v tis'!V14</f>
        <v>12401.507</v>
      </c>
      <c r="O14" s="128">
        <f>'fak v tis'!V14+'ostatni v tis'!W14</f>
        <v>23163.862599999997</v>
      </c>
    </row>
    <row r="15" spans="1:15" s="37" customFormat="1" ht="12">
      <c r="A15" s="28"/>
      <c r="B15" s="38"/>
      <c r="C15" s="39"/>
      <c r="D15" s="39" t="s">
        <v>28</v>
      </c>
      <c r="E15" s="330">
        <v>13</v>
      </c>
      <c r="F15" s="384">
        <f>'fak v tis'!O15</f>
        <v>62505.26911800487</v>
      </c>
      <c r="G15" s="378">
        <f>'ostatni v tis'!P15</f>
        <v>39546.148</v>
      </c>
      <c r="H15" s="398">
        <f t="shared" si="2"/>
        <v>102051.41711800487</v>
      </c>
      <c r="I15" s="124"/>
      <c r="J15" s="125">
        <f>'fak v tis'!Q15+'ostatni v tis'!R15</f>
        <v>91937.54211800487</v>
      </c>
      <c r="K15" s="125">
        <f>'fak v tis'!R15+'ostatni v tis'!S15</f>
        <v>9803.506</v>
      </c>
      <c r="L15" s="126">
        <f>'fak v tis'!S15+'ostatni v tis'!T15</f>
        <v>310.369</v>
      </c>
      <c r="M15" s="126">
        <f>'fak v tis'!T15+'ostatni v tis'!U15</f>
        <v>0</v>
      </c>
      <c r="N15" s="127">
        <f>'fak v tis'!U15+'ostatni v tis'!V15</f>
        <v>0</v>
      </c>
      <c r="O15" s="128">
        <f>'fak v tis'!V15+'ostatni v tis'!W15</f>
        <v>273753.83699</v>
      </c>
    </row>
    <row r="16" spans="1:15" s="37" customFormat="1" ht="12">
      <c r="A16" s="28"/>
      <c r="B16" s="47" t="s">
        <v>29</v>
      </c>
      <c r="C16" s="39"/>
      <c r="D16" s="39"/>
      <c r="E16" s="330">
        <v>14</v>
      </c>
      <c r="F16" s="384">
        <f>'fak v tis'!O16</f>
        <v>99238.175</v>
      </c>
      <c r="G16" s="378">
        <f>'ostatni v tis'!P16</f>
        <v>0</v>
      </c>
      <c r="H16" s="398">
        <f t="shared" si="2"/>
        <v>99238.175</v>
      </c>
      <c r="I16" s="130"/>
      <c r="J16" s="125">
        <f>'fak v tis'!Q16+'ostatni v tis'!R16</f>
        <v>99238.175</v>
      </c>
      <c r="K16" s="125">
        <f>'fak v tis'!R16+'ostatni v tis'!S16</f>
        <v>0</v>
      </c>
      <c r="L16" s="126">
        <f>'fak v tis'!S16+'ostatni v tis'!T16</f>
        <v>0</v>
      </c>
      <c r="M16" s="126">
        <f>'fak v tis'!T16+'ostatni v tis'!U16</f>
        <v>0</v>
      </c>
      <c r="N16" s="127">
        <f>'fak v tis'!U16+'ostatni v tis'!V16</f>
        <v>0</v>
      </c>
      <c r="O16" s="128">
        <f>'fak v tis'!V16+'ostatni v tis'!W16</f>
        <v>98020</v>
      </c>
    </row>
    <row r="17" spans="1:15" s="37" customFormat="1" ht="12">
      <c r="A17" s="28"/>
      <c r="B17" s="47" t="s">
        <v>31</v>
      </c>
      <c r="C17" s="39"/>
      <c r="D17" s="39"/>
      <c r="E17" s="330">
        <v>15</v>
      </c>
      <c r="F17" s="384">
        <f>'fak v tis'!O17</f>
        <v>5450</v>
      </c>
      <c r="G17" s="378">
        <f>'ostatni v tis'!P17</f>
        <v>26000</v>
      </c>
      <c r="H17" s="398">
        <f t="shared" si="2"/>
        <v>31450</v>
      </c>
      <c r="I17" s="130"/>
      <c r="J17" s="125">
        <f>'fak v tis'!Q17+'ostatni v tis'!R17</f>
        <v>30769</v>
      </c>
      <c r="K17" s="125">
        <f>'fak v tis'!R17+'ostatni v tis'!S17</f>
        <v>0</v>
      </c>
      <c r="L17" s="126">
        <f>'fak v tis'!S17+'ostatni v tis'!T17</f>
        <v>681</v>
      </c>
      <c r="M17" s="126">
        <f>'fak v tis'!T17+'ostatni v tis'!U17</f>
        <v>0</v>
      </c>
      <c r="N17" s="127">
        <f>'fak v tis'!U17+'ostatni v tis'!V17</f>
        <v>0</v>
      </c>
      <c r="O17" s="128">
        <f>'fak v tis'!V17+'ostatni v tis'!W17</f>
        <v>35652.955760000004</v>
      </c>
    </row>
    <row r="18" spans="1:15" s="37" customFormat="1" ht="12">
      <c r="A18" s="28"/>
      <c r="B18" s="48" t="s">
        <v>33</v>
      </c>
      <c r="C18" s="49"/>
      <c r="D18" s="49"/>
      <c r="E18" s="331">
        <v>16</v>
      </c>
      <c r="F18" s="384">
        <f>'fak v tis'!O18</f>
        <v>63901</v>
      </c>
      <c r="G18" s="378">
        <f>'ostatni v tis'!P18</f>
        <v>54327</v>
      </c>
      <c r="H18" s="398">
        <f t="shared" si="2"/>
        <v>118228</v>
      </c>
      <c r="I18" s="130"/>
      <c r="J18" s="125">
        <f>'fak v tis'!Q18+'ostatni v tis'!R18</f>
        <v>118228</v>
      </c>
      <c r="K18" s="125">
        <f>'fak v tis'!R18+'ostatni v tis'!S18</f>
        <v>0</v>
      </c>
      <c r="L18" s="126">
        <f>'fak v tis'!S18+'ostatni v tis'!T18</f>
        <v>0</v>
      </c>
      <c r="M18" s="126">
        <f>'fak v tis'!T18+'ostatni v tis'!U18</f>
        <v>0</v>
      </c>
      <c r="N18" s="127">
        <f>'fak v tis'!U18+'ostatni v tis'!V18</f>
        <v>0</v>
      </c>
      <c r="O18" s="128">
        <f>'fak v tis'!V18+'ostatni v tis'!W18</f>
        <v>91096.71913</v>
      </c>
    </row>
    <row r="19" spans="1:15" s="37" customFormat="1" ht="12">
      <c r="A19" s="28"/>
      <c r="B19" s="48" t="s">
        <v>35</v>
      </c>
      <c r="C19" s="49"/>
      <c r="D19" s="49"/>
      <c r="E19" s="331">
        <v>17</v>
      </c>
      <c r="F19" s="384">
        <f>'fak v tis'!O19</f>
        <v>8415</v>
      </c>
      <c r="G19" s="378">
        <f>'ostatni v tis'!P19</f>
        <v>0</v>
      </c>
      <c r="H19" s="398">
        <f t="shared" si="2"/>
        <v>8415</v>
      </c>
      <c r="I19" s="130"/>
      <c r="J19" s="125">
        <f>'fak v tis'!Q19+'ostatni v tis'!R19</f>
        <v>8415</v>
      </c>
      <c r="K19" s="125">
        <f>'fak v tis'!R19+'ostatni v tis'!S19</f>
        <v>0</v>
      </c>
      <c r="L19" s="126">
        <f>'fak v tis'!S19+'ostatni v tis'!T19</f>
        <v>0</v>
      </c>
      <c r="M19" s="126">
        <f>'fak v tis'!T19+'ostatni v tis'!U19</f>
        <v>0</v>
      </c>
      <c r="N19" s="127">
        <f>'fak v tis'!U19+'ostatni v tis'!V19</f>
        <v>0</v>
      </c>
      <c r="O19" s="128">
        <f>'fak v tis'!V19+'ostatni v tis'!W19</f>
        <v>8763.332999999999</v>
      </c>
    </row>
    <row r="20" spans="1:15" s="37" customFormat="1" ht="12">
      <c r="A20" s="28"/>
      <c r="B20" s="48" t="s">
        <v>37</v>
      </c>
      <c r="C20" s="48"/>
      <c r="D20" s="48"/>
      <c r="E20" s="331">
        <v>18</v>
      </c>
      <c r="F20" s="384">
        <f>'fak v tis'!O20</f>
        <v>2397</v>
      </c>
      <c r="G20" s="378">
        <f>'ostatni v tis'!P20</f>
        <v>1000</v>
      </c>
      <c r="H20" s="398">
        <f t="shared" si="2"/>
        <v>3397</v>
      </c>
      <c r="I20" s="130"/>
      <c r="J20" s="125">
        <f>'fak v tis'!Q20+'ostatni v tis'!R20</f>
        <v>3397</v>
      </c>
      <c r="K20" s="125">
        <f>'fak v tis'!R20+'ostatni v tis'!S20</f>
        <v>0</v>
      </c>
      <c r="L20" s="126">
        <f>'fak v tis'!S20+'ostatni v tis'!T20</f>
        <v>0</v>
      </c>
      <c r="M20" s="126">
        <f>'fak v tis'!T20+'ostatni v tis'!U20</f>
        <v>0</v>
      </c>
      <c r="N20" s="127">
        <f>'fak v tis'!U20+'ostatni v tis'!V20</f>
        <v>0</v>
      </c>
      <c r="O20" s="128">
        <f>'fak v tis'!V20+'ostatni v tis'!W20</f>
        <v>7918.139</v>
      </c>
    </row>
    <row r="21" spans="1:15" s="37" customFormat="1" ht="12">
      <c r="A21" s="28"/>
      <c r="B21" s="48" t="s">
        <v>39</v>
      </c>
      <c r="C21" s="48"/>
      <c r="D21" s="48"/>
      <c r="E21" s="331">
        <v>19</v>
      </c>
      <c r="F21" s="384">
        <f>'fak v tis'!O21</f>
        <v>18480.767</v>
      </c>
      <c r="G21" s="378">
        <f>'ostatni v tis'!P21</f>
        <v>19009.546000000002</v>
      </c>
      <c r="H21" s="398">
        <f t="shared" si="2"/>
        <v>37490.313</v>
      </c>
      <c r="I21" s="130"/>
      <c r="J21" s="125">
        <f>'fak v tis'!Q21+'ostatni v tis'!R21</f>
        <v>37203.546</v>
      </c>
      <c r="K21" s="125">
        <f>'fak v tis'!R21+'ostatni v tis'!S21</f>
        <v>0</v>
      </c>
      <c r="L21" s="126">
        <f>'fak v tis'!S21+'ostatni v tis'!T21</f>
        <v>286.767</v>
      </c>
      <c r="M21" s="126">
        <f>'fak v tis'!T21+'ostatni v tis'!U21</f>
        <v>0</v>
      </c>
      <c r="N21" s="127">
        <f>'fak v tis'!U21+'ostatni v tis'!V21</f>
        <v>0</v>
      </c>
      <c r="O21" s="128">
        <f>'fak v tis'!V21+'ostatni v tis'!W21</f>
        <v>31083.21126</v>
      </c>
    </row>
    <row r="22" spans="1:15" s="37" customFormat="1" ht="12">
      <c r="A22" s="28"/>
      <c r="B22" s="48" t="s">
        <v>41</v>
      </c>
      <c r="C22" s="48"/>
      <c r="D22" s="48"/>
      <c r="E22" s="331">
        <v>20</v>
      </c>
      <c r="F22" s="384">
        <f>'fak v tis'!O22</f>
        <v>10226.305849999999</v>
      </c>
      <c r="G22" s="378">
        <f>'ostatni v tis'!P22</f>
        <v>29695.440000000002</v>
      </c>
      <c r="H22" s="398">
        <f t="shared" si="2"/>
        <v>39921.74585</v>
      </c>
      <c r="I22" s="130"/>
      <c r="J22" s="125">
        <f>'fak v tis'!Q22+'ostatni v tis'!R22</f>
        <v>30858.153179999998</v>
      </c>
      <c r="K22" s="125">
        <f>'fak v tis'!R22+'ostatni v tis'!S22</f>
        <v>0</v>
      </c>
      <c r="L22" s="126">
        <f>'fak v tis'!S22+'ostatni v tis'!T22</f>
        <v>9063.59267</v>
      </c>
      <c r="M22" s="126">
        <f>'fak v tis'!T22+'ostatni v tis'!U22</f>
        <v>0</v>
      </c>
      <c r="N22" s="127">
        <f>'fak v tis'!U22+'ostatni v tis'!V22</f>
        <v>0</v>
      </c>
      <c r="O22" s="128">
        <f>'fak v tis'!V22+'ostatni v tis'!W22</f>
        <v>36572.03384</v>
      </c>
    </row>
    <row r="23" spans="1:15" s="37" customFormat="1" ht="12">
      <c r="A23" s="28"/>
      <c r="B23" s="48" t="s">
        <v>43</v>
      </c>
      <c r="C23" s="48"/>
      <c r="D23" s="48"/>
      <c r="E23" s="331">
        <v>21</v>
      </c>
      <c r="F23" s="384">
        <f>'fak v tis'!O23</f>
        <v>306990.71483</v>
      </c>
      <c r="G23" s="378">
        <f>'ostatni v tis'!P23</f>
        <v>0</v>
      </c>
      <c r="H23" s="398">
        <f t="shared" si="2"/>
        <v>306990.71483</v>
      </c>
      <c r="I23" s="130"/>
      <c r="J23" s="125">
        <f>'fak v tis'!Q23+'ostatni v tis'!R23</f>
        <v>303135</v>
      </c>
      <c r="K23" s="125">
        <f>'fak v tis'!R23+'ostatni v tis'!S23</f>
        <v>0</v>
      </c>
      <c r="L23" s="126">
        <f>'fak v tis'!S23+'ostatni v tis'!T23</f>
        <v>3855.71483</v>
      </c>
      <c r="M23" s="126">
        <f>'fak v tis'!T23+'ostatni v tis'!U23</f>
        <v>0</v>
      </c>
      <c r="N23" s="127">
        <f>'fak v tis'!U23+'ostatni v tis'!V23</f>
        <v>0</v>
      </c>
      <c r="O23" s="128">
        <f>'fak v tis'!V23+'ostatni v tis'!W23</f>
        <v>258635.7325</v>
      </c>
    </row>
    <row r="24" spans="1:15" s="37" customFormat="1" ht="12">
      <c r="A24" s="28"/>
      <c r="B24" s="48" t="s">
        <v>45</v>
      </c>
      <c r="C24" s="48"/>
      <c r="D24" s="48"/>
      <c r="E24" s="331">
        <v>22</v>
      </c>
      <c r="F24" s="384">
        <f>'fak v tis'!O24</f>
        <v>221547.78206</v>
      </c>
      <c r="G24" s="378">
        <f>'ostatni v tis'!P24</f>
        <v>10954</v>
      </c>
      <c r="H24" s="398">
        <f t="shared" si="2"/>
        <v>232501.78206</v>
      </c>
      <c r="I24" s="130"/>
      <c r="J24" s="125">
        <f>'fak v tis'!Q24+'ostatni v tis'!R24</f>
        <v>231473</v>
      </c>
      <c r="K24" s="125">
        <f>'fak v tis'!R24+'ostatni v tis'!S24</f>
        <v>0</v>
      </c>
      <c r="L24" s="126">
        <f>'fak v tis'!S24+'ostatni v tis'!T24</f>
        <v>1028.78206</v>
      </c>
      <c r="M24" s="126">
        <f>'fak v tis'!T24+'ostatni v tis'!U24</f>
        <v>0</v>
      </c>
      <c r="N24" s="127">
        <f>'fak v tis'!U24+'ostatni v tis'!V24</f>
        <v>0</v>
      </c>
      <c r="O24" s="128">
        <f>'fak v tis'!V24+'ostatni v tis'!W24</f>
        <v>235136.06755</v>
      </c>
    </row>
    <row r="25" spans="1:15" s="37" customFormat="1" ht="12">
      <c r="A25" s="28"/>
      <c r="B25" s="48" t="s">
        <v>46</v>
      </c>
      <c r="C25" s="48"/>
      <c r="D25" s="48"/>
      <c r="E25" s="331">
        <v>23</v>
      </c>
      <c r="F25" s="384">
        <f>'fak v tis'!O25</f>
        <v>27320.801730000003</v>
      </c>
      <c r="G25" s="378">
        <f>'ostatni v tis'!P25</f>
        <v>3943.181</v>
      </c>
      <c r="H25" s="398">
        <f t="shared" si="2"/>
        <v>31263.982730000003</v>
      </c>
      <c r="I25" s="130"/>
      <c r="J25" s="125">
        <f>'fak v tis'!Q25+'ostatni v tis'!R25</f>
        <v>22594.739999999998</v>
      </c>
      <c r="K25" s="125">
        <f>'fak v tis'!R25+'ostatni v tis'!S25</f>
        <v>0</v>
      </c>
      <c r="L25" s="126">
        <f>'fak v tis'!S25+'ostatni v tis'!T25</f>
        <v>8669.24273</v>
      </c>
      <c r="M25" s="126">
        <f>'fak v tis'!T25+'ostatni v tis'!U25</f>
        <v>0</v>
      </c>
      <c r="N25" s="127">
        <f>'fak v tis'!U25+'ostatni v tis'!V25</f>
        <v>0</v>
      </c>
      <c r="O25" s="128">
        <f>'fak v tis'!V25+'ostatni v tis'!W25</f>
        <v>30661.295</v>
      </c>
    </row>
    <row r="26" spans="1:15" s="37" customFormat="1" ht="12">
      <c r="A26" s="28"/>
      <c r="B26" s="48" t="s">
        <v>48</v>
      </c>
      <c r="C26" s="48"/>
      <c r="D26" s="48"/>
      <c r="E26" s="331">
        <v>24</v>
      </c>
      <c r="F26" s="384">
        <f>'fak v tis'!O26</f>
        <v>30224.49685</v>
      </c>
      <c r="G26" s="378">
        <f>'ostatni v tis'!P26</f>
        <v>1510</v>
      </c>
      <c r="H26" s="398">
        <f t="shared" si="2"/>
        <v>31734.49685</v>
      </c>
      <c r="I26" s="130"/>
      <c r="J26" s="125">
        <f>'fak v tis'!Q26+'ostatni v tis'!R26</f>
        <v>30217</v>
      </c>
      <c r="K26" s="125">
        <f>'fak v tis'!R26+'ostatni v tis'!S26</f>
        <v>0</v>
      </c>
      <c r="L26" s="126">
        <f>'fak v tis'!S26+'ostatni v tis'!T26</f>
        <v>1517.49685</v>
      </c>
      <c r="M26" s="126">
        <f>'fak v tis'!T26+'ostatni v tis'!U26</f>
        <v>0</v>
      </c>
      <c r="N26" s="127">
        <f>'fak v tis'!U26+'ostatni v tis'!V26</f>
        <v>0</v>
      </c>
      <c r="O26" s="128">
        <f>'fak v tis'!V26+'ostatni v tis'!W26</f>
        <v>36987.54825</v>
      </c>
    </row>
    <row r="27" spans="1:15" s="37" customFormat="1" ht="12.75" thickBot="1">
      <c r="A27" s="28"/>
      <c r="B27" s="47" t="s">
        <v>50</v>
      </c>
      <c r="C27" s="47"/>
      <c r="D27" s="47"/>
      <c r="E27" s="330">
        <v>25</v>
      </c>
      <c r="F27" s="384">
        <f>'fak v tis'!O27</f>
        <v>23517</v>
      </c>
      <c r="G27" s="378">
        <f>'ostatni v tis'!P27</f>
        <v>52302.9</v>
      </c>
      <c r="H27" s="398">
        <f t="shared" si="2"/>
        <v>75819.9</v>
      </c>
      <c r="I27" s="130"/>
      <c r="J27" s="125">
        <f>'fak v tis'!Q27+'ostatni v tis'!R27</f>
        <v>75819.9</v>
      </c>
      <c r="K27" s="125">
        <f>'fak v tis'!R27+'ostatni v tis'!S27</f>
        <v>0</v>
      </c>
      <c r="L27" s="126">
        <f>'fak v tis'!S27+'ostatni v tis'!T27</f>
        <v>0</v>
      </c>
      <c r="M27" s="126">
        <f>'fak v tis'!T27+'ostatni v tis'!U27</f>
        <v>0</v>
      </c>
      <c r="N27" s="127">
        <f>'fak v tis'!U27+'ostatni v tis'!V27</f>
        <v>0</v>
      </c>
      <c r="O27" s="128">
        <f>'fak v tis'!V27+'ostatni v tis'!W27</f>
        <v>79053.69750000001</v>
      </c>
    </row>
    <row r="28" spans="1:15" ht="13.5" thickBot="1">
      <c r="A28" s="54" t="s">
        <v>52</v>
      </c>
      <c r="B28" s="55"/>
      <c r="C28" s="55"/>
      <c r="D28" s="55"/>
      <c r="E28" s="333">
        <v>26</v>
      </c>
      <c r="F28" s="381">
        <f aca="true" t="shared" si="3" ref="F28:O28">SUM(F29:F45)</f>
        <v>2450945.0260000005</v>
      </c>
      <c r="G28" s="376">
        <f t="shared" si="3"/>
        <v>979018.0310000001</v>
      </c>
      <c r="H28" s="334">
        <f t="shared" si="3"/>
        <v>3429963.057</v>
      </c>
      <c r="I28" s="161">
        <f t="shared" si="3"/>
        <v>0</v>
      </c>
      <c r="J28" s="115">
        <f t="shared" si="3"/>
        <v>3274109.9071800006</v>
      </c>
      <c r="K28" s="116">
        <f t="shared" si="3"/>
        <v>98283.597</v>
      </c>
      <c r="L28" s="116">
        <f t="shared" si="3"/>
        <v>34404.04582</v>
      </c>
      <c r="M28" s="116">
        <f t="shared" si="3"/>
        <v>10764</v>
      </c>
      <c r="N28" s="115">
        <f t="shared" si="3"/>
        <v>12401.507</v>
      </c>
      <c r="O28" s="117">
        <f t="shared" si="3"/>
        <v>3174472.83607</v>
      </c>
    </row>
    <row r="29" spans="1:15" s="37" customFormat="1" ht="12">
      <c r="A29" s="28" t="s">
        <v>15</v>
      </c>
      <c r="B29" s="39" t="s">
        <v>53</v>
      </c>
      <c r="C29" s="39"/>
      <c r="D29" s="39"/>
      <c r="E29" s="330">
        <v>27</v>
      </c>
      <c r="F29" s="384">
        <f>'fak v tis'!O29</f>
        <v>1228670</v>
      </c>
      <c r="G29" s="378">
        <f>'ostatni v tis'!P29</f>
        <v>376677.273</v>
      </c>
      <c r="H29" s="398">
        <f t="shared" si="2"/>
        <v>1605347.273</v>
      </c>
      <c r="I29" s="119"/>
      <c r="J29" s="125">
        <f>'fak v tis'!Q29+'ostatni v tis'!R29</f>
        <v>1585857</v>
      </c>
      <c r="K29" s="125">
        <f>'fak v tis'!R29+'ostatni v tis'!S29</f>
        <v>19490.273</v>
      </c>
      <c r="L29" s="126">
        <f>'fak v tis'!S29+'ostatni v tis'!T29</f>
        <v>0</v>
      </c>
      <c r="M29" s="126">
        <f>'fak v tis'!T29+'ostatni v tis'!U29</f>
        <v>0</v>
      </c>
      <c r="N29" s="127">
        <f>'fak v tis'!U29+'ostatni v tis'!V29</f>
        <v>0</v>
      </c>
      <c r="O29" s="128">
        <f>'fak v tis'!V29+'ostatni v tis'!W29</f>
        <v>1491203.24</v>
      </c>
    </row>
    <row r="30" spans="1:15" s="37" customFormat="1" ht="12">
      <c r="A30" s="28"/>
      <c r="B30" s="47" t="s">
        <v>29</v>
      </c>
      <c r="C30" s="47"/>
      <c r="D30" s="47"/>
      <c r="E30" s="330">
        <v>28</v>
      </c>
      <c r="F30" s="384">
        <f>'fak v tis'!O30</f>
        <v>99238.175</v>
      </c>
      <c r="G30" s="378">
        <f>'ostatni v tis'!P30</f>
        <v>0</v>
      </c>
      <c r="H30" s="398">
        <f t="shared" si="2"/>
        <v>99238.175</v>
      </c>
      <c r="I30" s="135"/>
      <c r="J30" s="125">
        <f>'fak v tis'!Q30+'ostatni v tis'!R30</f>
        <v>99238.175</v>
      </c>
      <c r="K30" s="125">
        <f>'fak v tis'!R30+'ostatni v tis'!S30</f>
        <v>0</v>
      </c>
      <c r="L30" s="126">
        <f>'fak v tis'!S30+'ostatni v tis'!T30</f>
        <v>0</v>
      </c>
      <c r="M30" s="126">
        <f>'fak v tis'!T30+'ostatni v tis'!U30</f>
        <v>0</v>
      </c>
      <c r="N30" s="127">
        <f>'fak v tis'!U30+'ostatni v tis'!V30</f>
        <v>0</v>
      </c>
      <c r="O30" s="128">
        <f>'fak v tis'!V30+'ostatni v tis'!W30</f>
        <v>98020</v>
      </c>
    </row>
    <row r="31" spans="1:15" s="37" customFormat="1" ht="12">
      <c r="A31" s="28"/>
      <c r="B31" s="47" t="s">
        <v>31</v>
      </c>
      <c r="C31" s="47"/>
      <c r="D31" s="47"/>
      <c r="E31" s="330">
        <v>29</v>
      </c>
      <c r="F31" s="384">
        <f>'fak v tis'!O31</f>
        <v>5450</v>
      </c>
      <c r="G31" s="378">
        <f>'ostatni v tis'!P31</f>
        <v>26000</v>
      </c>
      <c r="H31" s="398">
        <f t="shared" si="2"/>
        <v>31450</v>
      </c>
      <c r="I31" s="135"/>
      <c r="J31" s="125">
        <f>'fak v tis'!Q31+'ostatni v tis'!R31</f>
        <v>30769</v>
      </c>
      <c r="K31" s="125">
        <f>'fak v tis'!R31+'ostatni v tis'!S31</f>
        <v>0</v>
      </c>
      <c r="L31" s="126">
        <f>'fak v tis'!S31+'ostatni v tis'!T31</f>
        <v>681</v>
      </c>
      <c r="M31" s="126">
        <f>'fak v tis'!T31+'ostatni v tis'!U31</f>
        <v>0</v>
      </c>
      <c r="N31" s="127">
        <f>'fak v tis'!U31+'ostatni v tis'!V31</f>
        <v>0</v>
      </c>
      <c r="O31" s="128">
        <f>'fak v tis'!V31+'ostatni v tis'!W31</f>
        <v>35652.95476</v>
      </c>
    </row>
    <row r="32" spans="1:15" s="37" customFormat="1" ht="12">
      <c r="A32" s="28"/>
      <c r="B32" s="48" t="s">
        <v>33</v>
      </c>
      <c r="C32" s="49"/>
      <c r="D32" s="49"/>
      <c r="E32" s="331">
        <v>30</v>
      </c>
      <c r="F32" s="384">
        <f>'fak v tis'!O32</f>
        <v>63901</v>
      </c>
      <c r="G32" s="378">
        <f>'ostatni v tis'!P32</f>
        <v>54327</v>
      </c>
      <c r="H32" s="398">
        <f t="shared" si="2"/>
        <v>118228</v>
      </c>
      <c r="I32" s="135"/>
      <c r="J32" s="125">
        <f>'fak v tis'!Q32+'ostatni v tis'!R32</f>
        <v>118228</v>
      </c>
      <c r="K32" s="125">
        <f>'fak v tis'!R32+'ostatni v tis'!S32</f>
        <v>0</v>
      </c>
      <c r="L32" s="126">
        <f>'fak v tis'!S32+'ostatni v tis'!T32</f>
        <v>0</v>
      </c>
      <c r="M32" s="126">
        <f>'fak v tis'!T32+'ostatni v tis'!U32</f>
        <v>0</v>
      </c>
      <c r="N32" s="127">
        <f>'fak v tis'!U32+'ostatni v tis'!V32</f>
        <v>0</v>
      </c>
      <c r="O32" s="128">
        <f>'fak v tis'!V32+'ostatni v tis'!W32</f>
        <v>91096.71913</v>
      </c>
    </row>
    <row r="33" spans="1:15" s="37" customFormat="1" ht="12">
      <c r="A33" s="28"/>
      <c r="B33" s="48" t="s">
        <v>35</v>
      </c>
      <c r="C33" s="48"/>
      <c r="D33" s="48"/>
      <c r="E33" s="331">
        <v>31</v>
      </c>
      <c r="F33" s="384">
        <f>'fak v tis'!O33</f>
        <v>8415</v>
      </c>
      <c r="G33" s="378">
        <f>'ostatni v tis'!P33</f>
        <v>0</v>
      </c>
      <c r="H33" s="398">
        <f t="shared" si="2"/>
        <v>8415</v>
      </c>
      <c r="I33" s="135"/>
      <c r="J33" s="125">
        <f>'fak v tis'!Q33+'ostatni v tis'!R33</f>
        <v>8415</v>
      </c>
      <c r="K33" s="125">
        <f>'fak v tis'!R33+'ostatni v tis'!S33</f>
        <v>0</v>
      </c>
      <c r="L33" s="126">
        <f>'fak v tis'!S33+'ostatni v tis'!T33</f>
        <v>0</v>
      </c>
      <c r="M33" s="126">
        <f>'fak v tis'!T33+'ostatni v tis'!U33</f>
        <v>0</v>
      </c>
      <c r="N33" s="127">
        <f>'fak v tis'!U33+'ostatni v tis'!V33</f>
        <v>0</v>
      </c>
      <c r="O33" s="128">
        <f>'fak v tis'!V33+'ostatni v tis'!W33</f>
        <v>8763.332999999999</v>
      </c>
    </row>
    <row r="34" spans="1:15" s="37" customFormat="1" ht="12">
      <c r="A34" s="28"/>
      <c r="B34" s="48" t="s">
        <v>55</v>
      </c>
      <c r="C34" s="48"/>
      <c r="D34" s="48"/>
      <c r="E34" s="331">
        <v>32</v>
      </c>
      <c r="F34" s="384">
        <f>'fak v tis'!O34</f>
        <v>0</v>
      </c>
      <c r="G34" s="378">
        <f>'ostatni v tis'!P34</f>
        <v>123834</v>
      </c>
      <c r="H34" s="398">
        <f t="shared" si="2"/>
        <v>123834</v>
      </c>
      <c r="I34" s="135"/>
      <c r="J34" s="125">
        <f>'fak v tis'!Q34+'ostatni v tis'!R34</f>
        <v>123834</v>
      </c>
      <c r="K34" s="125">
        <f>'fak v tis'!R34+'ostatni v tis'!S34</f>
        <v>0</v>
      </c>
      <c r="L34" s="126">
        <f>'fak v tis'!S34+'ostatni v tis'!T34</f>
        <v>0</v>
      </c>
      <c r="M34" s="126">
        <f>'fak v tis'!T34+'ostatni v tis'!U34</f>
        <v>0</v>
      </c>
      <c r="N34" s="127">
        <f>'fak v tis'!U34+'ostatni v tis'!V34</f>
        <v>0</v>
      </c>
      <c r="O34" s="128">
        <f>'fak v tis'!V34+'ostatni v tis'!W34</f>
        <v>103207.037</v>
      </c>
    </row>
    <row r="35" spans="1:15" s="37" customFormat="1" ht="12">
      <c r="A35" s="28"/>
      <c r="B35" s="48" t="s">
        <v>37</v>
      </c>
      <c r="C35" s="48"/>
      <c r="D35" s="48"/>
      <c r="E35" s="331">
        <v>33</v>
      </c>
      <c r="F35" s="384">
        <f>'fak v tis'!O35</f>
        <v>2397</v>
      </c>
      <c r="G35" s="378">
        <f>'ostatni v tis'!P35</f>
        <v>1000</v>
      </c>
      <c r="H35" s="398">
        <f t="shared" si="2"/>
        <v>3397</v>
      </c>
      <c r="I35" s="135"/>
      <c r="J35" s="125">
        <f>'fak v tis'!Q35+'ostatni v tis'!R35</f>
        <v>3397</v>
      </c>
      <c r="K35" s="125">
        <f>'fak v tis'!R35+'ostatni v tis'!S35</f>
        <v>0</v>
      </c>
      <c r="L35" s="126">
        <f>'fak v tis'!S35+'ostatni v tis'!T35</f>
        <v>0</v>
      </c>
      <c r="M35" s="126">
        <f>'fak v tis'!T35+'ostatni v tis'!U35</f>
        <v>0</v>
      </c>
      <c r="N35" s="127">
        <f>'fak v tis'!U35+'ostatni v tis'!V35</f>
        <v>0</v>
      </c>
      <c r="O35" s="128">
        <f>'fak v tis'!V35+'ostatni v tis'!W35</f>
        <v>7918.139</v>
      </c>
    </row>
    <row r="36" spans="1:15" s="37" customFormat="1" ht="12">
      <c r="A36" s="28"/>
      <c r="B36" s="48" t="s">
        <v>39</v>
      </c>
      <c r="C36" s="48"/>
      <c r="D36" s="48"/>
      <c r="E36" s="331">
        <v>34</v>
      </c>
      <c r="F36" s="384">
        <f>'fak v tis'!O36</f>
        <v>18480.767</v>
      </c>
      <c r="G36" s="378">
        <f>'ostatni v tis'!P36</f>
        <v>19009.546000000002</v>
      </c>
      <c r="H36" s="398">
        <f t="shared" si="2"/>
        <v>37490.313</v>
      </c>
      <c r="I36" s="135"/>
      <c r="J36" s="125">
        <f>'fak v tis'!Q36+'ostatni v tis'!R36</f>
        <v>37203.546</v>
      </c>
      <c r="K36" s="125">
        <f>'fak v tis'!R36+'ostatni v tis'!S36</f>
        <v>0</v>
      </c>
      <c r="L36" s="126">
        <f>'fak v tis'!S36+'ostatni v tis'!T36</f>
        <v>286.767</v>
      </c>
      <c r="M36" s="126">
        <f>'fak v tis'!T36+'ostatni v tis'!U36</f>
        <v>0</v>
      </c>
      <c r="N36" s="127">
        <f>'fak v tis'!U36+'ostatni v tis'!V36</f>
        <v>0</v>
      </c>
      <c r="O36" s="128">
        <f>'fak v tis'!V36+'ostatni v tis'!W36</f>
        <v>29391.70866</v>
      </c>
    </row>
    <row r="37" spans="1:15" s="37" customFormat="1" ht="12">
      <c r="A37" s="28"/>
      <c r="B37" s="48" t="s">
        <v>57</v>
      </c>
      <c r="C37" s="48"/>
      <c r="D37" s="48"/>
      <c r="E37" s="331">
        <v>35</v>
      </c>
      <c r="F37" s="384">
        <f>'fak v tis'!O37</f>
        <v>10226.306</v>
      </c>
      <c r="G37" s="378">
        <f>'ostatni v tis'!P37</f>
        <v>23695.440000000002</v>
      </c>
      <c r="H37" s="398">
        <f t="shared" si="2"/>
        <v>33921.746</v>
      </c>
      <c r="I37" s="135"/>
      <c r="J37" s="125">
        <f>'fak v tis'!Q37+'ostatni v tis'!R37</f>
        <v>24858.153179999998</v>
      </c>
      <c r="K37" s="125">
        <f>'fak v tis'!R37+'ostatni v tis'!S37</f>
        <v>0</v>
      </c>
      <c r="L37" s="126">
        <f>'fak v tis'!S37+'ostatni v tis'!T37</f>
        <v>9063.59282</v>
      </c>
      <c r="M37" s="126">
        <f>'fak v tis'!T37+'ostatni v tis'!U37</f>
        <v>0</v>
      </c>
      <c r="N37" s="127">
        <f>'fak v tis'!U37+'ostatni v tis'!V37</f>
        <v>0</v>
      </c>
      <c r="O37" s="128">
        <f>'fak v tis'!V37+'ostatni v tis'!W37</f>
        <v>48530.25128</v>
      </c>
    </row>
    <row r="38" spans="1:15" s="37" customFormat="1" ht="12">
      <c r="A38" s="28"/>
      <c r="B38" s="48" t="s">
        <v>58</v>
      </c>
      <c r="C38" s="48"/>
      <c r="D38" s="48"/>
      <c r="E38" s="331">
        <v>36</v>
      </c>
      <c r="F38" s="384">
        <f>'fak v tis'!O38</f>
        <v>119959</v>
      </c>
      <c r="G38" s="378">
        <f>'ostatni v tis'!P38</f>
        <v>0</v>
      </c>
      <c r="H38" s="398">
        <f t="shared" si="2"/>
        <v>119959</v>
      </c>
      <c r="I38" s="135"/>
      <c r="J38" s="125">
        <f>'fak v tis'!Q38+'ostatni v tis'!R38</f>
        <v>119959</v>
      </c>
      <c r="K38" s="125">
        <f>'fak v tis'!R38+'ostatni v tis'!S38</f>
        <v>0</v>
      </c>
      <c r="L38" s="126">
        <f>'fak v tis'!S38+'ostatni v tis'!T38</f>
        <v>0</v>
      </c>
      <c r="M38" s="126">
        <f>'fak v tis'!T38+'ostatni v tis'!U38</f>
        <v>0</v>
      </c>
      <c r="N38" s="127">
        <f>'fak v tis'!U38+'ostatni v tis'!V38</f>
        <v>0</v>
      </c>
      <c r="O38" s="128">
        <f>'fak v tis'!V38+'ostatni v tis'!W38</f>
        <v>130278.9415</v>
      </c>
    </row>
    <row r="39" spans="1:15" s="37" customFormat="1" ht="12">
      <c r="A39" s="28"/>
      <c r="B39" s="48" t="s">
        <v>60</v>
      </c>
      <c r="C39" s="48"/>
      <c r="D39" s="48"/>
      <c r="E39" s="331">
        <v>37</v>
      </c>
      <c r="F39" s="384">
        <f>'fak v tis'!O39</f>
        <v>306990.715</v>
      </c>
      <c r="G39" s="378">
        <f>'ostatni v tis'!P39</f>
        <v>0</v>
      </c>
      <c r="H39" s="398">
        <f t="shared" si="2"/>
        <v>306990.715</v>
      </c>
      <c r="I39" s="135"/>
      <c r="J39" s="125">
        <f>'fak v tis'!Q39+'ostatni v tis'!R39</f>
        <v>303135</v>
      </c>
      <c r="K39" s="125">
        <f>'fak v tis'!R39+'ostatni v tis'!S39</f>
        <v>0</v>
      </c>
      <c r="L39" s="126">
        <f>'fak v tis'!S39+'ostatni v tis'!T39</f>
        <v>3855.715</v>
      </c>
      <c r="M39" s="126">
        <f>'fak v tis'!T39+'ostatni v tis'!U39</f>
        <v>0</v>
      </c>
      <c r="N39" s="127">
        <f>'fak v tis'!U39+'ostatni v tis'!V39</f>
        <v>0</v>
      </c>
      <c r="O39" s="128">
        <f>'fak v tis'!V39+'ostatni v tis'!W39</f>
        <v>242830.02944</v>
      </c>
    </row>
    <row r="40" spans="1:15" s="37" customFormat="1" ht="12">
      <c r="A40" s="28"/>
      <c r="B40" s="48" t="s">
        <v>61</v>
      </c>
      <c r="C40" s="48"/>
      <c r="D40" s="48"/>
      <c r="E40" s="331">
        <v>38</v>
      </c>
      <c r="F40" s="384">
        <f>'fak v tis'!O40</f>
        <v>222647.78199999998</v>
      </c>
      <c r="G40" s="378">
        <f>'ostatni v tis'!P40</f>
        <v>10954</v>
      </c>
      <c r="H40" s="398">
        <f t="shared" si="2"/>
        <v>233601.78199999998</v>
      </c>
      <c r="I40" s="135"/>
      <c r="J40" s="125">
        <f>'fak v tis'!Q40+'ostatni v tis'!R40</f>
        <v>232573</v>
      </c>
      <c r="K40" s="125">
        <f>'fak v tis'!R40+'ostatni v tis'!S40</f>
        <v>0</v>
      </c>
      <c r="L40" s="126">
        <f>'fak v tis'!S40+'ostatni v tis'!T40</f>
        <v>1028.7820000000002</v>
      </c>
      <c r="M40" s="126">
        <f>'fak v tis'!T40+'ostatni v tis'!U40</f>
        <v>0</v>
      </c>
      <c r="N40" s="127">
        <f>'fak v tis'!U40+'ostatni v tis'!V40</f>
        <v>0</v>
      </c>
      <c r="O40" s="128">
        <f>'fak v tis'!V40+'ostatni v tis'!W40</f>
        <v>223685.82810999997</v>
      </c>
    </row>
    <row r="41" spans="1:15" s="37" customFormat="1" ht="12">
      <c r="A41" s="28"/>
      <c r="B41" s="48" t="s">
        <v>46</v>
      </c>
      <c r="C41" s="48"/>
      <c r="D41" s="48"/>
      <c r="E41" s="331">
        <v>39</v>
      </c>
      <c r="F41" s="384">
        <f>'fak v tis'!O41</f>
        <v>31955.201999999997</v>
      </c>
      <c r="G41" s="378">
        <f>'ostatni v tis'!P41</f>
        <v>3943.181</v>
      </c>
      <c r="H41" s="398">
        <f t="shared" si="2"/>
        <v>35898.382999999994</v>
      </c>
      <c r="I41" s="135"/>
      <c r="J41" s="125">
        <f>'fak v tis'!Q41+'ostatni v tis'!R41</f>
        <v>25744.739999999998</v>
      </c>
      <c r="K41" s="125">
        <f>'fak v tis'!R41+'ostatni v tis'!S41</f>
        <v>0</v>
      </c>
      <c r="L41" s="126">
        <f>'fak v tis'!S41+'ostatni v tis'!T41</f>
        <v>10153.643</v>
      </c>
      <c r="M41" s="126">
        <f>'fak v tis'!T41+'ostatni v tis'!U41</f>
        <v>0</v>
      </c>
      <c r="N41" s="127">
        <f>'fak v tis'!U41+'ostatni v tis'!V41</f>
        <v>0</v>
      </c>
      <c r="O41" s="128">
        <f>'fak v tis'!V41+'ostatni v tis'!W41</f>
        <v>34413.404</v>
      </c>
    </row>
    <row r="42" spans="1:15" s="37" customFormat="1" ht="12">
      <c r="A42" s="28"/>
      <c r="B42" s="48" t="s">
        <v>62</v>
      </c>
      <c r="C42" s="48"/>
      <c r="D42" s="48"/>
      <c r="E42" s="331">
        <v>40</v>
      </c>
      <c r="F42" s="384">
        <f>'fak v tis'!O42</f>
        <v>25590.097</v>
      </c>
      <c r="G42" s="378">
        <f>'ostatni v tis'!P42</f>
        <v>1510</v>
      </c>
      <c r="H42" s="398">
        <f t="shared" si="2"/>
        <v>27100.097</v>
      </c>
      <c r="I42" s="135"/>
      <c r="J42" s="125">
        <f>'fak v tis'!Q42+'ostatni v tis'!R42</f>
        <v>27067</v>
      </c>
      <c r="K42" s="125">
        <f>'fak v tis'!R42+'ostatni v tis'!S42</f>
        <v>0</v>
      </c>
      <c r="L42" s="126">
        <f>'fak v tis'!S42+'ostatni v tis'!T42</f>
        <v>33.097</v>
      </c>
      <c r="M42" s="126">
        <f>'fak v tis'!T42+'ostatni v tis'!U42</f>
        <v>0</v>
      </c>
      <c r="N42" s="127">
        <f>'fak v tis'!U42+'ostatni v tis'!V42</f>
        <v>0</v>
      </c>
      <c r="O42" s="128">
        <f>'fak v tis'!V42+'ostatni v tis'!W42</f>
        <v>33235.439</v>
      </c>
    </row>
    <row r="43" spans="1:15" s="37" customFormat="1" ht="12">
      <c r="A43" s="28"/>
      <c r="B43" s="48" t="s">
        <v>63</v>
      </c>
      <c r="C43" s="48"/>
      <c r="D43" s="48"/>
      <c r="E43" s="331">
        <v>41</v>
      </c>
      <c r="F43" s="384">
        <f>'fak v tis'!O43</f>
        <v>245534.24199999997</v>
      </c>
      <c r="G43" s="378">
        <f>'ostatni v tis'!P43</f>
        <v>203744</v>
      </c>
      <c r="H43" s="398">
        <f t="shared" si="2"/>
        <v>449278.24199999997</v>
      </c>
      <c r="I43" s="135"/>
      <c r="J43" s="125">
        <f>'fak v tis'!Q43+'ostatni v tis'!R43</f>
        <v>448936.793</v>
      </c>
      <c r="K43" s="125">
        <f>'fak v tis'!R43+'ostatni v tis'!S43</f>
        <v>0</v>
      </c>
      <c r="L43" s="126">
        <f>'fak v tis'!S43+'ostatni v tis'!T43</f>
        <v>341.44899999999996</v>
      </c>
      <c r="M43" s="126">
        <f>'fak v tis'!T43+'ostatni v tis'!U43</f>
        <v>0</v>
      </c>
      <c r="N43" s="127">
        <f>'fak v tis'!U43+'ostatni v tis'!V43</f>
        <v>0</v>
      </c>
      <c r="O43" s="128">
        <f>'fak v tis'!V43+'ostatni v tis'!W43</f>
        <v>442876.56693000003</v>
      </c>
    </row>
    <row r="44" spans="1:15" s="37" customFormat="1" ht="12">
      <c r="A44" s="28"/>
      <c r="B44" s="48" t="s">
        <v>64</v>
      </c>
      <c r="C44" s="48"/>
      <c r="D44" s="48"/>
      <c r="E44" s="331">
        <v>42</v>
      </c>
      <c r="F44" s="384">
        <f>'fak v tis'!O44</f>
        <v>35031.740000000005</v>
      </c>
      <c r="G44" s="378">
        <f>'ostatni v tis'!P44</f>
        <v>75887.091</v>
      </c>
      <c r="H44" s="398">
        <f t="shared" si="2"/>
        <v>110918.831</v>
      </c>
      <c r="I44" s="135"/>
      <c r="J44" s="125">
        <f>'fak v tis'!Q44+'ostatni v tis'!R44</f>
        <v>0</v>
      </c>
      <c r="K44" s="125">
        <f>'fak v tis'!R44+'ostatni v tis'!S44</f>
        <v>78793.324</v>
      </c>
      <c r="L44" s="126">
        <f>'fak v tis'!S44+'ostatni v tis'!T44</f>
        <v>8960</v>
      </c>
      <c r="M44" s="126">
        <f>'fak v tis'!T44+'ostatni v tis'!U44</f>
        <v>10764</v>
      </c>
      <c r="N44" s="127">
        <f>'fak v tis'!U44+'ostatni v tis'!V44</f>
        <v>12401.507</v>
      </c>
      <c r="O44" s="128">
        <f>'fak v tis'!V44+'ostatni v tis'!W44</f>
        <v>58433.26</v>
      </c>
    </row>
    <row r="45" spans="1:15" s="37" customFormat="1" ht="12">
      <c r="A45" s="65"/>
      <c r="B45" s="66" t="s">
        <v>50</v>
      </c>
      <c r="C45" s="66"/>
      <c r="D45" s="66"/>
      <c r="E45" s="332">
        <v>43</v>
      </c>
      <c r="F45" s="385">
        <f>'fak v tis'!O45</f>
        <v>26458</v>
      </c>
      <c r="G45" s="379">
        <f>'ostatni v tis'!P45</f>
        <v>58436.5</v>
      </c>
      <c r="H45" s="399">
        <f t="shared" si="2"/>
        <v>84894.5</v>
      </c>
      <c r="I45" s="141"/>
      <c r="J45" s="390">
        <f>'fak v tis'!Q45+'ostatni v tis'!R45</f>
        <v>84894.5</v>
      </c>
      <c r="K45" s="390">
        <f>'fak v tis'!R45+'ostatni v tis'!S45</f>
        <v>0</v>
      </c>
      <c r="L45" s="391">
        <f>'fak v tis'!S45+'ostatni v tis'!T45</f>
        <v>0</v>
      </c>
      <c r="M45" s="391">
        <f>'fak v tis'!T45+'ostatni v tis'!U45</f>
        <v>0</v>
      </c>
      <c r="N45" s="392">
        <f>'fak v tis'!U45+'ostatni v tis'!V45</f>
        <v>0</v>
      </c>
      <c r="O45" s="393">
        <f>'fak v tis'!V45+'ostatni v tis'!W45</f>
        <v>94935.98426</v>
      </c>
    </row>
    <row r="46" spans="1:15" s="37" customFormat="1" ht="12.75" thickBot="1">
      <c r="A46" s="73" t="s">
        <v>66</v>
      </c>
      <c r="B46" s="74"/>
      <c r="C46" s="74"/>
      <c r="D46" s="74"/>
      <c r="E46" s="330">
        <v>44</v>
      </c>
      <c r="F46" s="388">
        <f>F29+F34+F38+F43+F44+F45-F4-F27</f>
        <v>10445.839643662097</v>
      </c>
      <c r="G46" s="145">
        <f>G29+G34+G38+G43+G44+G45-G4-G27</f>
        <v>20319.400000000045</v>
      </c>
      <c r="H46" s="400">
        <f>H29+H34+H38+H43+H44+H45-H4-H27</f>
        <v>30765.239643661684</v>
      </c>
      <c r="I46" s="146">
        <f>I29+I34+I38+I43+I44+I45+-I4-I27</f>
        <v>0</v>
      </c>
      <c r="J46" s="146">
        <f>J29+J34+J38+J43+J45-J4-J27</f>
        <v>30765.239818661852</v>
      </c>
      <c r="K46" s="146">
        <f>K29+K34+K38+K43+K44+K45-K4-K27</f>
        <v>-0.00017500000831205398</v>
      </c>
      <c r="L46" s="146">
        <f>L29+L34+L38+L43+L44+L45-L4-L27</f>
        <v>1.8189894035458565E-12</v>
      </c>
      <c r="M46" s="146">
        <f>M29+M34+M38+M43+M44+M45-M4-M27</f>
        <v>0</v>
      </c>
      <c r="N46" s="146">
        <f>N29+N34+N38+N43+N44+N45-N4-N27</f>
        <v>0</v>
      </c>
      <c r="O46" s="147">
        <f>O29+O34+O38+O43+O44+O45-O4-O27</f>
        <v>77005.05490999972</v>
      </c>
    </row>
    <row r="47" spans="1:15" ht="13.5" thickBot="1">
      <c r="A47" s="54" t="s">
        <v>67</v>
      </c>
      <c r="B47" s="55"/>
      <c r="C47" s="55"/>
      <c r="D47" s="55"/>
      <c r="E47" s="333">
        <v>45</v>
      </c>
      <c r="F47" s="381">
        <f>F28-F3</f>
        <v>11545.840323662385</v>
      </c>
      <c r="G47" s="376">
        <f>G28-G3</f>
        <v>14319.400000000023</v>
      </c>
      <c r="H47" s="334">
        <f>H28-H3</f>
        <v>25865.240323661827</v>
      </c>
      <c r="I47" s="114">
        <f aca="true" t="shared" si="4" ref="I47:O47">I28-I3</f>
        <v>0</v>
      </c>
      <c r="J47" s="115">
        <f t="shared" si="4"/>
        <v>25865.239818662405</v>
      </c>
      <c r="K47" s="116">
        <f t="shared" si="4"/>
        <v>-0.00017500000831205398</v>
      </c>
      <c r="L47" s="116">
        <f t="shared" si="4"/>
        <v>0.0006799999973736703</v>
      </c>
      <c r="M47" s="116">
        <f t="shared" si="4"/>
        <v>0</v>
      </c>
      <c r="N47" s="115">
        <f t="shared" si="4"/>
        <v>0</v>
      </c>
      <c r="O47" s="117">
        <f t="shared" si="4"/>
        <v>60015.82600000035</v>
      </c>
    </row>
    <row r="48" spans="5:15" s="80" customFormat="1" ht="9" customHeight="1">
      <c r="E48" s="81"/>
      <c r="F48" s="37"/>
      <c r="G48" s="37"/>
      <c r="H48" s="401"/>
      <c r="J48" s="92"/>
      <c r="K48" s="92"/>
      <c r="L48" s="92"/>
      <c r="M48" s="92"/>
      <c r="N48" s="92"/>
      <c r="O48" s="92"/>
    </row>
    <row r="49" spans="1:21" s="80" customFormat="1" ht="11.25">
      <c r="A49" s="84" t="s">
        <v>100</v>
      </c>
      <c r="E49" s="81"/>
      <c r="F49" s="92"/>
      <c r="G49" s="92"/>
      <c r="H49" s="410">
        <f>'fak v tis'!O49+'ostatni v tis'!P49</f>
        <v>7500</v>
      </c>
      <c r="I49" s="92"/>
      <c r="J49" s="92"/>
      <c r="K49" s="92"/>
      <c r="L49" s="92"/>
      <c r="M49" s="92"/>
      <c r="N49" s="92"/>
      <c r="O49" s="409"/>
      <c r="Q49" s="92"/>
      <c r="S49" s="92"/>
      <c r="U49" s="92"/>
    </row>
    <row r="50" spans="8:10" ht="12.75">
      <c r="H50" s="444"/>
      <c r="J50" s="420"/>
    </row>
    <row r="51" spans="8:10" ht="12.75">
      <c r="H51" s="444"/>
      <c r="J51" s="420"/>
    </row>
    <row r="52" spans="6:10" ht="12.75">
      <c r="F52" s="37">
        <v>1605</v>
      </c>
      <c r="H52" s="444">
        <f>H29</f>
        <v>1605347.273</v>
      </c>
      <c r="J52" s="420"/>
    </row>
    <row r="53" spans="6:8" ht="12.75">
      <c r="F53" s="37">
        <v>120</v>
      </c>
      <c r="H53" s="444">
        <f>H43+H45</f>
        <v>534172.742</v>
      </c>
    </row>
    <row r="54" spans="6:8" ht="12.75">
      <c r="F54" s="37">
        <v>1540</v>
      </c>
      <c r="H54" s="444">
        <f>H38</f>
        <v>119959</v>
      </c>
    </row>
    <row r="55" spans="6:8" ht="12.75">
      <c r="F55" s="37">
        <v>140</v>
      </c>
      <c r="H55" s="444">
        <f>SUM(H30:H37,H39:H42,H44)</f>
        <v>1170484.0420000001</v>
      </c>
    </row>
    <row r="56" spans="6:8" ht="12.75">
      <c r="F56" s="37">
        <f>SUM(F52:F55)</f>
        <v>3405</v>
      </c>
      <c r="H56" s="444">
        <f>SUM(H52:H55)</f>
        <v>3429963.057</v>
      </c>
    </row>
    <row r="57" ht="12.75">
      <c r="F57" s="37">
        <v>26</v>
      </c>
    </row>
    <row r="58" ht="12.75">
      <c r="F58" s="37">
        <f>SUM(F56:F57)</f>
        <v>3431</v>
      </c>
    </row>
  </sheetData>
  <mergeCells count="3">
    <mergeCell ref="A1:D1"/>
    <mergeCell ref="K1:N1"/>
    <mergeCell ref="C2:D2"/>
  </mergeCells>
  <printOptions horizontalCentered="1" verticalCentered="1"/>
  <pageMargins left="0.6692913385826772" right="0.4724409448818898" top="0.4330708661417323" bottom="0.35433070866141736" header="0.1968503937007874" footer="0.2755905511811024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9" sqref="A9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25390625" style="37" customWidth="1"/>
    <col min="7" max="7" width="2.125" style="0" hidden="1" customWidth="1"/>
    <col min="8" max="8" width="13.125" style="92" customWidth="1"/>
    <col min="9" max="9" width="11.00390625" style="92" customWidth="1"/>
    <col min="10" max="10" width="8.625" style="92" customWidth="1"/>
    <col min="11" max="11" width="8.00390625" style="92" customWidth="1"/>
    <col min="12" max="12" width="8.125" style="92" customWidth="1"/>
    <col min="13" max="13" width="11.7539062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94</v>
      </c>
      <c r="D2" s="432"/>
      <c r="E2" s="10" t="s">
        <v>6</v>
      </c>
      <c r="F2" s="16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>SUM(F5:F27)</f>
        <v>177459621</v>
      </c>
      <c r="G3" s="114">
        <f aca="true" t="shared" si="0" ref="G3:M3">SUM(G5:G27)</f>
        <v>0</v>
      </c>
      <c r="H3" s="115">
        <f t="shared" si="0"/>
        <v>174164440</v>
      </c>
      <c r="I3" s="116">
        <f t="shared" si="0"/>
        <v>1352000</v>
      </c>
      <c r="J3" s="116">
        <f t="shared" si="0"/>
        <v>1943181</v>
      </c>
      <c r="K3" s="116">
        <f t="shared" si="0"/>
        <v>0</v>
      </c>
      <c r="L3" s="115">
        <f t="shared" si="0"/>
        <v>0</v>
      </c>
      <c r="M3" s="117">
        <f t="shared" si="0"/>
        <v>187433773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>SUM(F5:F15)</f>
        <v>147621000</v>
      </c>
      <c r="G4" s="119">
        <f aca="true" t="shared" si="1" ref="G4:M4">SUM(G5:G15)</f>
        <v>0</v>
      </c>
      <c r="H4" s="120">
        <f t="shared" si="1"/>
        <v>146269000</v>
      </c>
      <c r="I4" s="121">
        <f t="shared" si="1"/>
        <v>1352000</v>
      </c>
      <c r="J4" s="121">
        <f t="shared" si="1"/>
        <v>0</v>
      </c>
      <c r="K4" s="121">
        <f t="shared" si="1"/>
        <v>0</v>
      </c>
      <c r="L4" s="120">
        <f t="shared" si="1"/>
        <v>0</v>
      </c>
      <c r="M4" s="122">
        <f t="shared" si="1"/>
        <v>134700041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63">
        <f>SUM(H5:L5)</f>
        <v>41000000</v>
      </c>
      <c r="G5" s="124"/>
      <c r="H5" s="225">
        <v>41000000</v>
      </c>
      <c r="I5" s="131"/>
      <c r="J5" s="132"/>
      <c r="K5" s="223"/>
      <c r="L5" s="224"/>
      <c r="M5" s="134">
        <v>39768489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63">
        <f aca="true" t="shared" si="2" ref="F6:F45">SUM(H6:L6)</f>
        <v>2000000</v>
      </c>
      <c r="G6" s="124"/>
      <c r="H6" s="226">
        <v>2000000</v>
      </c>
      <c r="I6" s="131"/>
      <c r="J6" s="132"/>
      <c r="K6" s="223"/>
      <c r="L6" s="224"/>
      <c r="M6" s="134">
        <v>1639000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63">
        <f t="shared" si="2"/>
        <v>15900000</v>
      </c>
      <c r="G7" s="124"/>
      <c r="H7" s="226">
        <v>15900000</v>
      </c>
      <c r="I7" s="131"/>
      <c r="J7" s="132"/>
      <c r="K7" s="223"/>
      <c r="L7" s="224"/>
      <c r="M7" s="134">
        <v>14414854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63">
        <f t="shared" si="2"/>
        <v>5000000</v>
      </c>
      <c r="G8" s="124"/>
      <c r="H8" s="226">
        <v>5000000</v>
      </c>
      <c r="I8" s="131"/>
      <c r="J8" s="132"/>
      <c r="K8" s="223"/>
      <c r="L8" s="224"/>
      <c r="M8" s="134">
        <v>2801839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63">
        <f t="shared" si="2"/>
        <v>4500000</v>
      </c>
      <c r="G9" s="124"/>
      <c r="H9" s="226">
        <v>4500000</v>
      </c>
      <c r="I9" s="131"/>
      <c r="J9" s="132"/>
      <c r="K9" s="223"/>
      <c r="L9" s="224"/>
      <c r="M9" s="134">
        <v>2480624</v>
      </c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63">
        <f t="shared" si="2"/>
        <v>15352000</v>
      </c>
      <c r="G10" s="124"/>
      <c r="H10" s="226">
        <v>15000000</v>
      </c>
      <c r="I10" s="131">
        <v>352000</v>
      </c>
      <c r="J10" s="132"/>
      <c r="K10" s="223"/>
      <c r="L10" s="224"/>
      <c r="M10" s="134">
        <v>13110764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63">
        <f t="shared" si="2"/>
        <v>23100000</v>
      </c>
      <c r="G11" s="124"/>
      <c r="H11" s="226">
        <v>22100000</v>
      </c>
      <c r="I11" s="131">
        <v>1000000</v>
      </c>
      <c r="J11" s="132"/>
      <c r="K11" s="223"/>
      <c r="L11" s="224"/>
      <c r="M11" s="134">
        <v>20256400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63">
        <f t="shared" si="2"/>
        <v>1000000</v>
      </c>
      <c r="G12" s="124"/>
      <c r="H12" s="226">
        <v>1000000</v>
      </c>
      <c r="I12" s="131"/>
      <c r="J12" s="132"/>
      <c r="K12" s="223"/>
      <c r="L12" s="224"/>
      <c r="M12" s="134">
        <v>908151</v>
      </c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63">
        <f t="shared" si="2"/>
        <v>35479000</v>
      </c>
      <c r="G13" s="124"/>
      <c r="H13" s="226">
        <f>15789000+19690000</f>
        <v>35479000</v>
      </c>
      <c r="I13" s="131"/>
      <c r="J13" s="132"/>
      <c r="K13" s="223"/>
      <c r="L13" s="224"/>
      <c r="M13" s="134">
        <v>34514799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63">
        <f t="shared" si="2"/>
        <v>0</v>
      </c>
      <c r="G14" s="124"/>
      <c r="H14" s="226"/>
      <c r="I14" s="131"/>
      <c r="J14" s="132"/>
      <c r="K14" s="223"/>
      <c r="L14" s="224"/>
      <c r="M14" s="134"/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63">
        <f t="shared" si="2"/>
        <v>4290000</v>
      </c>
      <c r="G15" s="124"/>
      <c r="H15" s="226">
        <v>4290000</v>
      </c>
      <c r="I15" s="131"/>
      <c r="J15" s="132"/>
      <c r="K15" s="223"/>
      <c r="L15" s="224"/>
      <c r="M15" s="134">
        <v>4805121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0</v>
      </c>
      <c r="G16" s="130"/>
      <c r="H16" s="226"/>
      <c r="I16" s="131"/>
      <c r="J16" s="132"/>
      <c r="K16" s="223"/>
      <c r="L16" s="224"/>
      <c r="M16" s="134"/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0</v>
      </c>
      <c r="G17" s="130"/>
      <c r="H17" s="226"/>
      <c r="I17" s="131"/>
      <c r="J17" s="132"/>
      <c r="K17" s="223"/>
      <c r="L17" s="224"/>
      <c r="M17" s="134"/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4287000</v>
      </c>
      <c r="G18" s="130"/>
      <c r="H18" s="226">
        <v>4287000</v>
      </c>
      <c r="I18" s="131"/>
      <c r="J18" s="132"/>
      <c r="K18" s="223"/>
      <c r="L18" s="224"/>
      <c r="M18" s="134">
        <v>15907640</v>
      </c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0</v>
      </c>
      <c r="G19" s="130"/>
      <c r="H19" s="226"/>
      <c r="I19" s="131"/>
      <c r="J19" s="132"/>
      <c r="K19" s="223"/>
      <c r="L19" s="224"/>
      <c r="M19" s="134"/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0</v>
      </c>
      <c r="G20" s="130"/>
      <c r="H20" s="226"/>
      <c r="I20" s="131"/>
      <c r="J20" s="132"/>
      <c r="K20" s="223"/>
      <c r="L20" s="224"/>
      <c r="M20" s="134"/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2"/>
        <v>0</v>
      </c>
      <c r="G21" s="130"/>
      <c r="H21" s="226"/>
      <c r="I21" s="131"/>
      <c r="J21" s="132"/>
      <c r="K21" s="223"/>
      <c r="L21" s="224"/>
      <c r="M21" s="134"/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2"/>
        <v>2644440</v>
      </c>
      <c r="G22" s="130"/>
      <c r="H22" s="226">
        <f>1124180+1520260</f>
        <v>2644440</v>
      </c>
      <c r="I22" s="131"/>
      <c r="J22" s="132"/>
      <c r="K22" s="223"/>
      <c r="L22" s="224"/>
      <c r="M22" s="134">
        <v>811620</v>
      </c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2"/>
        <v>0</v>
      </c>
      <c r="G23" s="130"/>
      <c r="H23" s="226"/>
      <c r="I23" s="131"/>
      <c r="J23" s="132"/>
      <c r="K23" s="223"/>
      <c r="L23" s="224"/>
      <c r="M23" s="134">
        <v>1111137</v>
      </c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2"/>
        <v>8454000</v>
      </c>
      <c r="G24" s="130"/>
      <c r="H24" s="226">
        <v>8454000</v>
      </c>
      <c r="I24" s="131"/>
      <c r="J24" s="132"/>
      <c r="K24" s="223"/>
      <c r="L24" s="224"/>
      <c r="M24" s="134">
        <v>12068000</v>
      </c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2"/>
        <v>3943181</v>
      </c>
      <c r="G25" s="130"/>
      <c r="H25" s="226">
        <v>2000000</v>
      </c>
      <c r="I25" s="131"/>
      <c r="J25" s="132">
        <v>1943181</v>
      </c>
      <c r="K25" s="223"/>
      <c r="L25" s="224"/>
      <c r="M25" s="134">
        <v>4094961</v>
      </c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2"/>
        <v>1510000</v>
      </c>
      <c r="G26" s="130"/>
      <c r="H26" s="226">
        <f>329000+1181000</f>
        <v>1510000</v>
      </c>
      <c r="I26" s="131"/>
      <c r="J26" s="132"/>
      <c r="K26" s="223"/>
      <c r="L26" s="224"/>
      <c r="M26" s="134"/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9000000</v>
      </c>
      <c r="G27" s="130"/>
      <c r="H27" s="227">
        <v>9000000</v>
      </c>
      <c r="I27" s="131"/>
      <c r="J27" s="132"/>
      <c r="K27" s="223"/>
      <c r="L27" s="224"/>
      <c r="M27" s="134">
        <v>18740374</v>
      </c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>SUM(F29:F45)</f>
        <v>178228621</v>
      </c>
      <c r="G28" s="114">
        <f aca="true" t="shared" si="3" ref="G28:M28">SUM(G29:G45)</f>
        <v>0</v>
      </c>
      <c r="H28" s="115">
        <f t="shared" si="3"/>
        <v>174933440</v>
      </c>
      <c r="I28" s="116">
        <f t="shared" si="3"/>
        <v>1352000</v>
      </c>
      <c r="J28" s="116">
        <f t="shared" si="3"/>
        <v>1943181</v>
      </c>
      <c r="K28" s="116">
        <f t="shared" si="3"/>
        <v>0</v>
      </c>
      <c r="L28" s="115">
        <f t="shared" si="3"/>
        <v>0</v>
      </c>
      <c r="M28" s="117">
        <f t="shared" si="3"/>
        <v>190570436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40">
        <v>27</v>
      </c>
      <c r="F29" s="164">
        <f t="shared" si="2"/>
        <v>129897000</v>
      </c>
      <c r="G29" s="119"/>
      <c r="H29" s="120">
        <v>128545000</v>
      </c>
      <c r="I29" s="121">
        <v>1352000</v>
      </c>
      <c r="J29" s="121"/>
      <c r="K29" s="121"/>
      <c r="L29" s="120"/>
      <c r="M29" s="122">
        <v>116968000</v>
      </c>
    </row>
    <row r="30" spans="1:13" s="37" customFormat="1" ht="12">
      <c r="A30" s="28"/>
      <c r="B30" s="47" t="s">
        <v>29</v>
      </c>
      <c r="C30" s="47"/>
      <c r="D30" s="47"/>
      <c r="E30" s="40">
        <v>28</v>
      </c>
      <c r="F30" s="164">
        <f t="shared" si="2"/>
        <v>0</v>
      </c>
      <c r="G30" s="135"/>
      <c r="H30" s="136"/>
      <c r="I30" s="137"/>
      <c r="J30" s="137"/>
      <c r="K30" s="137"/>
      <c r="L30" s="136"/>
      <c r="M30" s="138"/>
    </row>
    <row r="31" spans="1:13" s="37" customFormat="1" ht="12">
      <c r="A31" s="28"/>
      <c r="B31" s="47" t="s">
        <v>31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/>
    </row>
    <row r="32" spans="1:13" s="37" customFormat="1" ht="12">
      <c r="A32" s="28"/>
      <c r="B32" s="48" t="s">
        <v>33</v>
      </c>
      <c r="C32" s="49"/>
      <c r="D32" s="49"/>
      <c r="E32" s="50">
        <v>30</v>
      </c>
      <c r="F32" s="164">
        <f t="shared" si="2"/>
        <v>4287000</v>
      </c>
      <c r="G32" s="135"/>
      <c r="H32" s="136">
        <v>4287000</v>
      </c>
      <c r="I32" s="137"/>
      <c r="J32" s="137"/>
      <c r="K32" s="137"/>
      <c r="L32" s="136"/>
      <c r="M32" s="138">
        <v>15907640</v>
      </c>
    </row>
    <row r="33" spans="1:13" s="37" customFormat="1" ht="12">
      <c r="A33" s="28"/>
      <c r="B33" s="48" t="s">
        <v>35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/>
    </row>
    <row r="34" spans="1:13" s="37" customFormat="1" ht="12">
      <c r="A34" s="28"/>
      <c r="B34" s="48" t="s">
        <v>55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</row>
    <row r="35" spans="1:13" s="37" customFormat="1" ht="12">
      <c r="A35" s="28"/>
      <c r="B35" s="48" t="s">
        <v>37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/>
    </row>
    <row r="36" spans="1:13" s="37" customFormat="1" ht="12">
      <c r="A36" s="28"/>
      <c r="B36" s="48" t="s">
        <v>39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/>
    </row>
    <row r="37" spans="1:13" s="37" customFormat="1" ht="12">
      <c r="A37" s="28"/>
      <c r="B37" s="48" t="s">
        <v>57</v>
      </c>
      <c r="C37" s="48"/>
      <c r="D37" s="48"/>
      <c r="E37" s="50">
        <v>35</v>
      </c>
      <c r="F37" s="164">
        <f t="shared" si="2"/>
        <v>2644440</v>
      </c>
      <c r="G37" s="135"/>
      <c r="H37" s="136">
        <v>2644440</v>
      </c>
      <c r="I37" s="137"/>
      <c r="J37" s="137"/>
      <c r="K37" s="137"/>
      <c r="L37" s="136"/>
      <c r="M37" s="138">
        <v>811620</v>
      </c>
    </row>
    <row r="38" spans="1:13" s="37" customFormat="1" ht="12">
      <c r="A38" s="28"/>
      <c r="B38" s="48" t="s">
        <v>58</v>
      </c>
      <c r="C38" s="48"/>
      <c r="D38" s="48"/>
      <c r="E38" s="50">
        <v>36</v>
      </c>
      <c r="F38" s="164">
        <f t="shared" si="2"/>
        <v>0</v>
      </c>
      <c r="G38" s="135"/>
      <c r="H38" s="136"/>
      <c r="I38" s="137"/>
      <c r="J38" s="137"/>
      <c r="K38" s="137"/>
      <c r="L38" s="136"/>
      <c r="M38" s="138"/>
    </row>
    <row r="39" spans="1:13" s="37" customFormat="1" ht="12">
      <c r="A39" s="28"/>
      <c r="B39" s="48" t="s">
        <v>60</v>
      </c>
      <c r="C39" s="48"/>
      <c r="D39" s="48"/>
      <c r="E39" s="50">
        <v>37</v>
      </c>
      <c r="F39" s="164">
        <f t="shared" si="2"/>
        <v>0</v>
      </c>
      <c r="G39" s="135"/>
      <c r="H39" s="136"/>
      <c r="I39" s="137"/>
      <c r="J39" s="137"/>
      <c r="K39" s="137"/>
      <c r="L39" s="136"/>
      <c r="M39" s="138">
        <v>1111137</v>
      </c>
    </row>
    <row r="40" spans="1:13" s="37" customFormat="1" ht="12">
      <c r="A40" s="28"/>
      <c r="B40" s="48" t="s">
        <v>61</v>
      </c>
      <c r="C40" s="48"/>
      <c r="D40" s="48"/>
      <c r="E40" s="50">
        <v>38</v>
      </c>
      <c r="F40" s="164">
        <f t="shared" si="2"/>
        <v>8454000</v>
      </c>
      <c r="G40" s="135"/>
      <c r="H40" s="136">
        <v>8454000</v>
      </c>
      <c r="I40" s="137"/>
      <c r="J40" s="137"/>
      <c r="K40" s="137"/>
      <c r="L40" s="136"/>
      <c r="M40" s="138">
        <v>12068000</v>
      </c>
    </row>
    <row r="41" spans="1:13" s="37" customFormat="1" ht="12">
      <c r="A41" s="28"/>
      <c r="B41" s="48" t="s">
        <v>46</v>
      </c>
      <c r="C41" s="48"/>
      <c r="D41" s="48"/>
      <c r="E41" s="50">
        <v>39</v>
      </c>
      <c r="F41" s="164">
        <f t="shared" si="2"/>
        <v>3943181</v>
      </c>
      <c r="G41" s="135"/>
      <c r="H41" s="136">
        <v>2000000</v>
      </c>
      <c r="I41" s="137"/>
      <c r="J41" s="137">
        <v>1943181</v>
      </c>
      <c r="K41" s="137"/>
      <c r="L41" s="136"/>
      <c r="M41" s="138">
        <v>4094961</v>
      </c>
    </row>
    <row r="42" spans="1:13" s="37" customFormat="1" ht="12">
      <c r="A42" s="28"/>
      <c r="B42" s="48" t="s">
        <v>62</v>
      </c>
      <c r="C42" s="48"/>
      <c r="D42" s="48"/>
      <c r="E42" s="50">
        <v>40</v>
      </c>
      <c r="F42" s="164">
        <f t="shared" si="2"/>
        <v>1510000</v>
      </c>
      <c r="G42" s="135"/>
      <c r="H42" s="136">
        <v>1510000</v>
      </c>
      <c r="I42" s="137"/>
      <c r="J42" s="137"/>
      <c r="K42" s="137"/>
      <c r="L42" s="136"/>
      <c r="M42" s="138"/>
    </row>
    <row r="43" spans="1:13" s="37" customFormat="1" ht="12">
      <c r="A43" s="28"/>
      <c r="B43" s="48" t="s">
        <v>63</v>
      </c>
      <c r="C43" s="48"/>
      <c r="D43" s="48"/>
      <c r="E43" s="50">
        <v>41</v>
      </c>
      <c r="F43" s="164">
        <f t="shared" si="2"/>
        <v>17493000</v>
      </c>
      <c r="G43" s="135"/>
      <c r="H43" s="136">
        <v>17493000</v>
      </c>
      <c r="I43" s="137"/>
      <c r="J43" s="137"/>
      <c r="K43" s="137"/>
      <c r="L43" s="136"/>
      <c r="M43" s="138">
        <v>17492509</v>
      </c>
    </row>
    <row r="44" spans="1:13" s="37" customFormat="1" ht="12">
      <c r="A44" s="28"/>
      <c r="B44" s="48" t="s">
        <v>64</v>
      </c>
      <c r="C44" s="48"/>
      <c r="D44" s="48"/>
      <c r="E44" s="50">
        <v>42</v>
      </c>
      <c r="F44" s="164">
        <f t="shared" si="2"/>
        <v>0</v>
      </c>
      <c r="G44" s="135"/>
      <c r="H44" s="139" t="s">
        <v>99</v>
      </c>
      <c r="I44" s="137"/>
      <c r="J44" s="137"/>
      <c r="K44" s="137"/>
      <c r="L44" s="136"/>
      <c r="M44" s="138"/>
    </row>
    <row r="45" spans="1:13" s="37" customFormat="1" ht="12">
      <c r="A45" s="65"/>
      <c r="B45" s="66" t="s">
        <v>50</v>
      </c>
      <c r="C45" s="66"/>
      <c r="D45" s="66"/>
      <c r="E45" s="67">
        <v>43</v>
      </c>
      <c r="F45" s="165">
        <f t="shared" si="2"/>
        <v>10000000</v>
      </c>
      <c r="G45" s="141"/>
      <c r="H45" s="142">
        <v>10000000</v>
      </c>
      <c r="I45" s="143"/>
      <c r="J45" s="143"/>
      <c r="K45" s="143"/>
      <c r="L45" s="142"/>
      <c r="M45" s="144">
        <v>22116569</v>
      </c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47">
        <f>F29+F34+F38+F43+F44+F45-F4-F27</f>
        <v>769000</v>
      </c>
      <c r="G46" s="146">
        <f>G29+G34+G38+G43+G44+G45+-G4-G27</f>
        <v>0</v>
      </c>
      <c r="H46" s="146">
        <f>H29+H34+H38+H43+H45-H4-H27</f>
        <v>769000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3136663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61">
        <f>F28-F3</f>
        <v>769000</v>
      </c>
      <c r="G47" s="114">
        <f aca="true" t="shared" si="4" ref="G47:M47">G28-G3</f>
        <v>0</v>
      </c>
      <c r="H47" s="115">
        <f t="shared" si="4"/>
        <v>769000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3136663</v>
      </c>
    </row>
    <row r="48" spans="1:5" ht="12.75">
      <c r="A48" s="80"/>
      <c r="B48" s="80"/>
      <c r="C48" s="80"/>
      <c r="D48" s="80"/>
      <c r="E48" s="81"/>
    </row>
    <row r="49" spans="5:13" s="80" customFormat="1" ht="12"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>
      <c r="A50" s="84" t="s">
        <v>100</v>
      </c>
      <c r="E50" s="81"/>
      <c r="F50" s="167"/>
      <c r="H50" s="92"/>
      <c r="I50" s="92"/>
      <c r="J50" s="156"/>
      <c r="L50" s="92"/>
      <c r="M50" s="92"/>
    </row>
    <row r="51" spans="5:13" s="84" customFormat="1" ht="12">
      <c r="E51" s="86"/>
      <c r="F51" s="168"/>
      <c r="H51" s="108"/>
      <c r="I51" s="108"/>
      <c r="J51" s="108"/>
      <c r="K51" s="108"/>
      <c r="L51" s="108"/>
      <c r="M51" s="108"/>
    </row>
    <row r="52" spans="5:13" s="84" customFormat="1" ht="12">
      <c r="E52" s="86"/>
      <c r="F52" s="168"/>
      <c r="H52" s="108"/>
      <c r="I52" s="108"/>
      <c r="J52" s="108"/>
      <c r="K52" s="108"/>
      <c r="L52" s="108"/>
      <c r="M52" s="108"/>
    </row>
    <row r="53" spans="5:13" s="84" customFormat="1" ht="12">
      <c r="E53" s="86"/>
      <c r="F53" s="168"/>
      <c r="H53" s="108"/>
      <c r="I53" s="108"/>
      <c r="J53" s="108"/>
      <c r="K53" s="108"/>
      <c r="L53" s="108"/>
      <c r="M53" s="108"/>
    </row>
    <row r="54" spans="1:13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</row>
    <row r="55" spans="1:6" s="92" customFormat="1" ht="12">
      <c r="A55" s="84"/>
      <c r="B55" s="84"/>
      <c r="C55" s="84"/>
      <c r="D55" s="84"/>
      <c r="E55" s="90"/>
      <c r="F55" s="37"/>
    </row>
    <row r="56" spans="1:6" s="92" customFormat="1" ht="12">
      <c r="A56" s="84"/>
      <c r="B56" s="84"/>
      <c r="C56" s="84"/>
      <c r="D56" s="84"/>
      <c r="E56" s="90"/>
      <c r="F56" s="37"/>
    </row>
    <row r="57" spans="1:6" s="92" customFormat="1" ht="12">
      <c r="A57" s="84"/>
      <c r="B57" s="84"/>
      <c r="C57" s="84"/>
      <c r="D57" s="84"/>
      <c r="E57" s="90"/>
      <c r="F57" s="37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9" sqref="A9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0.875" style="37" customWidth="1"/>
    <col min="7" max="7" width="5.125" style="0" hidden="1" customWidth="1"/>
    <col min="8" max="8" width="9.00390625" style="92" customWidth="1"/>
    <col min="9" max="11" width="8.00390625" style="92" customWidth="1"/>
    <col min="12" max="12" width="8.125" style="92" customWidth="1"/>
    <col min="13" max="13" width="9.62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95</v>
      </c>
      <c r="D2" s="432"/>
      <c r="E2" s="10" t="s">
        <v>6</v>
      </c>
      <c r="F2" s="16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>SUM(F5:F27)</f>
        <v>2761000</v>
      </c>
      <c r="G3" s="114">
        <f aca="true" t="shared" si="0" ref="G3:M3">SUM(G5:G27)</f>
        <v>0</v>
      </c>
      <c r="H3" s="115">
        <f t="shared" si="0"/>
        <v>2761000</v>
      </c>
      <c r="I3" s="116">
        <f t="shared" si="0"/>
        <v>0</v>
      </c>
      <c r="J3" s="116">
        <f t="shared" si="0"/>
        <v>0</v>
      </c>
      <c r="K3" s="116">
        <f t="shared" si="0"/>
        <v>0</v>
      </c>
      <c r="L3" s="115">
        <f t="shared" si="0"/>
        <v>0</v>
      </c>
      <c r="M3" s="117">
        <f t="shared" si="0"/>
        <v>1016719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>SUM(F5:F15)</f>
        <v>2761000</v>
      </c>
      <c r="G4" s="119">
        <f aca="true" t="shared" si="1" ref="G4:M4">SUM(G5:G15)</f>
        <v>0</v>
      </c>
      <c r="H4" s="120">
        <f t="shared" si="1"/>
        <v>2761000</v>
      </c>
      <c r="I4" s="121">
        <f t="shared" si="1"/>
        <v>0</v>
      </c>
      <c r="J4" s="121">
        <f t="shared" si="1"/>
        <v>0</v>
      </c>
      <c r="K4" s="121">
        <f t="shared" si="1"/>
        <v>0</v>
      </c>
      <c r="L4" s="120">
        <f t="shared" si="1"/>
        <v>0</v>
      </c>
      <c r="M4" s="122">
        <f t="shared" si="1"/>
        <v>175353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63">
        <f>SUM(H5:L5)</f>
        <v>840000</v>
      </c>
      <c r="G5" s="124"/>
      <c r="H5" s="125">
        <v>840000</v>
      </c>
      <c r="I5" s="125"/>
      <c r="J5" s="126"/>
      <c r="K5" s="126"/>
      <c r="L5" s="127"/>
      <c r="M5" s="128">
        <v>1712579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63">
        <f aca="true" t="shared" si="2" ref="F6:F45">SUM(H6:L6)</f>
        <v>51000</v>
      </c>
      <c r="G6" s="124"/>
      <c r="H6" s="125">
        <v>51000</v>
      </c>
      <c r="I6" s="125"/>
      <c r="J6" s="126"/>
      <c r="K6" s="126"/>
      <c r="L6" s="127"/>
      <c r="M6" s="128">
        <v>100800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63">
        <f t="shared" si="2"/>
        <v>320000</v>
      </c>
      <c r="G7" s="124"/>
      <c r="H7" s="125">
        <v>320000</v>
      </c>
      <c r="I7" s="125"/>
      <c r="J7" s="126"/>
      <c r="K7" s="126"/>
      <c r="L7" s="127"/>
      <c r="M7" s="128">
        <v>634684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63">
        <f t="shared" si="2"/>
        <v>120000</v>
      </c>
      <c r="G8" s="124"/>
      <c r="H8" s="125">
        <v>120000</v>
      </c>
      <c r="I8" s="125"/>
      <c r="J8" s="126"/>
      <c r="K8" s="126"/>
      <c r="L8" s="127"/>
      <c r="M8" s="128">
        <v>204407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63">
        <f t="shared" si="2"/>
        <v>150000</v>
      </c>
      <c r="G9" s="124"/>
      <c r="H9" s="125">
        <v>150000</v>
      </c>
      <c r="I9" s="125"/>
      <c r="J9" s="126"/>
      <c r="K9" s="126"/>
      <c r="L9" s="127"/>
      <c r="M9" s="128">
        <v>248526</v>
      </c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63">
        <f t="shared" si="2"/>
        <v>500000</v>
      </c>
      <c r="G10" s="124"/>
      <c r="H10" s="125">
        <v>500000</v>
      </c>
      <c r="I10" s="125"/>
      <c r="J10" s="126"/>
      <c r="K10" s="126"/>
      <c r="L10" s="127"/>
      <c r="M10" s="128">
        <v>1078538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63">
        <f t="shared" si="2"/>
        <v>580000</v>
      </c>
      <c r="G11" s="124"/>
      <c r="H11" s="125">
        <v>580000</v>
      </c>
      <c r="I11" s="125"/>
      <c r="J11" s="126"/>
      <c r="K11" s="126"/>
      <c r="L11" s="127"/>
      <c r="M11" s="128">
        <v>882975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63">
        <f t="shared" si="2"/>
        <v>0</v>
      </c>
      <c r="G12" s="124"/>
      <c r="H12" s="125"/>
      <c r="I12" s="125"/>
      <c r="J12" s="126"/>
      <c r="K12" s="126"/>
      <c r="L12" s="127"/>
      <c r="M12" s="128"/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63">
        <f t="shared" si="2"/>
        <v>180000</v>
      </c>
      <c r="G13" s="124"/>
      <c r="H13" s="125">
        <v>180000</v>
      </c>
      <c r="I13" s="125"/>
      <c r="J13" s="126"/>
      <c r="K13" s="126"/>
      <c r="L13" s="127"/>
      <c r="M13" s="128">
        <v>377184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63">
        <f t="shared" si="2"/>
        <v>0</v>
      </c>
      <c r="G14" s="124"/>
      <c r="H14" s="125"/>
      <c r="I14" s="125"/>
      <c r="J14" s="126"/>
      <c r="K14" s="126"/>
      <c r="L14" s="127"/>
      <c r="M14" s="128"/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63">
        <f t="shared" si="2"/>
        <v>20000</v>
      </c>
      <c r="G15" s="124"/>
      <c r="H15" s="125">
        <v>20000</v>
      </c>
      <c r="I15" s="125"/>
      <c r="J15" s="126"/>
      <c r="K15" s="126"/>
      <c r="L15" s="127"/>
      <c r="M15" s="128">
        <v>-5064340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0</v>
      </c>
      <c r="G16" s="130"/>
      <c r="H16" s="131"/>
      <c r="I16" s="131"/>
      <c r="J16" s="132"/>
      <c r="K16" s="132"/>
      <c r="L16" s="133"/>
      <c r="M16" s="134"/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0</v>
      </c>
      <c r="G17" s="130"/>
      <c r="H17" s="131"/>
      <c r="I17" s="131"/>
      <c r="J17" s="132"/>
      <c r="K17" s="132"/>
      <c r="L17" s="133"/>
      <c r="M17" s="134"/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0</v>
      </c>
      <c r="G18" s="130"/>
      <c r="H18" s="131"/>
      <c r="I18" s="131"/>
      <c r="J18" s="132"/>
      <c r="K18" s="132"/>
      <c r="L18" s="133"/>
      <c r="M18" s="134"/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/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2"/>
        <v>0</v>
      </c>
      <c r="G22" s="130"/>
      <c r="H22" s="133"/>
      <c r="I22" s="132"/>
      <c r="J22" s="132"/>
      <c r="K22" s="132"/>
      <c r="L22" s="133"/>
      <c r="M22" s="134"/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/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2"/>
        <v>0</v>
      </c>
      <c r="G24" s="130"/>
      <c r="H24" s="133"/>
      <c r="I24" s="132"/>
      <c r="J24" s="132"/>
      <c r="K24" s="132"/>
      <c r="L24" s="133"/>
      <c r="M24" s="134"/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/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0</v>
      </c>
      <c r="G27" s="130"/>
      <c r="H27" s="133"/>
      <c r="I27" s="132"/>
      <c r="J27" s="132"/>
      <c r="K27" s="132"/>
      <c r="L27" s="133"/>
      <c r="M27" s="134">
        <v>841366</v>
      </c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>SUM(F29:F45)</f>
        <v>2561000</v>
      </c>
      <c r="G28" s="114">
        <f aca="true" t="shared" si="3" ref="G28:M28">SUM(G29:G45)</f>
        <v>0</v>
      </c>
      <c r="H28" s="115">
        <f t="shared" si="3"/>
        <v>2561000</v>
      </c>
      <c r="I28" s="116">
        <f t="shared" si="3"/>
        <v>0</v>
      </c>
      <c r="J28" s="116">
        <f t="shared" si="3"/>
        <v>0</v>
      </c>
      <c r="K28" s="116">
        <f t="shared" si="3"/>
        <v>0</v>
      </c>
      <c r="L28" s="115">
        <f t="shared" si="3"/>
        <v>0</v>
      </c>
      <c r="M28" s="117">
        <f t="shared" si="3"/>
        <v>1041912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40">
        <v>27</v>
      </c>
      <c r="F29" s="164">
        <f t="shared" si="2"/>
        <v>0</v>
      </c>
      <c r="G29" s="119"/>
      <c r="H29" s="120"/>
      <c r="I29" s="121"/>
      <c r="J29" s="121"/>
      <c r="K29" s="121"/>
      <c r="L29" s="120"/>
      <c r="M29" s="122"/>
    </row>
    <row r="30" spans="1:13" s="37" customFormat="1" ht="12">
      <c r="A30" s="28"/>
      <c r="B30" s="47" t="s">
        <v>29</v>
      </c>
      <c r="C30" s="47"/>
      <c r="D30" s="47"/>
      <c r="E30" s="40">
        <v>28</v>
      </c>
      <c r="F30" s="164">
        <f t="shared" si="2"/>
        <v>0</v>
      </c>
      <c r="G30" s="135"/>
      <c r="H30" s="136"/>
      <c r="I30" s="137"/>
      <c r="J30" s="137"/>
      <c r="K30" s="137"/>
      <c r="L30" s="136"/>
      <c r="M30" s="138"/>
    </row>
    <row r="31" spans="1:13" s="37" customFormat="1" ht="12">
      <c r="A31" s="28"/>
      <c r="B31" s="47" t="s">
        <v>31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/>
    </row>
    <row r="32" spans="1:13" s="37" customFormat="1" ht="12">
      <c r="A32" s="28"/>
      <c r="B32" s="48" t="s">
        <v>33</v>
      </c>
      <c r="C32" s="49"/>
      <c r="D32" s="49"/>
      <c r="E32" s="50">
        <v>30</v>
      </c>
      <c r="F32" s="164">
        <f t="shared" si="2"/>
        <v>0</v>
      </c>
      <c r="G32" s="135"/>
      <c r="H32" s="136"/>
      <c r="I32" s="137"/>
      <c r="J32" s="137"/>
      <c r="K32" s="137"/>
      <c r="L32" s="136"/>
      <c r="M32" s="138"/>
    </row>
    <row r="33" spans="1:13" s="37" customFormat="1" ht="12">
      <c r="A33" s="28"/>
      <c r="B33" s="48" t="s">
        <v>35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/>
    </row>
    <row r="34" spans="1:13" s="37" customFormat="1" ht="12">
      <c r="A34" s="28"/>
      <c r="B34" s="48" t="s">
        <v>55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</row>
    <row r="35" spans="1:13" s="37" customFormat="1" ht="12">
      <c r="A35" s="28"/>
      <c r="B35" s="48" t="s">
        <v>37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/>
    </row>
    <row r="36" spans="1:13" s="37" customFormat="1" ht="12">
      <c r="A36" s="28"/>
      <c r="B36" s="48" t="s">
        <v>39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/>
    </row>
    <row r="37" spans="1:13" s="37" customFormat="1" ht="12">
      <c r="A37" s="28"/>
      <c r="B37" s="48" t="s">
        <v>57</v>
      </c>
      <c r="C37" s="48"/>
      <c r="D37" s="48"/>
      <c r="E37" s="50">
        <v>35</v>
      </c>
      <c r="F37" s="164">
        <f t="shared" si="2"/>
        <v>0</v>
      </c>
      <c r="G37" s="135"/>
      <c r="H37" s="136"/>
      <c r="I37" s="137"/>
      <c r="J37" s="137"/>
      <c r="K37" s="137"/>
      <c r="L37" s="136"/>
      <c r="M37" s="138"/>
    </row>
    <row r="38" spans="1:13" s="37" customFormat="1" ht="12">
      <c r="A38" s="28"/>
      <c r="B38" s="48" t="s">
        <v>58</v>
      </c>
      <c r="C38" s="48"/>
      <c r="D38" s="48"/>
      <c r="E38" s="50">
        <v>36</v>
      </c>
      <c r="F38" s="164">
        <f t="shared" si="2"/>
        <v>0</v>
      </c>
      <c r="G38" s="135"/>
      <c r="H38" s="136"/>
      <c r="I38" s="137"/>
      <c r="J38" s="137"/>
      <c r="K38" s="137"/>
      <c r="L38" s="136"/>
      <c r="M38" s="138"/>
    </row>
    <row r="39" spans="1:13" s="37" customFormat="1" ht="12">
      <c r="A39" s="28"/>
      <c r="B39" s="48" t="s">
        <v>60</v>
      </c>
      <c r="C39" s="48"/>
      <c r="D39" s="48"/>
      <c r="E39" s="50">
        <v>37</v>
      </c>
      <c r="F39" s="164">
        <f t="shared" si="2"/>
        <v>0</v>
      </c>
      <c r="G39" s="135"/>
      <c r="H39" s="136"/>
      <c r="I39" s="137"/>
      <c r="J39" s="137"/>
      <c r="K39" s="137"/>
      <c r="L39" s="136"/>
      <c r="M39" s="138"/>
    </row>
    <row r="40" spans="1:13" s="37" customFormat="1" ht="12">
      <c r="A40" s="28"/>
      <c r="B40" s="48" t="s">
        <v>61</v>
      </c>
      <c r="C40" s="48"/>
      <c r="D40" s="48"/>
      <c r="E40" s="50">
        <v>38</v>
      </c>
      <c r="F40" s="164">
        <f t="shared" si="2"/>
        <v>0</v>
      </c>
      <c r="G40" s="135"/>
      <c r="H40" s="136"/>
      <c r="I40" s="137"/>
      <c r="J40" s="137"/>
      <c r="K40" s="137"/>
      <c r="L40" s="136"/>
      <c r="M40" s="138"/>
    </row>
    <row r="41" spans="1:13" s="37" customFormat="1" ht="12">
      <c r="A41" s="28"/>
      <c r="B41" s="48" t="s">
        <v>46</v>
      </c>
      <c r="C41" s="48"/>
      <c r="D41" s="48"/>
      <c r="E41" s="50">
        <v>39</v>
      </c>
      <c r="F41" s="164">
        <f t="shared" si="2"/>
        <v>0</v>
      </c>
      <c r="G41" s="135"/>
      <c r="H41" s="136"/>
      <c r="I41" s="137"/>
      <c r="J41" s="137"/>
      <c r="K41" s="137"/>
      <c r="L41" s="136"/>
      <c r="M41" s="138"/>
    </row>
    <row r="42" spans="1:13" s="37" customFormat="1" ht="12">
      <c r="A42" s="28"/>
      <c r="B42" s="48" t="s">
        <v>62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/>
    </row>
    <row r="43" spans="1:13" s="37" customFormat="1" ht="12">
      <c r="A43" s="28"/>
      <c r="B43" s="48" t="s">
        <v>63</v>
      </c>
      <c r="C43" s="48"/>
      <c r="D43" s="48"/>
      <c r="E43" s="50">
        <v>41</v>
      </c>
      <c r="F43" s="164">
        <f t="shared" si="2"/>
        <v>2561000</v>
      </c>
      <c r="G43" s="135"/>
      <c r="H43" s="136">
        <v>2561000</v>
      </c>
      <c r="I43" s="137"/>
      <c r="J43" s="137"/>
      <c r="K43" s="137"/>
      <c r="L43" s="136"/>
      <c r="M43" s="138">
        <v>61670</v>
      </c>
    </row>
    <row r="44" spans="1:13" s="37" customFormat="1" ht="12">
      <c r="A44" s="28"/>
      <c r="B44" s="48" t="s">
        <v>64</v>
      </c>
      <c r="C44" s="48"/>
      <c r="D44" s="48"/>
      <c r="E44" s="50">
        <v>42</v>
      </c>
      <c r="F44" s="164">
        <f t="shared" si="2"/>
        <v>0</v>
      </c>
      <c r="G44" s="135"/>
      <c r="H44" s="139" t="s">
        <v>99</v>
      </c>
      <c r="I44" s="137"/>
      <c r="J44" s="137"/>
      <c r="K44" s="137"/>
      <c r="L44" s="136"/>
      <c r="M44" s="138">
        <v>103950</v>
      </c>
    </row>
    <row r="45" spans="1:13" s="37" customFormat="1" ht="12">
      <c r="A45" s="65"/>
      <c r="B45" s="66" t="s">
        <v>50</v>
      </c>
      <c r="C45" s="66"/>
      <c r="D45" s="66"/>
      <c r="E45" s="67">
        <v>43</v>
      </c>
      <c r="F45" s="165">
        <f t="shared" si="2"/>
        <v>0</v>
      </c>
      <c r="G45" s="141"/>
      <c r="H45" s="142"/>
      <c r="I45" s="143"/>
      <c r="J45" s="143"/>
      <c r="K45" s="143"/>
      <c r="L45" s="142"/>
      <c r="M45" s="144">
        <v>876292</v>
      </c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47">
        <f>F29+F34+F38+F43+F44+F45-F4-F27</f>
        <v>-200000</v>
      </c>
      <c r="G46" s="146">
        <f>G29+G34+G38+G43+G44+G45+-G4-G27</f>
        <v>0</v>
      </c>
      <c r="H46" s="146">
        <f>H29+H34+H38+H43+H45-H4-H27</f>
        <v>-200000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25193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61">
        <f>F28-F3</f>
        <v>-200000</v>
      </c>
      <c r="G47" s="114">
        <f aca="true" t="shared" si="4" ref="G47:M47">G28-G3</f>
        <v>0</v>
      </c>
      <c r="H47" s="115">
        <f t="shared" si="4"/>
        <v>-200000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25193</v>
      </c>
    </row>
    <row r="48" spans="1:5" ht="12.75">
      <c r="A48" s="80"/>
      <c r="B48" s="80"/>
      <c r="C48" s="80"/>
      <c r="D48" s="80"/>
      <c r="E48" s="81"/>
    </row>
    <row r="49" spans="5:13" s="80" customFormat="1" ht="12"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>
      <c r="A50" s="84" t="s">
        <v>100</v>
      </c>
      <c r="E50" s="81"/>
      <c r="F50" s="167"/>
      <c r="H50" s="92"/>
      <c r="J50" s="156"/>
      <c r="L50" s="92"/>
      <c r="M50" s="92"/>
    </row>
    <row r="51" spans="5:13" s="84" customFormat="1" ht="12">
      <c r="E51" s="86"/>
      <c r="F51" s="168"/>
      <c r="H51" s="108"/>
      <c r="I51" s="108"/>
      <c r="J51" s="108"/>
      <c r="K51" s="108"/>
      <c r="L51" s="108"/>
      <c r="M51" s="108"/>
    </row>
    <row r="52" spans="5:13" s="84" customFormat="1" ht="12">
      <c r="E52" s="86"/>
      <c r="F52" s="168"/>
      <c r="H52" s="108"/>
      <c r="I52" s="108"/>
      <c r="J52" s="108"/>
      <c r="K52" s="108"/>
      <c r="L52" s="108"/>
      <c r="M52" s="108"/>
    </row>
    <row r="53" spans="5:13" s="84" customFormat="1" ht="12">
      <c r="E53" s="86"/>
      <c r="F53" s="168"/>
      <c r="H53" s="108"/>
      <c r="I53" s="108"/>
      <c r="J53" s="108"/>
      <c r="K53" s="108"/>
      <c r="L53" s="108"/>
      <c r="M53" s="108"/>
    </row>
    <row r="54" spans="1:13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</row>
    <row r="55" spans="1:6" s="92" customFormat="1" ht="12">
      <c r="A55" s="84"/>
      <c r="B55" s="84"/>
      <c r="C55" s="84"/>
      <c r="D55" s="84"/>
      <c r="E55" s="90"/>
      <c r="F55" s="37"/>
    </row>
    <row r="56" spans="1:6" s="92" customFormat="1" ht="12">
      <c r="A56" s="84"/>
      <c r="B56" s="84"/>
      <c r="C56" s="84"/>
      <c r="D56" s="84"/>
      <c r="E56" s="90"/>
      <c r="F56" s="37"/>
    </row>
    <row r="57" spans="1:6" s="92" customFormat="1" ht="12">
      <c r="A57" s="84"/>
      <c r="B57" s="84"/>
      <c r="C57" s="84"/>
      <c r="D57" s="84"/>
      <c r="E57" s="90"/>
      <c r="F57" s="37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9" sqref="A9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375" style="37" customWidth="1"/>
    <col min="7" max="7" width="5.125" style="0" hidden="1" customWidth="1"/>
    <col min="8" max="8" width="10.75390625" style="92" customWidth="1"/>
    <col min="9" max="11" width="8.00390625" style="92" customWidth="1"/>
    <col min="12" max="12" width="8.125" style="92" customWidth="1"/>
    <col min="13" max="13" width="9.62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96</v>
      </c>
      <c r="D2" s="432"/>
      <c r="E2" s="10" t="s">
        <v>6</v>
      </c>
      <c r="F2" s="16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>SUM(F5:F27)</f>
        <v>30029000</v>
      </c>
      <c r="G3" s="114">
        <f aca="true" t="shared" si="0" ref="G3:M3">SUM(G5:G27)</f>
        <v>0</v>
      </c>
      <c r="H3" s="115">
        <f t="shared" si="0"/>
        <v>28904121.18</v>
      </c>
      <c r="I3" s="116">
        <f t="shared" si="0"/>
        <v>0</v>
      </c>
      <c r="J3" s="116">
        <f t="shared" si="0"/>
        <v>1124878.82</v>
      </c>
      <c r="K3" s="116">
        <f t="shared" si="0"/>
        <v>0</v>
      </c>
      <c r="L3" s="115">
        <f t="shared" si="0"/>
        <v>0</v>
      </c>
      <c r="M3" s="117">
        <f t="shared" si="0"/>
        <v>27858485.96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>SUM(F5:F15)</f>
        <v>26978000</v>
      </c>
      <c r="G4" s="119">
        <f aca="true" t="shared" si="1" ref="G4:M4">SUM(G5:G15)</f>
        <v>0</v>
      </c>
      <c r="H4" s="120">
        <f t="shared" si="1"/>
        <v>26978000</v>
      </c>
      <c r="I4" s="121">
        <f t="shared" si="1"/>
        <v>0</v>
      </c>
      <c r="J4" s="121">
        <f t="shared" si="1"/>
        <v>0</v>
      </c>
      <c r="K4" s="121">
        <f t="shared" si="1"/>
        <v>0</v>
      </c>
      <c r="L4" s="120">
        <f t="shared" si="1"/>
        <v>0</v>
      </c>
      <c r="M4" s="122">
        <f t="shared" si="1"/>
        <v>23079765.86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63">
        <f>SUM(H5:L5)</f>
        <v>17535000</v>
      </c>
      <c r="G5" s="124"/>
      <c r="H5" s="110">
        <v>17535000</v>
      </c>
      <c r="I5" s="125"/>
      <c r="J5" s="126"/>
      <c r="K5" s="126"/>
      <c r="L5" s="127"/>
      <c r="M5" s="148">
        <v>15432530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63">
        <f aca="true" t="shared" si="2" ref="F6:F45">SUM(H6:L6)</f>
        <v>766000</v>
      </c>
      <c r="G6" s="124"/>
      <c r="H6" s="111">
        <v>766000</v>
      </c>
      <c r="I6" s="125"/>
      <c r="J6" s="126"/>
      <c r="K6" s="126"/>
      <c r="L6" s="127"/>
      <c r="M6" s="148">
        <v>729900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63">
        <f t="shared" si="2"/>
        <v>6733000</v>
      </c>
      <c r="G7" s="124"/>
      <c r="H7" s="111">
        <f>CEILING(H5*0.37,1000)+CEILING((H6-66000)*0.35,1000)</f>
        <v>6733000</v>
      </c>
      <c r="I7" s="125"/>
      <c r="J7" s="126"/>
      <c r="K7" s="126"/>
      <c r="L7" s="127"/>
      <c r="M7" s="148">
        <f>5628863</f>
        <v>5628863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63">
        <f t="shared" si="2"/>
        <v>80000</v>
      </c>
      <c r="G8" s="124"/>
      <c r="H8" s="111">
        <v>80000</v>
      </c>
      <c r="I8" s="125"/>
      <c r="J8" s="126"/>
      <c r="K8" s="126"/>
      <c r="L8" s="127"/>
      <c r="M8" s="148">
        <v>25949.48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63">
        <f t="shared" si="2"/>
        <v>55000</v>
      </c>
      <c r="G9" s="124"/>
      <c r="H9" s="111">
        <v>55000</v>
      </c>
      <c r="I9" s="125"/>
      <c r="J9" s="126"/>
      <c r="K9" s="126"/>
      <c r="L9" s="127"/>
      <c r="M9" s="148">
        <v>42245.5</v>
      </c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63">
        <f t="shared" si="2"/>
        <v>956000</v>
      </c>
      <c r="G10" s="124"/>
      <c r="H10" s="111">
        <v>956000</v>
      </c>
      <c r="I10" s="125"/>
      <c r="J10" s="126"/>
      <c r="K10" s="126"/>
      <c r="L10" s="127"/>
      <c r="M10" s="148">
        <v>909584.25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63">
        <f t="shared" si="2"/>
        <v>110000</v>
      </c>
      <c r="G11" s="124"/>
      <c r="H11" s="111">
        <v>110000</v>
      </c>
      <c r="I11" s="125"/>
      <c r="J11" s="126"/>
      <c r="K11" s="126"/>
      <c r="L11" s="127"/>
      <c r="M11" s="148">
        <v>90005.57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63">
        <f t="shared" si="2"/>
        <v>110000</v>
      </c>
      <c r="G12" s="124"/>
      <c r="H12" s="111">
        <v>110000</v>
      </c>
      <c r="I12" s="125"/>
      <c r="J12" s="126"/>
      <c r="K12" s="126"/>
      <c r="L12" s="127"/>
      <c r="M12" s="148">
        <v>43646.3</v>
      </c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63">
        <f t="shared" si="2"/>
        <v>59000</v>
      </c>
      <c r="G13" s="124"/>
      <c r="H13" s="111">
        <f>58000+1000</f>
        <v>59000</v>
      </c>
      <c r="I13" s="125"/>
      <c r="J13" s="126"/>
      <c r="K13" s="126"/>
      <c r="L13" s="127"/>
      <c r="M13" s="148">
        <v>43422.65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63">
        <f t="shared" si="2"/>
        <v>0</v>
      </c>
      <c r="G14" s="124"/>
      <c r="H14" s="111"/>
      <c r="I14" s="125"/>
      <c r="J14" s="126"/>
      <c r="K14" s="126"/>
      <c r="L14" s="127"/>
      <c r="M14" s="148"/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63">
        <f t="shared" si="2"/>
        <v>574000</v>
      </c>
      <c r="G15" s="124"/>
      <c r="H15" s="111">
        <f>484000+90000</f>
        <v>574000</v>
      </c>
      <c r="I15" s="125"/>
      <c r="J15" s="126"/>
      <c r="K15" s="126"/>
      <c r="L15" s="127"/>
      <c r="M15" s="148">
        <f>133619.11-331808+320398+10770+640</f>
        <v>133619.11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0</v>
      </c>
      <c r="G16" s="130"/>
      <c r="H16" s="131"/>
      <c r="I16" s="131"/>
      <c r="J16" s="132"/>
      <c r="K16" s="132"/>
      <c r="L16" s="133"/>
      <c r="M16" s="148"/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0</v>
      </c>
      <c r="G17" s="130"/>
      <c r="H17" s="131"/>
      <c r="I17" s="131"/>
      <c r="J17" s="132"/>
      <c r="K17" s="132"/>
      <c r="L17" s="133"/>
      <c r="M17" s="148"/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0</v>
      </c>
      <c r="G18" s="130"/>
      <c r="H18" s="131"/>
      <c r="I18" s="131"/>
      <c r="J18" s="132"/>
      <c r="K18" s="132"/>
      <c r="L18" s="133"/>
      <c r="M18" s="148">
        <v>2223095</v>
      </c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/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2"/>
        <v>3051000</v>
      </c>
      <c r="G22" s="130"/>
      <c r="H22" s="109">
        <f>1032000+2019000-J22</f>
        <v>1926121.18</v>
      </c>
      <c r="I22" s="112"/>
      <c r="J22" s="112">
        <v>1124878.82</v>
      </c>
      <c r="K22" s="112"/>
      <c r="L22" s="149"/>
      <c r="M22" s="148">
        <v>2545538.1</v>
      </c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/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2"/>
        <v>0</v>
      </c>
      <c r="G24" s="130"/>
      <c r="H24" s="133"/>
      <c r="I24" s="132"/>
      <c r="J24" s="132"/>
      <c r="K24" s="132"/>
      <c r="L24" s="133"/>
      <c r="M24" s="148">
        <v>10087</v>
      </c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/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0</v>
      </c>
      <c r="G27" s="130"/>
      <c r="H27" s="133"/>
      <c r="I27" s="132"/>
      <c r="J27" s="132"/>
      <c r="K27" s="132"/>
      <c r="L27" s="133"/>
      <c r="M27" s="134"/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>SUM(F29:F45)</f>
        <v>30069000</v>
      </c>
      <c r="G28" s="114">
        <f aca="true" t="shared" si="3" ref="G28:M28">SUM(G29:G45)</f>
        <v>0</v>
      </c>
      <c r="H28" s="115">
        <f t="shared" si="3"/>
        <v>28944121.18</v>
      </c>
      <c r="I28" s="116">
        <f t="shared" si="3"/>
        <v>0</v>
      </c>
      <c r="J28" s="116">
        <f t="shared" si="3"/>
        <v>1124878.82</v>
      </c>
      <c r="K28" s="116">
        <f t="shared" si="3"/>
        <v>0</v>
      </c>
      <c r="L28" s="115">
        <f t="shared" si="3"/>
        <v>0</v>
      </c>
      <c r="M28" s="117">
        <f t="shared" si="3"/>
        <v>27943901.03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40">
        <v>27</v>
      </c>
      <c r="F29" s="164">
        <f t="shared" si="2"/>
        <v>26667000</v>
      </c>
      <c r="G29" s="119"/>
      <c r="H29" s="109">
        <f>26609000+58000</f>
        <v>26667000</v>
      </c>
      <c r="I29" s="150"/>
      <c r="J29" s="150"/>
      <c r="K29" s="150"/>
      <c r="L29" s="151"/>
      <c r="M29" s="152">
        <v>22810000</v>
      </c>
    </row>
    <row r="30" spans="1:13" s="37" customFormat="1" ht="12">
      <c r="A30" s="28"/>
      <c r="B30" s="47" t="s">
        <v>29</v>
      </c>
      <c r="C30" s="47"/>
      <c r="D30" s="47"/>
      <c r="E30" s="40">
        <v>28</v>
      </c>
      <c r="F30" s="164">
        <f t="shared" si="2"/>
        <v>0</v>
      </c>
      <c r="G30" s="135"/>
      <c r="H30" s="136"/>
      <c r="I30" s="137"/>
      <c r="J30" s="137"/>
      <c r="K30" s="137"/>
      <c r="L30" s="136"/>
      <c r="M30" s="138"/>
    </row>
    <row r="31" spans="1:13" s="37" customFormat="1" ht="12">
      <c r="A31" s="28"/>
      <c r="B31" s="47" t="s">
        <v>31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/>
    </row>
    <row r="32" spans="1:13" s="37" customFormat="1" ht="12">
      <c r="A32" s="28"/>
      <c r="B32" s="48" t="s">
        <v>33</v>
      </c>
      <c r="C32" s="49"/>
      <c r="D32" s="49"/>
      <c r="E32" s="50">
        <v>30</v>
      </c>
      <c r="F32" s="164">
        <f t="shared" si="2"/>
        <v>0</v>
      </c>
      <c r="G32" s="135"/>
      <c r="H32" s="136"/>
      <c r="I32" s="137"/>
      <c r="J32" s="137"/>
      <c r="K32" s="137"/>
      <c r="L32" s="136"/>
      <c r="M32" s="153">
        <v>2223095</v>
      </c>
    </row>
    <row r="33" spans="1:13" s="37" customFormat="1" ht="12">
      <c r="A33" s="28"/>
      <c r="B33" s="48" t="s">
        <v>35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/>
    </row>
    <row r="34" spans="1:13" s="37" customFormat="1" ht="12">
      <c r="A34" s="28"/>
      <c r="B34" s="48" t="s">
        <v>55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</row>
    <row r="35" spans="1:13" s="37" customFormat="1" ht="12">
      <c r="A35" s="28"/>
      <c r="B35" s="48" t="s">
        <v>37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/>
    </row>
    <row r="36" spans="1:13" s="37" customFormat="1" ht="12">
      <c r="A36" s="28"/>
      <c r="B36" s="48" t="s">
        <v>39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/>
    </row>
    <row r="37" spans="1:13" s="37" customFormat="1" ht="12">
      <c r="A37" s="28"/>
      <c r="B37" s="48" t="s">
        <v>57</v>
      </c>
      <c r="C37" s="48"/>
      <c r="D37" s="48"/>
      <c r="E37" s="50">
        <v>35</v>
      </c>
      <c r="F37" s="164">
        <f t="shared" si="2"/>
        <v>3051000</v>
      </c>
      <c r="G37" s="135"/>
      <c r="H37" s="109">
        <f>1032000+2019000-J37</f>
        <v>1926121.18</v>
      </c>
      <c r="I37" s="154"/>
      <c r="J37" s="154">
        <f>J22</f>
        <v>1124878.82</v>
      </c>
      <c r="K37" s="154"/>
      <c r="L37" s="155"/>
      <c r="M37" s="153">
        <v>2545538.1</v>
      </c>
    </row>
    <row r="38" spans="1:13" s="37" customFormat="1" ht="12">
      <c r="A38" s="28"/>
      <c r="B38" s="48" t="s">
        <v>58</v>
      </c>
      <c r="C38" s="48"/>
      <c r="D38" s="48"/>
      <c r="E38" s="50">
        <v>36</v>
      </c>
      <c r="F38" s="164">
        <f t="shared" si="2"/>
        <v>0</v>
      </c>
      <c r="G38" s="135"/>
      <c r="H38" s="155"/>
      <c r="I38" s="154"/>
      <c r="J38" s="154"/>
      <c r="K38" s="154"/>
      <c r="L38" s="155"/>
      <c r="M38" s="153"/>
    </row>
    <row r="39" spans="1:13" s="37" customFormat="1" ht="12">
      <c r="A39" s="28"/>
      <c r="B39" s="48" t="s">
        <v>60</v>
      </c>
      <c r="C39" s="48"/>
      <c r="D39" s="48"/>
      <c r="E39" s="50">
        <v>37</v>
      </c>
      <c r="F39" s="164">
        <f t="shared" si="2"/>
        <v>0</v>
      </c>
      <c r="G39" s="135"/>
      <c r="H39" s="155"/>
      <c r="I39" s="154"/>
      <c r="J39" s="154"/>
      <c r="K39" s="154"/>
      <c r="L39" s="155"/>
      <c r="M39" s="153"/>
    </row>
    <row r="40" spans="1:13" s="37" customFormat="1" ht="12">
      <c r="A40" s="28"/>
      <c r="B40" s="48" t="s">
        <v>61</v>
      </c>
      <c r="C40" s="48"/>
      <c r="D40" s="48"/>
      <c r="E40" s="50">
        <v>38</v>
      </c>
      <c r="F40" s="164">
        <f t="shared" si="2"/>
        <v>0</v>
      </c>
      <c r="G40" s="135"/>
      <c r="H40" s="155"/>
      <c r="I40" s="154"/>
      <c r="J40" s="154"/>
      <c r="K40" s="154"/>
      <c r="L40" s="155"/>
      <c r="M40" s="153">
        <v>10087</v>
      </c>
    </row>
    <row r="41" spans="1:13" s="37" customFormat="1" ht="12">
      <c r="A41" s="28"/>
      <c r="B41" s="48" t="s">
        <v>46</v>
      </c>
      <c r="C41" s="48"/>
      <c r="D41" s="48"/>
      <c r="E41" s="50">
        <v>39</v>
      </c>
      <c r="F41" s="164">
        <f t="shared" si="2"/>
        <v>0</v>
      </c>
      <c r="G41" s="135"/>
      <c r="H41" s="155"/>
      <c r="I41" s="154"/>
      <c r="J41" s="154"/>
      <c r="K41" s="154"/>
      <c r="L41" s="155"/>
      <c r="M41" s="153"/>
    </row>
    <row r="42" spans="1:13" s="37" customFormat="1" ht="12">
      <c r="A42" s="28"/>
      <c r="B42" s="48" t="s">
        <v>62</v>
      </c>
      <c r="C42" s="48"/>
      <c r="D42" s="48"/>
      <c r="E42" s="50">
        <v>40</v>
      </c>
      <c r="F42" s="164">
        <f t="shared" si="2"/>
        <v>0</v>
      </c>
      <c r="G42" s="135"/>
      <c r="H42" s="155"/>
      <c r="I42" s="154"/>
      <c r="J42" s="154"/>
      <c r="K42" s="154"/>
      <c r="L42" s="155"/>
      <c r="M42" s="153"/>
    </row>
    <row r="43" spans="1:13" s="37" customFormat="1" ht="12">
      <c r="A43" s="28"/>
      <c r="B43" s="48" t="s">
        <v>63</v>
      </c>
      <c r="C43" s="48"/>
      <c r="D43" s="48"/>
      <c r="E43" s="50">
        <v>41</v>
      </c>
      <c r="F43" s="164">
        <f t="shared" si="2"/>
        <v>351000</v>
      </c>
      <c r="G43" s="135"/>
      <c r="H43" s="109">
        <f>350000+1000</f>
        <v>351000</v>
      </c>
      <c r="I43" s="154"/>
      <c r="J43" s="154"/>
      <c r="K43" s="154"/>
      <c r="L43" s="155"/>
      <c r="M43" s="153">
        <v>355180.93</v>
      </c>
    </row>
    <row r="44" spans="1:13" s="37" customFormat="1" ht="12">
      <c r="A44" s="28"/>
      <c r="B44" s="48" t="s">
        <v>64</v>
      </c>
      <c r="C44" s="48"/>
      <c r="D44" s="48"/>
      <c r="E44" s="50">
        <v>42</v>
      </c>
      <c r="F44" s="164">
        <f t="shared" si="2"/>
        <v>0</v>
      </c>
      <c r="G44" s="135"/>
      <c r="H44" s="139" t="s">
        <v>99</v>
      </c>
      <c r="I44" s="154"/>
      <c r="J44" s="154"/>
      <c r="K44" s="154"/>
      <c r="L44" s="155"/>
      <c r="M44" s="153"/>
    </row>
    <row r="45" spans="1:13" s="37" customFormat="1" ht="12">
      <c r="A45" s="65"/>
      <c r="B45" s="66" t="s">
        <v>50</v>
      </c>
      <c r="C45" s="66"/>
      <c r="D45" s="66"/>
      <c r="E45" s="67">
        <v>43</v>
      </c>
      <c r="F45" s="165">
        <f t="shared" si="2"/>
        <v>0</v>
      </c>
      <c r="G45" s="141"/>
      <c r="H45" s="142"/>
      <c r="I45" s="143"/>
      <c r="J45" s="143"/>
      <c r="K45" s="143"/>
      <c r="L45" s="142"/>
      <c r="M45" s="144"/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47">
        <f>F29+F34+F38+F43+F44+F45-F4-F27</f>
        <v>40000</v>
      </c>
      <c r="G46" s="146">
        <f>G29+G34+G38+G43+G44+G45+-G4-G27</f>
        <v>0</v>
      </c>
      <c r="H46" s="146">
        <f>H29+H34+H38+H43+H45-H4-H27</f>
        <v>40000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85415.0700000003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61">
        <f>F28-F3</f>
        <v>40000</v>
      </c>
      <c r="G47" s="114">
        <f aca="true" t="shared" si="4" ref="G47:M47">G28-G3</f>
        <v>0</v>
      </c>
      <c r="H47" s="115">
        <f t="shared" si="4"/>
        <v>40000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85415.0700000003</v>
      </c>
    </row>
    <row r="48" spans="1:5" ht="12.75">
      <c r="A48" s="80"/>
      <c r="B48" s="80"/>
      <c r="C48" s="80"/>
      <c r="D48" s="80"/>
      <c r="E48" s="81"/>
    </row>
    <row r="49" spans="5:13" s="80" customFormat="1" ht="12"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>
      <c r="A50" s="84" t="s">
        <v>100</v>
      </c>
      <c r="E50" s="81"/>
      <c r="F50" s="167"/>
      <c r="H50" s="92"/>
      <c r="J50" s="156"/>
      <c r="L50" s="92"/>
      <c r="M50" s="92"/>
    </row>
    <row r="51" spans="5:13" s="84" customFormat="1" ht="12">
      <c r="E51" s="86"/>
      <c r="F51" s="168"/>
      <c r="H51" s="108"/>
      <c r="I51" s="108"/>
      <c r="J51" s="108"/>
      <c r="K51" s="108"/>
      <c r="L51" s="108"/>
      <c r="M51" s="108"/>
    </row>
    <row r="52" spans="5:13" s="84" customFormat="1" ht="12">
      <c r="E52" s="86"/>
      <c r="F52" s="168"/>
      <c r="H52" s="108"/>
      <c r="I52" s="108"/>
      <c r="J52" s="108"/>
      <c r="K52" s="108"/>
      <c r="L52" s="108"/>
      <c r="M52" s="108"/>
    </row>
    <row r="53" spans="5:13" s="84" customFormat="1" ht="12">
      <c r="E53" s="86"/>
      <c r="F53" s="168"/>
      <c r="H53" s="108"/>
      <c r="I53" s="108"/>
      <c r="J53" s="108"/>
      <c r="K53" s="108"/>
      <c r="L53" s="108"/>
      <c r="M53" s="108"/>
    </row>
    <row r="54" spans="1:13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</row>
    <row r="55" spans="1:6" s="92" customFormat="1" ht="12">
      <c r="A55" s="84"/>
      <c r="B55" s="84"/>
      <c r="C55" s="84"/>
      <c r="D55" s="84"/>
      <c r="E55" s="90"/>
      <c r="F55" s="37"/>
    </row>
    <row r="56" spans="1:6" s="92" customFormat="1" ht="12">
      <c r="A56" s="84"/>
      <c r="B56" s="84"/>
      <c r="C56" s="84"/>
      <c r="D56" s="84"/>
      <c r="E56" s="90"/>
      <c r="F56" s="37"/>
    </row>
    <row r="57" spans="1:6" s="92" customFormat="1" ht="12">
      <c r="A57" s="84"/>
      <c r="B57" s="84"/>
      <c r="C57" s="84"/>
      <c r="D57" s="84"/>
      <c r="E57" s="90"/>
      <c r="F57" s="37"/>
    </row>
  </sheetData>
  <mergeCells count="3">
    <mergeCell ref="A1:D1"/>
    <mergeCell ref="I1:L1"/>
    <mergeCell ref="C2:D2"/>
  </mergeCells>
  <printOptions horizontalCentered="1" verticalCentered="1"/>
  <pageMargins left="0.5905511811023623" right="0.2755905511811024" top="0.4724409448818898" bottom="0.35433070866141736" header="0.1968503937007874" footer="0.2755905511811024"/>
  <pageSetup horizontalDpi="600" verticalDpi="600" orientation="landscape" paperSize="9" scale="90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9" sqref="A9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00390625" style="37" customWidth="1"/>
    <col min="7" max="7" width="5.125" style="0" hidden="1" customWidth="1"/>
    <col min="8" max="8" width="10.25390625" style="92" customWidth="1"/>
    <col min="9" max="11" width="8.00390625" style="92" customWidth="1"/>
    <col min="12" max="12" width="8.125" style="92" customWidth="1"/>
    <col min="13" max="13" width="9.62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97</v>
      </c>
      <c r="D2" s="432"/>
      <c r="E2" s="10" t="s">
        <v>6</v>
      </c>
      <c r="F2" s="16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>SUM(F5:F27)</f>
        <v>62535273</v>
      </c>
      <c r="G3" s="114">
        <f aca="true" t="shared" si="0" ref="G3:M3">SUM(G5:G27)</f>
        <v>0</v>
      </c>
      <c r="H3" s="115">
        <f t="shared" si="0"/>
        <v>55148137</v>
      </c>
      <c r="I3" s="116">
        <f t="shared" si="0"/>
        <v>70273</v>
      </c>
      <c r="J3" s="116">
        <f t="shared" si="0"/>
        <v>7316863</v>
      </c>
      <c r="K3" s="116">
        <f t="shared" si="0"/>
        <v>0</v>
      </c>
      <c r="L3" s="115">
        <f t="shared" si="0"/>
        <v>0</v>
      </c>
      <c r="M3" s="117">
        <f t="shared" si="0"/>
        <v>59034047.25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>SUM(F5:F15)</f>
        <v>12935273</v>
      </c>
      <c r="G4" s="119">
        <f aca="true" t="shared" si="1" ref="G4:M4">SUM(G5:G15)</f>
        <v>0</v>
      </c>
      <c r="H4" s="171">
        <f t="shared" si="1"/>
        <v>12837540</v>
      </c>
      <c r="I4" s="171">
        <f t="shared" si="1"/>
        <v>70273</v>
      </c>
      <c r="J4" s="121">
        <f t="shared" si="1"/>
        <v>27460</v>
      </c>
      <c r="K4" s="121">
        <f t="shared" si="1"/>
        <v>0</v>
      </c>
      <c r="L4" s="120">
        <f t="shared" si="1"/>
        <v>0</v>
      </c>
      <c r="M4" s="122">
        <f t="shared" si="1"/>
        <v>11791684.75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63">
        <f>SUM(H5:L5)</f>
        <v>4122000</v>
      </c>
      <c r="G5" s="124"/>
      <c r="H5" s="172">
        <v>4122000</v>
      </c>
      <c r="I5" s="131"/>
      <c r="J5" s="132"/>
      <c r="K5" s="132"/>
      <c r="L5" s="133"/>
      <c r="M5" s="134">
        <v>3812708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63">
        <f aca="true" t="shared" si="2" ref="F6:F45">SUM(H6:L6)</f>
        <v>570000</v>
      </c>
      <c r="G6" s="124"/>
      <c r="H6" s="172">
        <v>570000</v>
      </c>
      <c r="I6" s="131"/>
      <c r="J6" s="132"/>
      <c r="K6" s="132"/>
      <c r="L6" s="133"/>
      <c r="M6" s="134">
        <v>371282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63">
        <f t="shared" si="2"/>
        <v>1495000</v>
      </c>
      <c r="G7" s="124"/>
      <c r="H7" s="172">
        <v>1495000</v>
      </c>
      <c r="I7" s="131"/>
      <c r="J7" s="132"/>
      <c r="K7" s="132"/>
      <c r="L7" s="133"/>
      <c r="M7" s="134">
        <v>1380052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63">
        <f t="shared" si="2"/>
        <v>90000</v>
      </c>
      <c r="G8" s="124"/>
      <c r="H8" s="172">
        <v>90000</v>
      </c>
      <c r="I8" s="131"/>
      <c r="J8" s="132"/>
      <c r="K8" s="132"/>
      <c r="L8" s="133"/>
      <c r="M8" s="134">
        <v>85595.52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63">
        <f t="shared" si="2"/>
        <v>20000</v>
      </c>
      <c r="G9" s="124"/>
      <c r="H9" s="172">
        <v>20000</v>
      </c>
      <c r="I9" s="131"/>
      <c r="J9" s="132"/>
      <c r="K9" s="132"/>
      <c r="L9" s="133"/>
      <c r="M9" s="134">
        <v>6290.6</v>
      </c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63">
        <f t="shared" si="2"/>
        <v>897000</v>
      </c>
      <c r="G10" s="124"/>
      <c r="H10" s="172">
        <v>897000</v>
      </c>
      <c r="I10" s="131"/>
      <c r="J10" s="132"/>
      <c r="K10" s="132"/>
      <c r="L10" s="133"/>
      <c r="M10" s="134">
        <v>814990.22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63">
        <f t="shared" si="2"/>
        <v>1502000</v>
      </c>
      <c r="G11" s="124"/>
      <c r="H11" s="172">
        <v>1502000</v>
      </c>
      <c r="I11" s="131"/>
      <c r="J11" s="132"/>
      <c r="K11" s="132"/>
      <c r="L11" s="133"/>
      <c r="M11" s="134">
        <v>1369230.32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63">
        <f t="shared" si="2"/>
        <v>770000</v>
      </c>
      <c r="G12" s="124"/>
      <c r="H12" s="172">
        <v>770000</v>
      </c>
      <c r="I12" s="131"/>
      <c r="J12" s="132"/>
      <c r="K12" s="132"/>
      <c r="L12" s="133"/>
      <c r="M12" s="134">
        <v>680044.46</v>
      </c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63">
        <f t="shared" si="2"/>
        <v>81000</v>
      </c>
      <c r="G13" s="124"/>
      <c r="H13" s="172">
        <v>81000</v>
      </c>
      <c r="I13" s="131"/>
      <c r="J13" s="132"/>
      <c r="K13" s="132"/>
      <c r="L13" s="133"/>
      <c r="M13" s="134">
        <v>80543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63">
        <f t="shared" si="2"/>
        <v>1380000</v>
      </c>
      <c r="G14" s="124"/>
      <c r="H14" s="131">
        <v>1352540</v>
      </c>
      <c r="I14" s="131"/>
      <c r="J14" s="131">
        <v>27460</v>
      </c>
      <c r="K14" s="132"/>
      <c r="L14" s="133"/>
      <c r="M14" s="134">
        <v>1165511</v>
      </c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70">
        <f t="shared" si="2"/>
        <v>2008273</v>
      </c>
      <c r="G15" s="124"/>
      <c r="H15" s="131">
        <v>1938000</v>
      </c>
      <c r="I15" s="131">
        <v>70273</v>
      </c>
      <c r="J15" s="132"/>
      <c r="K15" s="132"/>
      <c r="L15" s="133"/>
      <c r="M15" s="134">
        <v>2025437.63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0</v>
      </c>
      <c r="G16" s="130"/>
      <c r="H16" s="131"/>
      <c r="I16" s="131"/>
      <c r="J16" s="132"/>
      <c r="K16" s="132"/>
      <c r="L16" s="133"/>
      <c r="M16" s="134"/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26000000</v>
      </c>
      <c r="G17" s="130"/>
      <c r="H17" s="131">
        <v>25319000</v>
      </c>
      <c r="I17" s="131"/>
      <c r="J17" s="131">
        <v>681000</v>
      </c>
      <c r="K17" s="132"/>
      <c r="L17" s="133"/>
      <c r="M17" s="134">
        <v>25126891.76</v>
      </c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5600000</v>
      </c>
      <c r="G18" s="130"/>
      <c r="H18" s="131">
        <v>5600000</v>
      </c>
      <c r="I18" s="131"/>
      <c r="J18" s="132"/>
      <c r="K18" s="132"/>
      <c r="L18" s="133"/>
      <c r="M18" s="134">
        <v>4800000</v>
      </c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/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2"/>
        <v>18000000</v>
      </c>
      <c r="G22" s="130"/>
      <c r="H22" s="133">
        <v>11391597</v>
      </c>
      <c r="I22" s="132"/>
      <c r="J22" s="132">
        <v>6608403</v>
      </c>
      <c r="K22" s="132"/>
      <c r="L22" s="133"/>
      <c r="M22" s="158">
        <v>17315470.74</v>
      </c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/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2"/>
        <v>0</v>
      </c>
      <c r="G24" s="130"/>
      <c r="H24" s="133"/>
      <c r="I24" s="132"/>
      <c r="J24" s="132"/>
      <c r="K24" s="132"/>
      <c r="L24" s="133"/>
      <c r="M24" s="134"/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/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0</v>
      </c>
      <c r="G27" s="130"/>
      <c r="H27" s="133"/>
      <c r="I27" s="132"/>
      <c r="J27" s="132"/>
      <c r="K27" s="132"/>
      <c r="L27" s="133"/>
      <c r="M27" s="134"/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>SUM(F29:F45)</f>
        <v>63400273</v>
      </c>
      <c r="G28" s="114">
        <f aca="true" t="shared" si="3" ref="G28:M28">SUM(G29:G45)</f>
        <v>0</v>
      </c>
      <c r="H28" s="115">
        <f t="shared" si="3"/>
        <v>56013137</v>
      </c>
      <c r="I28" s="116">
        <f t="shared" si="3"/>
        <v>70273</v>
      </c>
      <c r="J28" s="116">
        <f t="shared" si="3"/>
        <v>7316863</v>
      </c>
      <c r="K28" s="116">
        <f t="shared" si="3"/>
        <v>0</v>
      </c>
      <c r="L28" s="115">
        <f t="shared" si="3"/>
        <v>0</v>
      </c>
      <c r="M28" s="117">
        <f t="shared" si="3"/>
        <v>59525227.2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40">
        <v>27</v>
      </c>
      <c r="F29" s="164">
        <f t="shared" si="2"/>
        <v>7890273</v>
      </c>
      <c r="G29" s="119"/>
      <c r="H29" s="120">
        <v>7820000</v>
      </c>
      <c r="I29" s="121">
        <v>70273</v>
      </c>
      <c r="J29" s="121"/>
      <c r="K29" s="121"/>
      <c r="L29" s="120"/>
      <c r="M29" s="122">
        <v>7524000</v>
      </c>
    </row>
    <row r="30" spans="1:13" s="37" customFormat="1" ht="12">
      <c r="A30" s="28"/>
      <c r="B30" s="47" t="s">
        <v>29</v>
      </c>
      <c r="C30" s="47"/>
      <c r="D30" s="47"/>
      <c r="E30" s="40">
        <v>28</v>
      </c>
      <c r="F30" s="164">
        <f t="shared" si="2"/>
        <v>0</v>
      </c>
      <c r="G30" s="135"/>
      <c r="H30" s="136"/>
      <c r="I30" s="137"/>
      <c r="J30" s="137"/>
      <c r="K30" s="137"/>
      <c r="L30" s="136"/>
      <c r="M30" s="138"/>
    </row>
    <row r="31" spans="1:13" s="37" customFormat="1" ht="12">
      <c r="A31" s="28"/>
      <c r="B31" s="47" t="s">
        <v>31</v>
      </c>
      <c r="C31" s="47"/>
      <c r="D31" s="47"/>
      <c r="E31" s="40">
        <v>29</v>
      </c>
      <c r="F31" s="164">
        <f t="shared" si="2"/>
        <v>26000000</v>
      </c>
      <c r="G31" s="135"/>
      <c r="H31" s="136">
        <v>25319000</v>
      </c>
      <c r="I31" s="137"/>
      <c r="J31" s="137">
        <v>681000</v>
      </c>
      <c r="K31" s="137"/>
      <c r="L31" s="136"/>
      <c r="M31" s="138">
        <v>25126890.76</v>
      </c>
    </row>
    <row r="32" spans="1:13" s="37" customFormat="1" ht="12">
      <c r="A32" s="28"/>
      <c r="B32" s="48" t="s">
        <v>33</v>
      </c>
      <c r="C32" s="49"/>
      <c r="D32" s="49"/>
      <c r="E32" s="50">
        <v>30</v>
      </c>
      <c r="F32" s="164">
        <f t="shared" si="2"/>
        <v>5600000</v>
      </c>
      <c r="G32" s="135"/>
      <c r="H32" s="136">
        <v>5600000</v>
      </c>
      <c r="I32" s="137"/>
      <c r="J32" s="137"/>
      <c r="K32" s="137"/>
      <c r="L32" s="136"/>
      <c r="M32" s="138">
        <v>4800000</v>
      </c>
    </row>
    <row r="33" spans="1:13" s="37" customFormat="1" ht="12">
      <c r="A33" s="28"/>
      <c r="B33" s="48" t="s">
        <v>35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/>
    </row>
    <row r="34" spans="1:13" s="37" customFormat="1" ht="12">
      <c r="A34" s="28"/>
      <c r="B34" s="48" t="s">
        <v>55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</row>
    <row r="35" spans="1:13" s="37" customFormat="1" ht="12">
      <c r="A35" s="28"/>
      <c r="B35" s="48" t="s">
        <v>37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/>
    </row>
    <row r="36" spans="1:13" s="37" customFormat="1" ht="12">
      <c r="A36" s="28"/>
      <c r="B36" s="48" t="s">
        <v>39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07"/>
    </row>
    <row r="37" spans="1:13" s="37" customFormat="1" ht="12">
      <c r="A37" s="28"/>
      <c r="B37" s="48" t="s">
        <v>57</v>
      </c>
      <c r="C37" s="48"/>
      <c r="D37" s="48"/>
      <c r="E37" s="50">
        <v>35</v>
      </c>
      <c r="F37" s="164">
        <f t="shared" si="2"/>
        <v>18000000</v>
      </c>
      <c r="G37" s="135"/>
      <c r="H37" s="136">
        <v>11391597</v>
      </c>
      <c r="I37" s="137"/>
      <c r="J37" s="132">
        <v>6608403</v>
      </c>
      <c r="K37" s="137"/>
      <c r="L37" s="136"/>
      <c r="M37" s="138">
        <v>17315470.74</v>
      </c>
    </row>
    <row r="38" spans="1:13" s="37" customFormat="1" ht="12">
      <c r="A38" s="28"/>
      <c r="B38" s="48" t="s">
        <v>58</v>
      </c>
      <c r="C38" s="48"/>
      <c r="D38" s="48"/>
      <c r="E38" s="50">
        <v>36</v>
      </c>
      <c r="F38" s="164">
        <f t="shared" si="2"/>
        <v>0</v>
      </c>
      <c r="G38" s="135"/>
      <c r="H38" s="136"/>
      <c r="I38" s="137"/>
      <c r="J38" s="137"/>
      <c r="K38" s="137"/>
      <c r="L38" s="136"/>
      <c r="M38" s="138"/>
    </row>
    <row r="39" spans="1:13" s="37" customFormat="1" ht="12">
      <c r="A39" s="28"/>
      <c r="B39" s="48" t="s">
        <v>60</v>
      </c>
      <c r="C39" s="48"/>
      <c r="D39" s="48"/>
      <c r="E39" s="50">
        <v>37</v>
      </c>
      <c r="F39" s="164">
        <f t="shared" si="2"/>
        <v>0</v>
      </c>
      <c r="G39" s="135"/>
      <c r="H39" s="136"/>
      <c r="I39" s="137"/>
      <c r="J39" s="137"/>
      <c r="K39" s="137"/>
      <c r="L39" s="136"/>
      <c r="M39" s="138"/>
    </row>
    <row r="40" spans="1:13" s="37" customFormat="1" ht="12">
      <c r="A40" s="28"/>
      <c r="B40" s="48" t="s">
        <v>61</v>
      </c>
      <c r="C40" s="48"/>
      <c r="D40" s="48"/>
      <c r="E40" s="50">
        <v>38</v>
      </c>
      <c r="F40" s="164">
        <f t="shared" si="2"/>
        <v>0</v>
      </c>
      <c r="G40" s="135"/>
      <c r="H40" s="136"/>
      <c r="I40" s="137"/>
      <c r="J40" s="137"/>
      <c r="K40" s="137"/>
      <c r="L40" s="136"/>
      <c r="M40" s="138"/>
    </row>
    <row r="41" spans="1:13" s="37" customFormat="1" ht="12">
      <c r="A41" s="28"/>
      <c r="B41" s="48" t="s">
        <v>46</v>
      </c>
      <c r="C41" s="48"/>
      <c r="D41" s="48"/>
      <c r="E41" s="50">
        <v>39</v>
      </c>
      <c r="F41" s="164">
        <f t="shared" si="2"/>
        <v>0</v>
      </c>
      <c r="G41" s="135"/>
      <c r="H41" s="136"/>
      <c r="I41" s="137"/>
      <c r="J41" s="137"/>
      <c r="K41" s="137"/>
      <c r="L41" s="136"/>
      <c r="M41" s="138"/>
    </row>
    <row r="42" spans="1:13" s="37" customFormat="1" ht="12">
      <c r="A42" s="28"/>
      <c r="B42" s="48" t="s">
        <v>62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/>
    </row>
    <row r="43" spans="1:13" s="37" customFormat="1" ht="12">
      <c r="A43" s="28"/>
      <c r="B43" s="48" t="s">
        <v>63</v>
      </c>
      <c r="C43" s="48"/>
      <c r="D43" s="48"/>
      <c r="E43" s="50">
        <v>41</v>
      </c>
      <c r="F43" s="169">
        <f t="shared" si="2"/>
        <v>5910000</v>
      </c>
      <c r="G43" s="135"/>
      <c r="H43" s="136">
        <v>5882540</v>
      </c>
      <c r="I43" s="137"/>
      <c r="J43" s="131">
        <v>27460</v>
      </c>
      <c r="K43" s="137"/>
      <c r="L43" s="136"/>
      <c r="M43" s="138">
        <v>4758865.7</v>
      </c>
    </row>
    <row r="44" spans="1:13" s="37" customFormat="1" ht="12">
      <c r="A44" s="28"/>
      <c r="B44" s="48" t="s">
        <v>64</v>
      </c>
      <c r="C44" s="48"/>
      <c r="D44" s="48"/>
      <c r="E44" s="50">
        <v>42</v>
      </c>
      <c r="F44" s="164">
        <f t="shared" si="2"/>
        <v>0</v>
      </c>
      <c r="G44" s="135"/>
      <c r="H44" s="139" t="s">
        <v>99</v>
      </c>
      <c r="I44" s="137"/>
      <c r="J44" s="137"/>
      <c r="K44" s="137"/>
      <c r="L44" s="136"/>
      <c r="M44" s="138"/>
    </row>
    <row r="45" spans="1:13" s="37" customFormat="1" ht="12">
      <c r="A45" s="65"/>
      <c r="B45" s="66" t="s">
        <v>50</v>
      </c>
      <c r="C45" s="66"/>
      <c r="D45" s="66"/>
      <c r="E45" s="67">
        <v>43</v>
      </c>
      <c r="F45" s="165">
        <f t="shared" si="2"/>
        <v>0</v>
      </c>
      <c r="G45" s="141"/>
      <c r="H45" s="142"/>
      <c r="I45" s="143"/>
      <c r="J45" s="143"/>
      <c r="K45" s="143"/>
      <c r="L45" s="142"/>
      <c r="M45" s="144"/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47">
        <f>F29+F34+F38+F43+F44+F45-F4-F27</f>
        <v>865000</v>
      </c>
      <c r="G46" s="146">
        <f>G29+G34+G38+G43+G44+G45+-G4-G27</f>
        <v>0</v>
      </c>
      <c r="H46" s="146">
        <f>H29+H34+H38+H43+H45-H4-H27</f>
        <v>865000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491180.94999999925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61">
        <f>F28-F3</f>
        <v>865000</v>
      </c>
      <c r="G47" s="114">
        <f aca="true" t="shared" si="4" ref="G47:M47">G28-G3</f>
        <v>0</v>
      </c>
      <c r="H47" s="115">
        <f t="shared" si="4"/>
        <v>865000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491179.950000003</v>
      </c>
    </row>
    <row r="48" spans="1:5" ht="12.75">
      <c r="A48" s="80"/>
      <c r="B48" s="80"/>
      <c r="C48" s="80"/>
      <c r="D48" s="80"/>
      <c r="E48" s="81"/>
    </row>
    <row r="49" spans="5:13" s="80" customFormat="1" ht="12"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>
      <c r="A50" s="84" t="s">
        <v>100</v>
      </c>
      <c r="E50" s="81"/>
      <c r="F50" s="167"/>
      <c r="H50" s="92"/>
      <c r="J50" s="156"/>
      <c r="L50" s="92"/>
      <c r="M50" s="92"/>
    </row>
    <row r="51" spans="5:13" s="84" customFormat="1" ht="12">
      <c r="E51" s="86"/>
      <c r="F51" s="168"/>
      <c r="H51" s="108"/>
      <c r="I51" s="108"/>
      <c r="J51" s="108"/>
      <c r="K51" s="108"/>
      <c r="L51" s="108"/>
      <c r="M51" s="108"/>
    </row>
    <row r="52" spans="5:13" s="84" customFormat="1" ht="12">
      <c r="E52" s="86"/>
      <c r="F52" s="168"/>
      <c r="H52" s="108"/>
      <c r="I52" s="108"/>
      <c r="J52" s="108"/>
      <c r="K52" s="108"/>
      <c r="L52" s="108"/>
      <c r="M52" s="108"/>
    </row>
    <row r="53" spans="5:13" s="84" customFormat="1" ht="12">
      <c r="E53" s="86"/>
      <c r="F53" s="168"/>
      <c r="H53" s="108"/>
      <c r="I53" s="108"/>
      <c r="J53" s="108"/>
      <c r="K53" s="108"/>
      <c r="L53" s="108"/>
      <c r="M53" s="108"/>
    </row>
    <row r="54" spans="1:13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</row>
    <row r="55" spans="1:6" s="92" customFormat="1" ht="12">
      <c r="A55" s="84"/>
      <c r="B55" s="84"/>
      <c r="C55" s="84"/>
      <c r="D55" s="84"/>
      <c r="E55" s="90"/>
      <c r="F55" s="37"/>
    </row>
    <row r="56" spans="1:6" s="92" customFormat="1" ht="12">
      <c r="A56" s="84"/>
      <c r="B56" s="84"/>
      <c r="C56" s="84"/>
      <c r="D56" s="84"/>
      <c r="E56" s="90"/>
      <c r="F56" s="37"/>
    </row>
    <row r="57" spans="1:6" s="92" customFormat="1" ht="12">
      <c r="A57" s="84"/>
      <c r="B57" s="84"/>
      <c r="C57" s="84"/>
      <c r="D57" s="84"/>
      <c r="E57" s="90"/>
      <c r="F57" s="37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5">
      <selection activeCell="I34" sqref="I3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625" style="37" customWidth="1"/>
    <col min="7" max="7" width="5.125" style="0" hidden="1" customWidth="1"/>
    <col min="8" max="8" width="10.625" style="92" customWidth="1"/>
    <col min="9" max="9" width="9.125" style="92" customWidth="1"/>
    <col min="10" max="11" width="8.00390625" style="92" customWidth="1"/>
    <col min="12" max="12" width="8.125" style="92" customWidth="1"/>
    <col min="13" max="13" width="9.62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98</v>
      </c>
      <c r="D2" s="432"/>
      <c r="E2" s="10" t="s">
        <v>6</v>
      </c>
      <c r="F2" s="16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>SUM(F5:F27)</f>
        <v>441963737</v>
      </c>
      <c r="G3" s="114">
        <f aca="true" t="shared" si="0" ref="G3:M3">SUM(G5:G27)</f>
        <v>0</v>
      </c>
      <c r="H3" s="115">
        <f t="shared" si="0"/>
        <v>375190646</v>
      </c>
      <c r="I3" s="116">
        <f t="shared" si="0"/>
        <v>61273091</v>
      </c>
      <c r="J3" s="116">
        <f t="shared" si="0"/>
        <v>0</v>
      </c>
      <c r="K3" s="116">
        <f t="shared" si="0"/>
        <v>5500000</v>
      </c>
      <c r="L3" s="115">
        <f t="shared" si="0"/>
        <v>0</v>
      </c>
      <c r="M3" s="117">
        <f t="shared" si="0"/>
        <v>342606268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>SUM(F5:F15)</f>
        <v>397026291</v>
      </c>
      <c r="G4" s="119">
        <f aca="true" t="shared" si="1" ref="G4:M4">SUM(G5:G15)</f>
        <v>0</v>
      </c>
      <c r="H4" s="120">
        <f t="shared" si="1"/>
        <v>330253200</v>
      </c>
      <c r="I4" s="121">
        <f t="shared" si="1"/>
        <v>61273091</v>
      </c>
      <c r="J4" s="121">
        <f t="shared" si="1"/>
        <v>0</v>
      </c>
      <c r="K4" s="121">
        <f t="shared" si="1"/>
        <v>5500000</v>
      </c>
      <c r="L4" s="120">
        <f t="shared" si="1"/>
        <v>0</v>
      </c>
      <c r="M4" s="122">
        <f t="shared" si="1"/>
        <v>322553921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63">
        <f>SUM(H5:L5)</f>
        <v>54908506</v>
      </c>
      <c r="G5" s="124"/>
      <c r="H5" s="125">
        <v>49375936</v>
      </c>
      <c r="I5" s="125">
        <v>1458496</v>
      </c>
      <c r="J5" s="126"/>
      <c r="K5" s="126">
        <v>4074074</v>
      </c>
      <c r="L5" s="127"/>
      <c r="M5" s="128">
        <v>56725278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63">
        <f aca="true" t="shared" si="2" ref="F6:F45">SUM(H6:L6)</f>
        <v>1600000</v>
      </c>
      <c r="G6" s="124"/>
      <c r="H6" s="125">
        <v>1600000</v>
      </c>
      <c r="I6" s="125"/>
      <c r="J6" s="126"/>
      <c r="K6" s="126"/>
      <c r="L6" s="127"/>
      <c r="M6" s="128">
        <v>2294996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63">
        <f t="shared" si="2"/>
        <v>20945881</v>
      </c>
      <c r="G7" s="124"/>
      <c r="H7" s="125">
        <v>19009481</v>
      </c>
      <c r="I7" s="125">
        <v>510474</v>
      </c>
      <c r="J7" s="126"/>
      <c r="K7" s="126">
        <v>1425926</v>
      </c>
      <c r="L7" s="127"/>
      <c r="M7" s="128">
        <v>20787045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63">
        <f t="shared" si="2"/>
        <v>2270000</v>
      </c>
      <c r="G8" s="124"/>
      <c r="H8" s="125">
        <v>2270000</v>
      </c>
      <c r="I8" s="125"/>
      <c r="J8" s="126"/>
      <c r="K8" s="126"/>
      <c r="L8" s="127"/>
      <c r="M8" s="128">
        <v>3525214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63">
        <f t="shared" si="2"/>
        <v>19145520</v>
      </c>
      <c r="G9" s="124"/>
      <c r="H9" s="125">
        <v>19145520</v>
      </c>
      <c r="I9" s="125"/>
      <c r="J9" s="126"/>
      <c r="K9" s="126"/>
      <c r="L9" s="127"/>
      <c r="M9" s="128">
        <v>14562362</v>
      </c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63">
        <f t="shared" si="2"/>
        <v>87245828</v>
      </c>
      <c r="G10" s="124"/>
      <c r="H10" s="125">
        <v>27958047</v>
      </c>
      <c r="I10" s="125">
        <v>59287781</v>
      </c>
      <c r="J10" s="126"/>
      <c r="K10" s="126"/>
      <c r="L10" s="127"/>
      <c r="M10" s="128">
        <v>10586591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63">
        <f t="shared" si="2"/>
        <v>57612213</v>
      </c>
      <c r="G11" s="124"/>
      <c r="H11" s="125">
        <v>57612213</v>
      </c>
      <c r="I11" s="125"/>
      <c r="J11" s="126"/>
      <c r="K11" s="126"/>
      <c r="L11" s="127"/>
      <c r="M11" s="128">
        <v>28402609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63">
        <f t="shared" si="2"/>
        <v>1691128</v>
      </c>
      <c r="G12" s="124"/>
      <c r="H12" s="125">
        <v>1691128</v>
      </c>
      <c r="I12" s="125"/>
      <c r="J12" s="126"/>
      <c r="K12" s="126"/>
      <c r="L12" s="127"/>
      <c r="M12" s="128">
        <v>1910481</v>
      </c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63">
        <f t="shared" si="2"/>
        <v>4126000</v>
      </c>
      <c r="G13" s="124"/>
      <c r="H13" s="125">
        <v>4126000</v>
      </c>
      <c r="I13" s="125"/>
      <c r="J13" s="126"/>
      <c r="K13" s="126"/>
      <c r="L13" s="127"/>
      <c r="M13" s="128">
        <v>3895956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63">
        <f t="shared" si="2"/>
        <v>109217340</v>
      </c>
      <c r="G14" s="124"/>
      <c r="H14" s="125">
        <f>2075000+H34</f>
        <v>109201000</v>
      </c>
      <c r="I14" s="125">
        <v>16340</v>
      </c>
      <c r="J14" s="126"/>
      <c r="K14" s="126"/>
      <c r="L14" s="127"/>
      <c r="M14" s="128">
        <v>1214423</v>
      </c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63">
        <f t="shared" si="2"/>
        <v>38263875</v>
      </c>
      <c r="G15" s="124"/>
      <c r="H15" s="125">
        <v>38263875</v>
      </c>
      <c r="I15" s="125"/>
      <c r="J15" s="126"/>
      <c r="K15" s="126"/>
      <c r="L15" s="127"/>
      <c r="M15" s="128">
        <v>178648966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0</v>
      </c>
      <c r="G16" s="130"/>
      <c r="H16" s="131"/>
      <c r="I16" s="131"/>
      <c r="J16" s="132"/>
      <c r="K16" s="132"/>
      <c r="L16" s="133"/>
      <c r="M16" s="134"/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0</v>
      </c>
      <c r="G17" s="130"/>
      <c r="H17" s="131"/>
      <c r="I17" s="131"/>
      <c r="J17" s="132"/>
      <c r="K17" s="132"/>
      <c r="L17" s="133"/>
      <c r="M17" s="134"/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31890000</v>
      </c>
      <c r="G18" s="130"/>
      <c r="H18" s="131">
        <v>31890000</v>
      </c>
      <c r="I18" s="131"/>
      <c r="J18" s="132"/>
      <c r="K18" s="132"/>
      <c r="L18" s="133"/>
      <c r="M18" s="134">
        <v>10613469</v>
      </c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1000000</v>
      </c>
      <c r="G20" s="130"/>
      <c r="H20" s="131">
        <v>1000000</v>
      </c>
      <c r="I20" s="131"/>
      <c r="J20" s="132"/>
      <c r="K20" s="132"/>
      <c r="L20" s="133"/>
      <c r="M20" s="134">
        <v>4523549</v>
      </c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2"/>
        <v>10794546</v>
      </c>
      <c r="G21" s="130"/>
      <c r="H21" s="131">
        <v>10794546</v>
      </c>
      <c r="I21" s="131"/>
      <c r="J21" s="132"/>
      <c r="K21" s="132"/>
      <c r="L21" s="133"/>
      <c r="M21" s="134">
        <v>3297254</v>
      </c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2"/>
        <v>0</v>
      </c>
      <c r="G22" s="130"/>
      <c r="H22" s="133"/>
      <c r="I22" s="132"/>
      <c r="J22" s="132"/>
      <c r="K22" s="132"/>
      <c r="L22" s="133"/>
      <c r="M22" s="134"/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2"/>
        <v>0</v>
      </c>
      <c r="G23" s="130"/>
      <c r="H23" s="133"/>
      <c r="I23" s="132"/>
      <c r="J23" s="132"/>
      <c r="K23" s="132"/>
      <c r="L23" s="133"/>
      <c r="M23" s="134"/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2"/>
        <v>0</v>
      </c>
      <c r="G24" s="130"/>
      <c r="H24" s="133"/>
      <c r="I24" s="132"/>
      <c r="J24" s="132"/>
      <c r="K24" s="132"/>
      <c r="L24" s="133"/>
      <c r="M24" s="134">
        <v>100000</v>
      </c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/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/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1252900</v>
      </c>
      <c r="G27" s="130"/>
      <c r="H27" s="133">
        <v>1252900</v>
      </c>
      <c r="I27" s="132"/>
      <c r="J27" s="132"/>
      <c r="K27" s="132"/>
      <c r="L27" s="133"/>
      <c r="M27" s="134">
        <v>1518075</v>
      </c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>SUM(F29:F45)</f>
        <v>451068137</v>
      </c>
      <c r="G28" s="114">
        <f aca="true" t="shared" si="3" ref="G28:M28">SUM(G29:G45)</f>
        <v>0</v>
      </c>
      <c r="H28" s="115">
        <f t="shared" si="3"/>
        <v>384295046</v>
      </c>
      <c r="I28" s="116">
        <f t="shared" si="3"/>
        <v>61273091</v>
      </c>
      <c r="J28" s="116">
        <f t="shared" si="3"/>
        <v>0</v>
      </c>
      <c r="K28" s="116">
        <f t="shared" si="3"/>
        <v>5500000</v>
      </c>
      <c r="L28" s="115">
        <f t="shared" si="3"/>
        <v>0</v>
      </c>
      <c r="M28" s="117">
        <f t="shared" si="3"/>
        <v>360836698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40">
        <v>27</v>
      </c>
      <c r="F29" s="164">
        <f t="shared" si="2"/>
        <v>205042000</v>
      </c>
      <c r="G29" s="119"/>
      <c r="H29" s="120">
        <v>205042000</v>
      </c>
      <c r="I29" s="121"/>
      <c r="J29" s="121"/>
      <c r="K29" s="121"/>
      <c r="L29" s="120"/>
      <c r="M29" s="122">
        <v>196978665</v>
      </c>
    </row>
    <row r="30" spans="1:13" s="37" customFormat="1" ht="12">
      <c r="A30" s="28"/>
      <c r="B30" s="47" t="s">
        <v>29</v>
      </c>
      <c r="C30" s="47"/>
      <c r="D30" s="47"/>
      <c r="E30" s="40">
        <v>28</v>
      </c>
      <c r="F30" s="164">
        <f t="shared" si="2"/>
        <v>0</v>
      </c>
      <c r="G30" s="135"/>
      <c r="H30" s="136"/>
      <c r="I30" s="137"/>
      <c r="J30" s="137"/>
      <c r="K30" s="137"/>
      <c r="L30" s="136"/>
      <c r="M30" s="138"/>
    </row>
    <row r="31" spans="1:13" s="37" customFormat="1" ht="12">
      <c r="A31" s="28"/>
      <c r="B31" s="47" t="s">
        <v>31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/>
    </row>
    <row r="32" spans="1:13" s="37" customFormat="1" ht="12">
      <c r="A32" s="28"/>
      <c r="B32" s="48" t="s">
        <v>33</v>
      </c>
      <c r="C32" s="49"/>
      <c r="D32" s="49"/>
      <c r="E32" s="50">
        <v>30</v>
      </c>
      <c r="F32" s="164">
        <f t="shared" si="2"/>
        <v>31890000</v>
      </c>
      <c r="G32" s="135"/>
      <c r="H32" s="136">
        <v>31890000</v>
      </c>
      <c r="I32" s="137"/>
      <c r="J32" s="137"/>
      <c r="K32" s="137"/>
      <c r="L32" s="136"/>
      <c r="M32" s="138">
        <f>M18</f>
        <v>10613469</v>
      </c>
    </row>
    <row r="33" spans="1:13" s="37" customFormat="1" ht="12">
      <c r="A33" s="28"/>
      <c r="B33" s="48" t="s">
        <v>35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/>
    </row>
    <row r="34" spans="1:13" s="37" customFormat="1" ht="12">
      <c r="A34" s="28"/>
      <c r="B34" s="48" t="s">
        <v>55</v>
      </c>
      <c r="C34" s="48"/>
      <c r="D34" s="48"/>
      <c r="E34" s="50">
        <v>32</v>
      </c>
      <c r="F34" s="164">
        <f t="shared" si="2"/>
        <v>107126000</v>
      </c>
      <c r="G34" s="135"/>
      <c r="H34" s="136">
        <f>(96161+10965)*1000</f>
        <v>107126000</v>
      </c>
      <c r="I34" s="137"/>
      <c r="J34" s="137"/>
      <c r="K34" s="137"/>
      <c r="L34" s="136"/>
      <c r="M34" s="138">
        <v>86533037</v>
      </c>
    </row>
    <row r="35" spans="1:13" s="37" customFormat="1" ht="12">
      <c r="A35" s="28"/>
      <c r="B35" s="48" t="s">
        <v>37</v>
      </c>
      <c r="C35" s="48"/>
      <c r="D35" s="48"/>
      <c r="E35" s="50">
        <v>33</v>
      </c>
      <c r="F35" s="164">
        <f t="shared" si="2"/>
        <v>1000000</v>
      </c>
      <c r="G35" s="135"/>
      <c r="H35" s="136">
        <v>1000000</v>
      </c>
      <c r="I35" s="137"/>
      <c r="J35" s="137"/>
      <c r="K35" s="137"/>
      <c r="L35" s="136"/>
      <c r="M35" s="138">
        <f>M20</f>
        <v>4523549</v>
      </c>
    </row>
    <row r="36" spans="1:13" s="37" customFormat="1" ht="12">
      <c r="A36" s="28"/>
      <c r="B36" s="48" t="s">
        <v>39</v>
      </c>
      <c r="C36" s="48"/>
      <c r="D36" s="48"/>
      <c r="E36" s="50">
        <v>34</v>
      </c>
      <c r="F36" s="164">
        <f t="shared" si="2"/>
        <v>10794546</v>
      </c>
      <c r="G36" s="135"/>
      <c r="H36" s="136">
        <v>10794546</v>
      </c>
      <c r="I36" s="137"/>
      <c r="J36" s="137"/>
      <c r="K36" s="137"/>
      <c r="L36" s="136"/>
      <c r="M36" s="138">
        <f>M21</f>
        <v>3297254</v>
      </c>
    </row>
    <row r="37" spans="1:13" s="37" customFormat="1" ht="12">
      <c r="A37" s="28"/>
      <c r="B37" s="48" t="s">
        <v>57</v>
      </c>
      <c r="C37" s="48"/>
      <c r="D37" s="48"/>
      <c r="E37" s="50">
        <v>35</v>
      </c>
      <c r="F37" s="164">
        <f t="shared" si="2"/>
        <v>0</v>
      </c>
      <c r="G37" s="135"/>
      <c r="H37" s="136"/>
      <c r="I37" s="137"/>
      <c r="J37" s="137"/>
      <c r="K37" s="137"/>
      <c r="L37" s="136"/>
      <c r="M37" s="138"/>
    </row>
    <row r="38" spans="1:13" s="37" customFormat="1" ht="12">
      <c r="A38" s="28"/>
      <c r="B38" s="48" t="s">
        <v>58</v>
      </c>
      <c r="C38" s="48"/>
      <c r="D38" s="48"/>
      <c r="E38" s="50">
        <v>36</v>
      </c>
      <c r="F38" s="164">
        <f t="shared" si="2"/>
        <v>0</v>
      </c>
      <c r="G38" s="135"/>
      <c r="H38" s="136"/>
      <c r="I38" s="137"/>
      <c r="J38" s="137"/>
      <c r="K38" s="137"/>
      <c r="L38" s="136"/>
      <c r="M38" s="138"/>
    </row>
    <row r="39" spans="1:13" s="37" customFormat="1" ht="12">
      <c r="A39" s="28"/>
      <c r="B39" s="48" t="s">
        <v>60</v>
      </c>
      <c r="C39" s="48"/>
      <c r="D39" s="48"/>
      <c r="E39" s="50">
        <v>37</v>
      </c>
      <c r="F39" s="164">
        <f t="shared" si="2"/>
        <v>0</v>
      </c>
      <c r="G39" s="135"/>
      <c r="H39" s="136"/>
      <c r="I39" s="137"/>
      <c r="J39" s="137"/>
      <c r="K39" s="137"/>
      <c r="L39" s="136"/>
      <c r="M39" s="138"/>
    </row>
    <row r="40" spans="1:13" s="37" customFormat="1" ht="12">
      <c r="A40" s="28"/>
      <c r="B40" s="48" t="s">
        <v>61</v>
      </c>
      <c r="C40" s="48"/>
      <c r="D40" s="48"/>
      <c r="E40" s="50">
        <v>38</v>
      </c>
      <c r="F40" s="164">
        <f t="shared" si="2"/>
        <v>0</v>
      </c>
      <c r="G40" s="135"/>
      <c r="H40" s="136"/>
      <c r="I40" s="137"/>
      <c r="J40" s="137"/>
      <c r="K40" s="137"/>
      <c r="L40" s="136"/>
      <c r="M40" s="138">
        <f>M24</f>
        <v>100000</v>
      </c>
    </row>
    <row r="41" spans="1:13" s="37" customFormat="1" ht="12">
      <c r="A41" s="28"/>
      <c r="B41" s="48" t="s">
        <v>46</v>
      </c>
      <c r="C41" s="48"/>
      <c r="D41" s="48"/>
      <c r="E41" s="50">
        <v>39</v>
      </c>
      <c r="F41" s="164">
        <f t="shared" si="2"/>
        <v>0</v>
      </c>
      <c r="G41" s="135"/>
      <c r="H41" s="136"/>
      <c r="I41" s="137"/>
      <c r="J41" s="137"/>
      <c r="K41" s="137"/>
      <c r="L41" s="136"/>
      <c r="M41" s="138"/>
    </row>
    <row r="42" spans="1:13" s="37" customFormat="1" ht="12">
      <c r="A42" s="28"/>
      <c r="B42" s="48" t="s">
        <v>62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/>
    </row>
    <row r="43" spans="1:13" s="37" customFormat="1" ht="12">
      <c r="A43" s="28"/>
      <c r="B43" s="48" t="s">
        <v>63</v>
      </c>
      <c r="C43" s="48"/>
      <c r="D43" s="48"/>
      <c r="E43" s="50">
        <v>41</v>
      </c>
      <c r="F43" s="164">
        <f t="shared" si="2"/>
        <v>27008000</v>
      </c>
      <c r="G43" s="135"/>
      <c r="H43" s="136">
        <v>27008000</v>
      </c>
      <c r="I43" s="137"/>
      <c r="J43" s="137"/>
      <c r="K43" s="137"/>
      <c r="L43" s="136"/>
      <c r="M43" s="138">
        <v>39314630</v>
      </c>
    </row>
    <row r="44" spans="1:13" s="37" customFormat="1" ht="12">
      <c r="A44" s="28"/>
      <c r="B44" s="48" t="s">
        <v>64</v>
      </c>
      <c r="C44" s="48"/>
      <c r="D44" s="48"/>
      <c r="E44" s="50">
        <v>42</v>
      </c>
      <c r="F44" s="164">
        <f t="shared" si="2"/>
        <v>66773091</v>
      </c>
      <c r="G44" s="135"/>
      <c r="H44" s="139" t="s">
        <v>99</v>
      </c>
      <c r="I44" s="137">
        <f>I3</f>
        <v>61273091</v>
      </c>
      <c r="J44" s="137"/>
      <c r="K44" s="137">
        <f>K3</f>
        <v>5500000</v>
      </c>
      <c r="L44" s="136"/>
      <c r="M44" s="138">
        <v>17682936</v>
      </c>
    </row>
    <row r="45" spans="1:13" s="37" customFormat="1" ht="12">
      <c r="A45" s="65"/>
      <c r="B45" s="66" t="s">
        <v>50</v>
      </c>
      <c r="C45" s="66"/>
      <c r="D45" s="66"/>
      <c r="E45" s="67">
        <v>43</v>
      </c>
      <c r="F45" s="165">
        <f t="shared" si="2"/>
        <v>1434500</v>
      </c>
      <c r="G45" s="141"/>
      <c r="H45" s="142">
        <v>1434500</v>
      </c>
      <c r="I45" s="143"/>
      <c r="J45" s="143"/>
      <c r="K45" s="143"/>
      <c r="L45" s="142"/>
      <c r="M45" s="144">
        <v>1793158</v>
      </c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47">
        <f>F29+F34+F38+F43+F44+F45-F4-F27</f>
        <v>9104400</v>
      </c>
      <c r="G46" s="146">
        <f>G29+G34+G38+G43+G44+G45+-G4-G27</f>
        <v>0</v>
      </c>
      <c r="H46" s="146">
        <f>H29+H34+H38+H43+H45-H4-H27</f>
        <v>9104400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18230430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61">
        <f>F28-F3</f>
        <v>9104400</v>
      </c>
      <c r="G47" s="114">
        <f aca="true" t="shared" si="4" ref="G47:M47">G28-G3</f>
        <v>0</v>
      </c>
      <c r="H47" s="115">
        <f t="shared" si="4"/>
        <v>9104400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18230430</v>
      </c>
    </row>
    <row r="48" spans="1:5" ht="12.75">
      <c r="A48" s="80"/>
      <c r="B48" s="80"/>
      <c r="C48" s="80"/>
      <c r="D48" s="80"/>
      <c r="E48" s="81"/>
    </row>
    <row r="49" spans="5:13" s="80" customFormat="1" ht="12"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>
      <c r="A50" s="84" t="s">
        <v>100</v>
      </c>
      <c r="E50" s="81"/>
      <c r="F50" s="167"/>
      <c r="H50" s="92"/>
      <c r="J50" s="156"/>
      <c r="L50" s="92"/>
      <c r="M50" s="92"/>
    </row>
    <row r="51" spans="5:13" s="84" customFormat="1" ht="12">
      <c r="E51" s="86"/>
      <c r="F51" s="168"/>
      <c r="H51" s="108"/>
      <c r="I51" s="108"/>
      <c r="J51" s="108"/>
      <c r="K51" s="108"/>
      <c r="L51" s="108"/>
      <c r="M51" s="108"/>
    </row>
    <row r="52" spans="5:13" s="84" customFormat="1" ht="12">
      <c r="E52" s="86"/>
      <c r="F52" s="168"/>
      <c r="H52" s="108"/>
      <c r="I52" s="108"/>
      <c r="J52" s="108"/>
      <c r="K52" s="108"/>
      <c r="L52" s="108"/>
      <c r="M52" s="108"/>
    </row>
    <row r="53" spans="5:13" s="84" customFormat="1" ht="12">
      <c r="E53" s="86"/>
      <c r="F53" s="168"/>
      <c r="H53" s="108"/>
      <c r="I53" s="108"/>
      <c r="J53" s="108"/>
      <c r="K53" s="108"/>
      <c r="L53" s="108"/>
      <c r="M53" s="108"/>
    </row>
    <row r="54" spans="1:13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</row>
    <row r="55" spans="1:6" s="92" customFormat="1" ht="12">
      <c r="A55" s="84"/>
      <c r="B55" s="84"/>
      <c r="C55" s="84"/>
      <c r="D55" s="84"/>
      <c r="E55" s="90"/>
      <c r="F55" s="37"/>
    </row>
    <row r="56" spans="1:6" s="92" customFormat="1" ht="12">
      <c r="A56" s="84"/>
      <c r="B56" s="84"/>
      <c r="C56" s="84"/>
      <c r="D56" s="84"/>
      <c r="E56" s="90"/>
      <c r="F56" s="37"/>
    </row>
    <row r="57" spans="1:6" s="92" customFormat="1" ht="12">
      <c r="A57" s="84"/>
      <c r="B57" s="84"/>
      <c r="C57" s="84"/>
      <c r="D57" s="84"/>
      <c r="E57" s="90"/>
      <c r="F57" s="37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K8" sqref="K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125" style="37" customWidth="1"/>
    <col min="7" max="7" width="5.125" style="0" hidden="1" customWidth="1"/>
    <col min="8" max="8" width="11.625" style="92" customWidth="1"/>
    <col min="9" max="9" width="9.25390625" style="92" customWidth="1"/>
    <col min="10" max="10" width="8.875" style="92" customWidth="1"/>
    <col min="11" max="11" width="8.00390625" style="92" customWidth="1"/>
    <col min="12" max="12" width="8.125" style="92" customWidth="1"/>
    <col min="13" max="13" width="10.2539062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141</v>
      </c>
      <c r="D2" s="432"/>
      <c r="E2" s="10" t="s">
        <v>6</v>
      </c>
      <c r="F2" s="16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 aca="true" t="shared" si="0" ref="F3:M3">SUM(F5:F27)</f>
        <v>964698631</v>
      </c>
      <c r="G3" s="114">
        <f t="shared" si="0"/>
        <v>0</v>
      </c>
      <c r="H3" s="115">
        <f t="shared" si="0"/>
        <v>877004344.18</v>
      </c>
      <c r="I3" s="116">
        <f t="shared" si="0"/>
        <v>62819364</v>
      </c>
      <c r="J3" s="116">
        <f t="shared" si="0"/>
        <v>19344922.82</v>
      </c>
      <c r="K3" s="116">
        <f t="shared" si="0"/>
        <v>5530000</v>
      </c>
      <c r="L3" s="115">
        <f t="shared" si="0"/>
        <v>0</v>
      </c>
      <c r="M3" s="117">
        <f t="shared" si="0"/>
        <v>840213687.21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 aca="true" t="shared" si="1" ref="F4:M4">SUM(F5:F15)</f>
        <v>765956564</v>
      </c>
      <c r="G4" s="119">
        <f t="shared" si="1"/>
        <v>0</v>
      </c>
      <c r="H4" s="120">
        <f t="shared" si="1"/>
        <v>688619740</v>
      </c>
      <c r="I4" s="121">
        <f t="shared" si="1"/>
        <v>62819364</v>
      </c>
      <c r="J4" s="121">
        <f t="shared" si="1"/>
        <v>8987460</v>
      </c>
      <c r="K4" s="121">
        <f t="shared" si="1"/>
        <v>5530000</v>
      </c>
      <c r="L4" s="120">
        <f t="shared" si="1"/>
        <v>0</v>
      </c>
      <c r="M4" s="122">
        <f t="shared" si="1"/>
        <v>671234736.61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63">
        <f aca="true" t="shared" si="2" ref="F5:F27">SUM(H5:L5)</f>
        <v>153435506</v>
      </c>
      <c r="G5" s="124"/>
      <c r="H5" s="323">
        <f>SKM!H5+SUKB!H6+UCT!H5+SPSSN!H5+IBA!H5+ÚVT!H5+VMU!H5+CJV!H5+CZS!H5+RMU!H5</f>
        <v>144972936</v>
      </c>
      <c r="I5" s="187">
        <f>SKM!I5+SUKB!I6+UCT!I5+SPSSN!I5+IBA!I5+ÚVT!I5+VMU!I5+CJV!I5+CZS!I5+RMU!I5</f>
        <v>1458496</v>
      </c>
      <c r="J5" s="187">
        <f>SKM!J5+SUKB!J6+UCT!J5+SPSSN!J5+IBA!J5+ÚVT!J5+VMU!J5+CJV!J5+CZS!J5+RMU!J5</f>
        <v>2900000</v>
      </c>
      <c r="K5" s="187">
        <f>SKM!K5+SUKB!K6+UCT!K5+SPSSN!K5+IBA!K5+ÚVT!K5+VMU!K5+CJV!K5+CZS!K5+RMU!K5</f>
        <v>4104074</v>
      </c>
      <c r="L5" s="324">
        <f>SKM!L5+SUKB!L6+UCT!L5+SPSSN!L5+IBA!L5+ÚVT!L5+VMU!L5+CJV!L5+CZS!L5+RMU!L5</f>
        <v>0</v>
      </c>
      <c r="M5" s="325">
        <f>SKM!M5+SUKB!M6+UCT!M5+SPSSN!M5+IBA!M5+ÚVT!M5+VMU!M5+CJV!M5+CZS!M5+RMU!M5</f>
        <v>152852545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63">
        <f t="shared" si="2"/>
        <v>10212000</v>
      </c>
      <c r="G6" s="124"/>
      <c r="H6" s="323">
        <f>SKM!H6+SUKB!H7+UCT!H6+SPSSN!H6+IBA!H6+ÚVT!H6+VMU!H6+CJV!H6+CZS!H6+RMU!H6</f>
        <v>6012000</v>
      </c>
      <c r="I6" s="187">
        <f>SKM!I6+SUKB!I7+UCT!I6+SPSSN!I6+IBA!I6+ÚVT!I6+VMU!I6+CJV!I6+CZS!I6+RMU!I6</f>
        <v>0</v>
      </c>
      <c r="J6" s="187">
        <f>SKM!J6+SUKB!J7+UCT!J6+SPSSN!J6+IBA!J6+ÚVT!J6+VMU!J6+CJV!J6+CZS!J6+RMU!J6</f>
        <v>4200000</v>
      </c>
      <c r="K6" s="187">
        <f>SKM!K6+SUKB!K7+UCT!K6+SPSSN!K6+IBA!K6+ÚVT!K6+VMU!K6+CJV!K6+CZS!K6+RMU!K6</f>
        <v>0</v>
      </c>
      <c r="L6" s="324">
        <f>SKM!L6+SUKB!L7+UCT!L6+SPSSN!L6+IBA!L6+ÚVT!L6+VMU!L6+CJV!L6+CZS!L6+RMU!L6</f>
        <v>0</v>
      </c>
      <c r="M6" s="325">
        <f>SKM!M6+SUKB!M7+UCT!M6+SPSSN!M6+IBA!M6+ÚVT!M6+VMU!M6+CJV!M6+CZS!M6+RMU!M6</f>
        <v>9933461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63">
        <f t="shared" si="2"/>
        <v>58232881</v>
      </c>
      <c r="G7" s="124"/>
      <c r="H7" s="323">
        <f>SKM!H7+SUKB!H8+UCT!H7+SPSSN!H7+IBA!H7+ÚVT!H7+VMU!H7+CJV!H7+CZS!H7+RMU!H7</f>
        <v>55281481</v>
      </c>
      <c r="I7" s="187">
        <f>SKM!I7+SUKB!I8+UCT!I7+SPSSN!I7+IBA!I7+ÚVT!I7+VMU!I7+CJV!I7+CZS!I7+RMU!I7</f>
        <v>510474</v>
      </c>
      <c r="J7" s="187">
        <f>SKM!J7+SUKB!J8+UCT!J7+SPSSN!J7+IBA!J7+ÚVT!J7+VMU!J7+CJV!J7+CZS!J7+RMU!J7</f>
        <v>1015000</v>
      </c>
      <c r="K7" s="187">
        <f>SKM!K7+SUKB!K8+UCT!K7+SPSSN!K7+IBA!K7+ÚVT!K7+VMU!K7+CJV!K7+CZS!K7+RMU!K7</f>
        <v>1425926</v>
      </c>
      <c r="L7" s="324">
        <f>SKM!L7+SUKB!L8+UCT!L7+SPSSN!L7+IBA!L7+ÚVT!L7+VMU!L7+CJV!L7+CZS!L7+RMU!L7</f>
        <v>0</v>
      </c>
      <c r="M7" s="325">
        <f>SKM!M7+SUKB!M8+UCT!M7+SPSSN!M7+IBA!M7+ÚVT!M7+VMU!M7+CJV!M7+CZS!M7+RMU!M7</f>
        <v>55397240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63">
        <f t="shared" si="2"/>
        <v>38280000</v>
      </c>
      <c r="G8" s="124"/>
      <c r="H8" s="323">
        <f>SKM!H8+SUKB!H9+UCT!H8+SPSSN!H8+IBA!H8+ÚVT!H8+VMU!H8+CJV!H8+CZS!H8+RMU!H8</f>
        <v>38260000</v>
      </c>
      <c r="I8" s="187">
        <f>SKM!I8+SUKB!I9+UCT!I8+SPSSN!I8+IBA!I8+ÚVT!I8+VMU!I8+CJV!I8+CZS!I8+RMU!I8</f>
        <v>0</v>
      </c>
      <c r="J8" s="187">
        <f>SKM!J8+SUKB!J9+UCT!J8+SPSSN!J8+IBA!J8+ÚVT!J8+VMU!J8+CJV!J8+CZS!J8+RMU!J8</f>
        <v>20000</v>
      </c>
      <c r="K8" s="187">
        <f>SKM!K8+SUKB!K9+UCT!K8+SPSSN!K8+IBA!K8+ÚVT!K8+VMU!K8+CJV!K8+CZS!K8+RMU!K8</f>
        <v>0</v>
      </c>
      <c r="L8" s="324">
        <f>SKM!L8+SUKB!L9+UCT!L8+SPSSN!L8+IBA!L8+ÚVT!L8+VMU!L8+CJV!L8+CZS!L8+RMU!L8</f>
        <v>0</v>
      </c>
      <c r="M8" s="325">
        <f>SKM!M8+SUKB!M9+UCT!M8+SPSSN!M8+IBA!M8+ÚVT!M8+VMU!M8+CJV!M8+CZS!M8+RMU!M8</f>
        <v>36328371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63">
        <f t="shared" si="2"/>
        <v>37469520</v>
      </c>
      <c r="G9" s="124"/>
      <c r="H9" s="323">
        <f>SKM!H9+SUKB!H10+UCT!H9+SPSSN!H9+IBA!H9+ÚVT!H9+VMU!H9+CJV!H9+CZS!H9+RMU!H9</f>
        <v>37320520</v>
      </c>
      <c r="I9" s="187">
        <f>SKM!I9+SUKB!I10+UCT!I9+SPSSN!I9+IBA!I9+ÚVT!I9+VMU!I9+CJV!I9+CZS!I9+RMU!I9</f>
        <v>124000</v>
      </c>
      <c r="J9" s="187">
        <f>SKM!J9+SUKB!J10+UCT!J9+SPSSN!J9+IBA!J9+ÚVT!J9+VMU!J9+CJV!J9+CZS!J9+RMU!J9</f>
        <v>25000</v>
      </c>
      <c r="K9" s="187">
        <f>SKM!K9+SUKB!K10+UCT!K9+SPSSN!K9+IBA!K9+ÚVT!K9+VMU!K9+CJV!K9+CZS!K9+RMU!K9</f>
        <v>0</v>
      </c>
      <c r="L9" s="324">
        <f>SKM!L9+SUKB!L10+UCT!L9+SPSSN!L9+IBA!L9+ÚVT!L9+VMU!L9+CJV!L9+CZS!L9+RMU!L9</f>
        <v>0</v>
      </c>
      <c r="M9" s="325">
        <f>SKM!M9+SUKB!M10+UCT!M9+SPSSN!M9+IBA!M9+ÚVT!M9+VMU!M9+CJV!M9+CZS!M9+RMU!M9</f>
        <v>30713946.1</v>
      </c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63">
        <f t="shared" si="2"/>
        <v>125804828</v>
      </c>
      <c r="G10" s="124"/>
      <c r="H10" s="323">
        <f>SKM!H10+SUKB!H11+UCT!H10+SPSSN!H10+IBA!H10+ÚVT!H10+VMU!H10+CJV!H10+CZS!H10+RMU!H10</f>
        <v>66160047</v>
      </c>
      <c r="I10" s="187">
        <f>SKM!I10+SUKB!I11+UCT!I10+SPSSN!I10+IBA!I10+ÚVT!I10+VMU!I10+CJV!I10+CZS!I10+RMU!I10</f>
        <v>59639781</v>
      </c>
      <c r="J10" s="187">
        <f>SKM!J10+SUKB!J11+UCT!J10+SPSSN!J10+IBA!J10+ÚVT!J10+VMU!J10+CJV!J10+CZS!J10+RMU!J10</f>
        <v>5000</v>
      </c>
      <c r="K10" s="187">
        <f>SKM!K10+SUKB!K11+UCT!K10+SPSSN!K10+IBA!K10+ÚVT!K10+VMU!K10+CJV!K10+CZS!K10+RMU!K10</f>
        <v>0</v>
      </c>
      <c r="L10" s="324">
        <f>SKM!L10+SUKB!L11+UCT!L10+SPSSN!L10+IBA!L10+ÚVT!L10+VMU!L10+CJV!L10+CZS!L10+RMU!L10</f>
        <v>0</v>
      </c>
      <c r="M10" s="325">
        <f>SKM!M10+SUKB!M11+UCT!M10+SPSSN!M10+IBA!M10+ÚVT!M10+VMU!M10+CJV!M10+CZS!M10+RMU!M10</f>
        <v>50317015.47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63">
        <f t="shared" si="2"/>
        <v>106434213</v>
      </c>
      <c r="G11" s="124"/>
      <c r="H11" s="323">
        <f>SKM!H11+SUKB!H12+UCT!H11+SPSSN!H11+IBA!H11+ÚVT!H11+VMU!H11+CJV!H11+CZS!H11+RMU!H11</f>
        <v>105304213</v>
      </c>
      <c r="I11" s="187">
        <f>SKM!I11+SUKB!I12+UCT!I11+SPSSN!I11+IBA!I11+ÚVT!I11+VMU!I11+CJV!I11+CZS!I11+RMU!I11</f>
        <v>1000000</v>
      </c>
      <c r="J11" s="187">
        <f>SKM!J11+SUKB!J12+UCT!J11+SPSSN!J11+IBA!J11+ÚVT!J11+VMU!J11+CJV!J11+CZS!J11+RMU!J11</f>
        <v>130000</v>
      </c>
      <c r="K11" s="187">
        <f>SKM!K11+SUKB!K12+UCT!K11+SPSSN!K11+IBA!K11+ÚVT!K11+VMU!K11+CJV!K11+CZS!K11+RMU!K11</f>
        <v>0</v>
      </c>
      <c r="L11" s="324">
        <f>SKM!L11+SUKB!L12+UCT!L11+SPSSN!L11+IBA!L11+ÚVT!L11+VMU!L11+CJV!L11+CZS!L11+RMU!L11</f>
        <v>0</v>
      </c>
      <c r="M11" s="325">
        <f>SKM!M11+SUKB!M12+UCT!M11+SPSSN!M11+IBA!M11+ÚVT!M11+VMU!M11+CJV!M11+CZS!M11+RMU!M11</f>
        <v>69733397.89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63">
        <f t="shared" si="2"/>
        <v>4041128</v>
      </c>
      <c r="G12" s="124"/>
      <c r="H12" s="323">
        <f>SKM!H12+SUKB!H13+UCT!H12+SPSSN!H12+IBA!H12+ÚVT!H12+VMU!H12+CJV!H12+CZS!H12+RMU!H12</f>
        <v>3741128</v>
      </c>
      <c r="I12" s="187">
        <f>SKM!I12+SUKB!I13+UCT!I12+SPSSN!I12+IBA!I12+ÚVT!I12+VMU!I12+CJV!I12+CZS!I12+RMU!I12</f>
        <v>0</v>
      </c>
      <c r="J12" s="187">
        <f>SKM!J12+SUKB!J13+UCT!J12+SPSSN!J12+IBA!J12+ÚVT!J12+VMU!J12+CJV!J12+CZS!J12+RMU!J12</f>
        <v>300000</v>
      </c>
      <c r="K12" s="187">
        <f>SKM!K12+SUKB!K13+UCT!K12+SPSSN!K12+IBA!K12+ÚVT!K12+VMU!K12+CJV!K12+CZS!K12+RMU!K12</f>
        <v>0</v>
      </c>
      <c r="L12" s="324">
        <f>SKM!L12+SUKB!L13+UCT!L12+SPSSN!L12+IBA!L12+ÚVT!L12+VMU!L12+CJV!L12+CZS!L12+RMU!L12</f>
        <v>0</v>
      </c>
      <c r="M12" s="325">
        <f>SKM!M12+SUKB!M13+UCT!M12+SPSSN!M12+IBA!M12+ÚVT!M12+VMU!M12+CJV!M12+CZS!M12+RMU!M12</f>
        <v>4080673.76</v>
      </c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63">
        <f t="shared" si="2"/>
        <v>81903000</v>
      </c>
      <c r="G13" s="124"/>
      <c r="H13" s="323">
        <f>SKM!H13+SUKB!H14+UCT!H13+SPSSN!H13+IBA!H13+ÚVT!H13+VMU!H13+CJV!H13+CZS!H13+RMU!H13</f>
        <v>81603000</v>
      </c>
      <c r="I13" s="187">
        <f>SKM!I13+SUKB!I14+UCT!I13+SPSSN!I13+IBA!I13+ÚVT!I13+VMU!I13+CJV!I13+CZS!I13+RMU!I13</f>
        <v>0</v>
      </c>
      <c r="J13" s="187">
        <f>SKM!J13+SUKB!J14+UCT!J13+SPSSN!J13+IBA!J13+ÚVT!J13+VMU!J13+CJV!J13+CZS!J13+RMU!J13</f>
        <v>300000</v>
      </c>
      <c r="K13" s="187">
        <f>SKM!K13+SUKB!K14+UCT!K13+SPSSN!K13+IBA!K13+ÚVT!K13+VMU!K13+CJV!K13+CZS!K13+RMU!K13</f>
        <v>0</v>
      </c>
      <c r="L13" s="324">
        <f>SKM!L13+SUKB!L14+UCT!L13+SPSSN!L13+IBA!L13+ÚVT!L13+VMU!L13+CJV!L13+CZS!L13+RMU!L13</f>
        <v>0</v>
      </c>
      <c r="M13" s="325">
        <f>SKM!M13+SUKB!M14+UCT!M13+SPSSN!M13+IBA!M13+ÚVT!M13+VMU!M13+CJV!M13+CZS!M13+RMU!M13</f>
        <v>65086655.65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63">
        <f t="shared" si="2"/>
        <v>110597340</v>
      </c>
      <c r="G14" s="124"/>
      <c r="H14" s="323">
        <f>SKM!H14+SUKB!H15+UCT!H14+SPSSN!H14+IBA!H14+ÚVT!H14+VMU!H14+CJV!H14+CZS!H14+RMU!H14</f>
        <v>110553540</v>
      </c>
      <c r="I14" s="187">
        <f>SKM!I14+SUKB!I15+UCT!I14+SPSSN!I14+IBA!I14+ÚVT!I14+VMU!I14+CJV!I14+CZS!I14+RMU!I14</f>
        <v>16340</v>
      </c>
      <c r="J14" s="187">
        <f>SKM!J14+SUKB!J15+UCT!J14+SPSSN!J14+IBA!J14+ÚVT!J14+VMU!J14+CJV!J14+CZS!J14+RMU!J14</f>
        <v>27460</v>
      </c>
      <c r="K14" s="187">
        <f>SKM!K14+SUKB!K15+UCT!K14+SPSSN!K14+IBA!K14+ÚVT!K14+VMU!K14+CJV!K14+CZS!K14+RMU!K14</f>
        <v>0</v>
      </c>
      <c r="L14" s="324">
        <f>SKM!L14+SUKB!L15+UCT!L14+SPSSN!L14+IBA!L14+ÚVT!L14+VMU!L14+CJV!L14+CZS!L14+RMU!L14</f>
        <v>0</v>
      </c>
      <c r="M14" s="325">
        <f>SKM!M14+SUKB!M15+UCT!M14+SPSSN!M14+IBA!M14+ÚVT!M14+VMU!M14+CJV!M14+CZS!M14+RMU!M14</f>
        <v>2379934</v>
      </c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63">
        <f t="shared" si="2"/>
        <v>39546148</v>
      </c>
      <c r="G15" s="124"/>
      <c r="H15" s="323">
        <f>SKM!H15+SUKB!H16+UCT!H15+SPSSN!H15+IBA!H15+ÚVT!H15+VMU!H15+CJV!H15+CZS!H15+RMU!H15</f>
        <v>39410875</v>
      </c>
      <c r="I15" s="187">
        <f>SKM!I15+SUKB!I16+UCT!I15+SPSSN!I15+IBA!I15+ÚVT!I15+VMU!I15+CJV!I15+CZS!I15+RMU!I15</f>
        <v>70273</v>
      </c>
      <c r="J15" s="187">
        <f>SKM!J15+SUKB!J16+UCT!J15+SPSSN!J15+IBA!J15+ÚVT!J15+VMU!J15+CJV!J15+CZS!J15+RMU!J15</f>
        <v>65000</v>
      </c>
      <c r="K15" s="187">
        <f>SKM!K15+SUKB!K16+UCT!K15+SPSSN!K15+IBA!K15+ÚVT!K15+VMU!K15+CJV!K15+CZS!K15+RMU!K15</f>
        <v>0</v>
      </c>
      <c r="L15" s="324">
        <f>SKM!L15+SUKB!L16+UCT!L15+SPSSN!L15+IBA!L15+ÚVT!L15+VMU!L15+CJV!L15+CZS!L15+RMU!L15</f>
        <v>0</v>
      </c>
      <c r="M15" s="325">
        <f>SKM!M15+SUKB!M16+UCT!M15+SPSSN!M15+IBA!M15+ÚVT!M15+VMU!M15+CJV!M15+CZS!M15+RMU!M15</f>
        <v>194411496.74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0</v>
      </c>
      <c r="G16" s="130"/>
      <c r="H16" s="326">
        <f>SKM!H16+SUKB!H17+UCT!H16+SPSSN!H16+IBA!H16+ÚVT!H16+VMU!H16+CJV!H16+CZS!H16+RMU!H16</f>
        <v>0</v>
      </c>
      <c r="I16" s="137">
        <f>SKM!I16+SUKB!I17+UCT!I16+SPSSN!I16+IBA!I16+ÚVT!I16+VMU!I16+CJV!I16+CZS!I16+RMU!I16</f>
        <v>0</v>
      </c>
      <c r="J16" s="137">
        <f>SKM!J16+SUKB!J17+UCT!J16+SPSSN!J16+IBA!J16+ÚVT!J16+VMU!J16+CJV!J16+CZS!J16+RMU!J16</f>
        <v>0</v>
      </c>
      <c r="K16" s="137">
        <f>SKM!K16+SUKB!K17+UCT!K16+SPSSN!K16+IBA!K16+ÚVT!K16+VMU!K16+CJV!K16+CZS!K16+RMU!K16</f>
        <v>0</v>
      </c>
      <c r="L16" s="195">
        <f>SKM!L16+SUKB!L17+UCT!L16+SPSSN!L16+IBA!L16+ÚVT!L16+VMU!L16+CJV!L16+CZS!L16+RMU!L16</f>
        <v>0</v>
      </c>
      <c r="M16" s="138">
        <f>SKM!M16+SUKB!M17+UCT!M16+SPSSN!M16+IBA!M16+ÚVT!M16+VMU!M16+CJV!M16+CZS!M16+RMU!M16</f>
        <v>0</v>
      </c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26000000</v>
      </c>
      <c r="G17" s="130"/>
      <c r="H17" s="326">
        <f>SKM!H17+SUKB!H18+UCT!H17+SPSSN!H17+IBA!H17+ÚVT!H17+VMU!H17+CJV!H17+CZS!H17+RMU!H17</f>
        <v>25319000</v>
      </c>
      <c r="I17" s="137">
        <f>SKM!I17+SUKB!I18+UCT!I17+SPSSN!I17+IBA!I17+ÚVT!I17+VMU!I17+CJV!I17+CZS!I17+RMU!I17</f>
        <v>0</v>
      </c>
      <c r="J17" s="137">
        <f>SKM!J17+SUKB!J18+UCT!J17+SPSSN!J17+IBA!J17+ÚVT!J17+VMU!J17+CJV!J17+CZS!J17+RMU!J17</f>
        <v>681000</v>
      </c>
      <c r="K17" s="137">
        <f>SKM!K17+SUKB!K18+UCT!K17+SPSSN!K17+IBA!K17+ÚVT!K17+VMU!K17+CJV!K17+CZS!K17+RMU!K17</f>
        <v>0</v>
      </c>
      <c r="L17" s="195">
        <f>SKM!L17+SUKB!L18+UCT!L17+SPSSN!L17+IBA!L17+ÚVT!L17+VMU!L17+CJV!L17+CZS!L17+RMU!L17</f>
        <v>0</v>
      </c>
      <c r="M17" s="138">
        <f>SKM!M17+SUKB!M18+UCT!M17+SPSSN!M17+IBA!M17+ÚVT!M17+VMU!M17+CJV!M17+CZS!M17+RMU!M17</f>
        <v>25857891.76</v>
      </c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54327000</v>
      </c>
      <c r="G18" s="130"/>
      <c r="H18" s="326">
        <f>SKM!H18+SUKB!H19+UCT!H18+SPSSN!H18+IBA!H18+ÚVT!H18+VMU!H18+CJV!H18+CZS!H18+RMU!H18</f>
        <v>54327000</v>
      </c>
      <c r="I18" s="137">
        <f>SKM!I18+SUKB!I19+UCT!I18+SPSSN!I18+IBA!I18+ÚVT!I18+VMU!I18+CJV!I18+CZS!I18+RMU!I18</f>
        <v>0</v>
      </c>
      <c r="J18" s="137">
        <f>SKM!J18+SUKB!J19+UCT!J18+SPSSN!J18+IBA!J18+ÚVT!J18+VMU!J18+CJV!J18+CZS!J18+RMU!J18</f>
        <v>0</v>
      </c>
      <c r="K18" s="137">
        <f>SKM!K18+SUKB!K19+UCT!K18+SPSSN!K18+IBA!K18+ÚVT!K18+VMU!K18+CJV!K18+CZS!K18+RMU!K18</f>
        <v>0</v>
      </c>
      <c r="L18" s="195">
        <f>SKM!L18+SUKB!L19+UCT!L18+SPSSN!L18+IBA!L18+ÚVT!L18+VMU!L18+CJV!L18+CZS!L18+RMU!L18</f>
        <v>0</v>
      </c>
      <c r="M18" s="138">
        <f>SKM!M18+SUKB!M19+UCT!M18+SPSSN!M18+IBA!M18+ÚVT!M18+VMU!M18+CJV!M18+CZS!M18+RMU!M18</f>
        <v>41664204</v>
      </c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0</v>
      </c>
      <c r="G19" s="130"/>
      <c r="H19" s="326">
        <f>SKM!H19+SUKB!H20+UCT!H19+SPSSN!H19+IBA!H19+ÚVT!H19+VMU!H19+CJV!H19+CZS!H19+RMU!H19</f>
        <v>0</v>
      </c>
      <c r="I19" s="137">
        <f>SKM!I19+SUKB!I20+UCT!I19+SPSSN!I19+IBA!I19+ÚVT!I19+VMU!I19+CJV!I19+CZS!I19+RMU!I19</f>
        <v>0</v>
      </c>
      <c r="J19" s="137">
        <f>SKM!J19+SUKB!J20+UCT!J19+SPSSN!J19+IBA!J19+ÚVT!J19+VMU!J19+CJV!J19+CZS!J19+RMU!J19</f>
        <v>0</v>
      </c>
      <c r="K19" s="137">
        <f>SKM!K19+SUKB!K20+UCT!K19+SPSSN!K19+IBA!K19+ÚVT!K19+VMU!K19+CJV!K19+CZS!K19+RMU!K19</f>
        <v>0</v>
      </c>
      <c r="L19" s="195">
        <f>SKM!L19+SUKB!L20+UCT!L19+SPSSN!L19+IBA!L19+ÚVT!L19+VMU!L19+CJV!L19+CZS!L19+RMU!L19</f>
        <v>0</v>
      </c>
      <c r="M19" s="138">
        <f>SKM!M19+SUKB!M20+UCT!M19+SPSSN!M19+IBA!M19+ÚVT!M19+VMU!M19+CJV!M19+CZS!M19+RMU!M19</f>
        <v>0</v>
      </c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1000000</v>
      </c>
      <c r="G20" s="130"/>
      <c r="H20" s="326">
        <f>SKM!H20+SUKB!H21+UCT!H20+SPSSN!H20+IBA!H20+ÚVT!H20+VMU!H20+CJV!H20+CZS!H20+RMU!H20</f>
        <v>1000000</v>
      </c>
      <c r="I20" s="137">
        <f>SKM!I20+SUKB!I21+UCT!I20+SPSSN!I20+IBA!I20+ÚVT!I20+VMU!I20+CJV!I20+CZS!I20+RMU!I20</f>
        <v>0</v>
      </c>
      <c r="J20" s="137">
        <f>SKM!J20+SUKB!J21+UCT!J20+SPSSN!J20+IBA!J20+ÚVT!J20+VMU!J20+CJV!J20+CZS!J20+RMU!J20</f>
        <v>0</v>
      </c>
      <c r="K20" s="137">
        <f>SKM!K20+SUKB!K21+UCT!K20+SPSSN!K20+IBA!K20+ÚVT!K20+VMU!K20+CJV!K20+CZS!K20+RMU!K20</f>
        <v>0</v>
      </c>
      <c r="L20" s="195">
        <f>SKM!L20+SUKB!L21+UCT!L20+SPSSN!L20+IBA!L20+ÚVT!L20+VMU!L20+CJV!L20+CZS!L20+RMU!L20</f>
        <v>0</v>
      </c>
      <c r="M20" s="138">
        <f>SKM!M20+SUKB!M21+UCT!M20+SPSSN!M20+IBA!M20+ÚVT!M20+VMU!M20+CJV!M20+CZS!M20+RMU!M20</f>
        <v>4523549</v>
      </c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2"/>
        <v>19009546</v>
      </c>
      <c r="G21" s="130"/>
      <c r="H21" s="326">
        <f>SKM!H21+SUKB!H22+UCT!H21+SPSSN!H21+IBA!H21+ÚVT!H21+VMU!H21+CJV!H21+CZS!H21+RMU!H21</f>
        <v>19009546</v>
      </c>
      <c r="I21" s="137">
        <f>SKM!I21+SUKB!I22+UCT!I21+SPSSN!I21+IBA!I21+ÚVT!I21+VMU!I21+CJV!I21+CZS!I21+RMU!I21</f>
        <v>0</v>
      </c>
      <c r="J21" s="137">
        <f>SKM!J21+SUKB!J22+UCT!J21+SPSSN!J21+IBA!J21+ÚVT!J21+VMU!J21+CJV!J21+CZS!J21+RMU!J21</f>
        <v>0</v>
      </c>
      <c r="K21" s="137">
        <f>SKM!K21+SUKB!K22+UCT!K21+SPSSN!K21+IBA!K21+ÚVT!K21+VMU!K21+CJV!K21+CZS!K21+RMU!K21</f>
        <v>0</v>
      </c>
      <c r="L21" s="195">
        <f>SKM!L21+SUKB!L22+UCT!L21+SPSSN!L21+IBA!L21+ÚVT!L21+VMU!L21+CJV!L21+CZS!L21+RMU!L21</f>
        <v>0</v>
      </c>
      <c r="M21" s="138">
        <f>SKM!M21+SUKB!M22+UCT!M21+SPSSN!M21+IBA!M21+ÚVT!M21+VMU!M21+CJV!M21+CZS!M21+RMU!M21</f>
        <v>7749270</v>
      </c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2"/>
        <v>29695440</v>
      </c>
      <c r="G22" s="130"/>
      <c r="H22" s="326">
        <f>SKM!H22+SUKB!H23+UCT!H22+SPSSN!H22+IBA!H22+ÚVT!H22+VMU!H22+CJV!H22+CZS!H22+RMU!H22</f>
        <v>21962158.18</v>
      </c>
      <c r="I22" s="137">
        <f>SKM!I22+SUKB!I23+UCT!I22+SPSSN!I22+IBA!I22+ÚVT!I22+VMU!I22+CJV!I22+CZS!I22+RMU!I22</f>
        <v>0</v>
      </c>
      <c r="J22" s="137">
        <f>SKM!J22+SUKB!J23+UCT!J22+SPSSN!J22+IBA!J22+ÚVT!J22+VMU!J22+CJV!J22+CZS!J22+RMU!J22</f>
        <v>7733281.82</v>
      </c>
      <c r="K22" s="137">
        <f>SKM!K22+SUKB!K23+UCT!K22+SPSSN!K22+IBA!K22+ÚVT!K22+VMU!K22+CJV!K22+CZS!K22+RMU!K22</f>
        <v>0</v>
      </c>
      <c r="L22" s="195">
        <f>SKM!L22+SUKB!L23+UCT!L22+SPSSN!L22+IBA!L22+ÚVT!L22+VMU!L22+CJV!L22+CZS!L22+RMU!L22</f>
        <v>0</v>
      </c>
      <c r="M22" s="138">
        <f>SKM!M22+SUKB!M23+UCT!M22+SPSSN!M22+IBA!M22+ÚVT!M22+VMU!M22+CJV!M22+CZS!M22+RMU!M22</f>
        <v>20672628.84</v>
      </c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2"/>
        <v>0</v>
      </c>
      <c r="G23" s="130"/>
      <c r="H23" s="326">
        <f>SKM!H23+SUKB!H24+UCT!H23+SPSSN!H23+IBA!H23+ÚVT!H23+VMU!H23+CJV!H23+CZS!H23+RMU!H23</f>
        <v>0</v>
      </c>
      <c r="I23" s="137">
        <f>SKM!I23+SUKB!I24+UCT!I23+SPSSN!I23+IBA!I23+ÚVT!I23+VMU!I23+CJV!I23+CZS!I23+RMU!I23</f>
        <v>0</v>
      </c>
      <c r="J23" s="137">
        <f>SKM!J23+SUKB!J24+UCT!J23+SPSSN!J23+IBA!J23+ÚVT!J23+VMU!J23+CJV!J23+CZS!J23+RMU!J23</f>
        <v>0</v>
      </c>
      <c r="K23" s="137">
        <f>SKM!K23+SUKB!K24+UCT!K23+SPSSN!K23+IBA!K23+ÚVT!K23+VMU!K23+CJV!K23+CZS!K23+RMU!K23</f>
        <v>0</v>
      </c>
      <c r="L23" s="195">
        <f>SKM!L23+SUKB!L24+UCT!L23+SPSSN!L23+IBA!L23+ÚVT!L23+VMU!L23+CJV!L23+CZS!L23+RMU!L23</f>
        <v>0</v>
      </c>
      <c r="M23" s="138">
        <f>SKM!M23+SUKB!M24+UCT!M23+SPSSN!M23+IBA!M23+ÚVT!M23+VMU!M23+CJV!M23+CZS!M23+RMU!M23</f>
        <v>1111137</v>
      </c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2"/>
        <v>10954000</v>
      </c>
      <c r="G24" s="130"/>
      <c r="H24" s="326">
        <f>SKM!H24+SUKB!H25+UCT!H24+SPSSN!H24+IBA!H24+ÚVT!H24+VMU!H24+CJV!H24+CZS!H24+RMU!H24</f>
        <v>10954000</v>
      </c>
      <c r="I24" s="137">
        <f>SKM!I24+SUKB!I25+UCT!I24+SPSSN!I24+IBA!I24+ÚVT!I24+VMU!I24+CJV!I24+CZS!I24+RMU!I24</f>
        <v>0</v>
      </c>
      <c r="J24" s="137">
        <f>SKM!J24+SUKB!J25+UCT!J24+SPSSN!J24+IBA!J24+ÚVT!J24+VMU!J24+CJV!J24+CZS!J24+RMU!J24</f>
        <v>0</v>
      </c>
      <c r="K24" s="137">
        <f>SKM!K24+SUKB!K25+UCT!K24+SPSSN!K24+IBA!K24+ÚVT!K24+VMU!K24+CJV!K24+CZS!K24+RMU!K24</f>
        <v>0</v>
      </c>
      <c r="L24" s="195">
        <f>SKM!L24+SUKB!L25+UCT!L24+SPSSN!L24+IBA!L24+ÚVT!L24+VMU!L24+CJV!L24+CZS!L24+RMU!L24</f>
        <v>0</v>
      </c>
      <c r="M24" s="138">
        <f>SKM!M24+SUKB!M25+UCT!M24+SPSSN!M24+IBA!M24+ÚVT!M24+VMU!M24+CJV!M24+CZS!M24+RMU!M24</f>
        <v>12178087</v>
      </c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2"/>
        <v>3943181</v>
      </c>
      <c r="G25" s="130"/>
      <c r="H25" s="326">
        <f>SKM!H25+SUKB!H26+UCT!H25+SPSSN!H25+IBA!H25+ÚVT!H25+VMU!H25+CJV!H25+CZS!H25+RMU!H25</f>
        <v>2000000</v>
      </c>
      <c r="I25" s="137">
        <f>SKM!I25+SUKB!I26+UCT!I25+SPSSN!I25+IBA!I25+ÚVT!I25+VMU!I25+CJV!I25+CZS!I25+RMU!I25</f>
        <v>0</v>
      </c>
      <c r="J25" s="137">
        <f>SKM!J25+SUKB!J26+UCT!J25+SPSSN!J25+IBA!J25+ÚVT!J25+VMU!J25+CJV!J25+CZS!J25+RMU!J25</f>
        <v>1943181</v>
      </c>
      <c r="K25" s="137">
        <f>SKM!K25+SUKB!K26+UCT!K25+SPSSN!K25+IBA!K25+ÚVT!K25+VMU!K25+CJV!K25+CZS!K25+RMU!K25</f>
        <v>0</v>
      </c>
      <c r="L25" s="195">
        <f>SKM!L25+SUKB!L26+UCT!L25+SPSSN!L25+IBA!L25+ÚVT!L25+VMU!L25+CJV!L25+CZS!L25+RMU!L25</f>
        <v>0</v>
      </c>
      <c r="M25" s="138">
        <f>SKM!M25+SUKB!M26+UCT!M25+SPSSN!M25+IBA!M25+ÚVT!M25+VMU!M25+CJV!M25+CZS!M25+RMU!M25</f>
        <v>4094961</v>
      </c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2"/>
        <v>1510000</v>
      </c>
      <c r="G26" s="130"/>
      <c r="H26" s="326">
        <f>SKM!H26+SUKB!H27+UCT!H26+SPSSN!H26+IBA!H26+ÚVT!H26+VMU!H26+CJV!H26+CZS!H26+RMU!H26</f>
        <v>1510000</v>
      </c>
      <c r="I26" s="137">
        <f>SKM!I26+SUKB!I27+UCT!I26+SPSSN!I26+IBA!I26+ÚVT!I26+VMU!I26+CJV!I26+CZS!I26+RMU!I26</f>
        <v>0</v>
      </c>
      <c r="J26" s="137">
        <f>SKM!J26+SUKB!J27+UCT!J26+SPSSN!J26+IBA!J26+ÚVT!J26+VMU!J26+CJV!J26+CZS!J26+RMU!J26</f>
        <v>0</v>
      </c>
      <c r="K26" s="137">
        <f>SKM!K26+SUKB!K27+UCT!K26+SPSSN!K26+IBA!K26+ÚVT!K26+VMU!K26+CJV!K26+CZS!K26+RMU!K26</f>
        <v>0</v>
      </c>
      <c r="L26" s="195">
        <f>SKM!L26+SUKB!L27+UCT!L26+SPSSN!L26+IBA!L26+ÚVT!L26+VMU!L26+CJV!L26+CZS!L26+RMU!L26</f>
        <v>0</v>
      </c>
      <c r="M26" s="138">
        <f>SKM!M26+SUKB!M27+UCT!M26+SPSSN!M26+IBA!M26+ÚVT!M26+VMU!M26+CJV!M26+CZS!M26+RMU!M26</f>
        <v>0</v>
      </c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52302900</v>
      </c>
      <c r="G27" s="130"/>
      <c r="H27" s="326">
        <f>SKM!H27+SUKB!H28+UCT!H27+SPSSN!H27+IBA!H27+ÚVT!H27+VMU!H27+CJV!H27+CZS!H27+RMU!H27</f>
        <v>52302900</v>
      </c>
      <c r="I27" s="327">
        <f>SKM!I27+SUKB!I28+UCT!I27+SPSSN!I27+IBA!I27+ÚVT!I27+VMU!I27+CJV!I27+CZS!I27+RMU!I27</f>
        <v>0</v>
      </c>
      <c r="J27" s="327">
        <f>SKM!J27+SUKB!J28+UCT!J27+SPSSN!J27+IBA!J27+ÚVT!J27+VMU!J27+CJV!J27+CZS!J27+RMU!J27</f>
        <v>0</v>
      </c>
      <c r="K27" s="327">
        <f>SKM!K27+SUKB!K28+UCT!K27+SPSSN!K27+IBA!K27+ÚVT!K27+VMU!K27+CJV!K27+CZS!K27+RMU!K27</f>
        <v>0</v>
      </c>
      <c r="L27" s="195">
        <f>SKM!L27+SUKB!L28+UCT!L27+SPSSN!L27+IBA!L27+ÚVT!L27+VMU!L27+CJV!L27+CZS!L27+RMU!L27</f>
        <v>0</v>
      </c>
      <c r="M27" s="138">
        <f>SKM!M27+SUKB!M28+UCT!M27+SPSSN!M27+IBA!M27+ÚVT!M27+VMU!M27+CJV!M27+CZS!M27+RMU!M27</f>
        <v>51127222</v>
      </c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 aca="true" t="shared" si="3" ref="F28:M28">SUM(F29:F45)</f>
        <v>979018031</v>
      </c>
      <c r="G28" s="114">
        <f t="shared" si="3"/>
        <v>0</v>
      </c>
      <c r="H28" s="115">
        <f t="shared" si="3"/>
        <v>891323744.18</v>
      </c>
      <c r="I28" s="116">
        <f t="shared" si="3"/>
        <v>62819364</v>
      </c>
      <c r="J28" s="116">
        <f t="shared" si="3"/>
        <v>19344922.82</v>
      </c>
      <c r="K28" s="116">
        <f t="shared" si="3"/>
        <v>5530000</v>
      </c>
      <c r="L28" s="115">
        <f t="shared" si="3"/>
        <v>0</v>
      </c>
      <c r="M28" s="117">
        <f t="shared" si="3"/>
        <v>865568252.23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330">
        <v>27</v>
      </c>
      <c r="F29" s="162">
        <f aca="true" t="shared" si="4" ref="F29:F45">SUM(H29:L29)</f>
        <v>376677273</v>
      </c>
      <c r="G29" s="119"/>
      <c r="H29" s="326">
        <f>SKM!H29+SUKB!H30+UCT!H29+SPSSN!H29+IBA!H29+ÚVT!H29+VMU!H29+CJV!H29+CZS!H29+RMU!H29</f>
        <v>375255000</v>
      </c>
      <c r="I29" s="137">
        <f>SKM!I29+SUKB!I30+UCT!I29+SPSSN!I29+IBA!I29+ÚVT!I29+VMU!I29+CJV!I29+CZS!I29+RMU!I29</f>
        <v>1422273</v>
      </c>
      <c r="J29" s="137">
        <f>SKM!J29+SUKB!J30+UCT!J29+SPSSN!J29+IBA!J29+ÚVT!J29+VMU!J29+CJV!J29+CZS!J29+RMU!J29</f>
        <v>0</v>
      </c>
      <c r="K29" s="137">
        <f>SKM!K29+SUKB!K30+UCT!K29+SPSSN!K29+IBA!K29+ÚVT!K29+VMU!K29+CJV!K29+CZS!K29+RMU!K29</f>
        <v>0</v>
      </c>
      <c r="L29" s="136">
        <f>SKM!L29+SUKB!L30+UCT!L29+SPSSN!L29+IBA!L29+ÚVT!L29+VMU!L29+CJV!L29+CZS!L29+RMU!L29</f>
        <v>0</v>
      </c>
      <c r="M29" s="122">
        <f>SKM!M29+SUKB!M30+UCT!M29+SPSSN!M29+IBA!M29+ÚVT!M29+VMU!M29+CJV!M29+CZS!M29+RMU!M29</f>
        <v>350215665</v>
      </c>
    </row>
    <row r="30" spans="1:13" s="37" customFormat="1" ht="12">
      <c r="A30" s="28"/>
      <c r="B30" s="47" t="s">
        <v>29</v>
      </c>
      <c r="C30" s="47"/>
      <c r="D30" s="47"/>
      <c r="E30" s="330">
        <v>28</v>
      </c>
      <c r="F30" s="164">
        <f t="shared" si="4"/>
        <v>0</v>
      </c>
      <c r="G30" s="135"/>
      <c r="H30" s="326">
        <f>SKM!H30+SUKB!H31+UCT!H30+SPSSN!H30+IBA!H30+ÚVT!H30+VMU!H30+CJV!H30+CZS!H30+RMU!H30</f>
        <v>0</v>
      </c>
      <c r="I30" s="137">
        <f>SKM!I30+SUKB!I31+UCT!I30+SPSSN!I30+IBA!I30+ÚVT!I30+VMU!I30+CJV!I30+CZS!I30+RMU!I30</f>
        <v>0</v>
      </c>
      <c r="J30" s="137">
        <f>SKM!J30+SUKB!J31+UCT!J30+SPSSN!J30+IBA!J30+ÚVT!J30+VMU!J30+CJV!J30+CZS!J30+RMU!J30</f>
        <v>0</v>
      </c>
      <c r="K30" s="137">
        <f>SKM!K30+SUKB!K31+UCT!K30+SPSSN!K30+IBA!K30+ÚVT!K30+VMU!K30+CJV!K30+CZS!K30+RMU!K30</f>
        <v>0</v>
      </c>
      <c r="L30" s="136">
        <f>SKM!L30+SUKB!L31+UCT!L30+SPSSN!L30+IBA!L30+ÚVT!L30+VMU!L30+CJV!L30+CZS!L30+RMU!L30</f>
        <v>0</v>
      </c>
      <c r="M30" s="138">
        <f>SKM!M30+SUKB!M31+UCT!M30+SPSSN!M30+IBA!M30+ÚVT!M30+VMU!M30+CJV!M30+CZS!M30+RMU!M30</f>
        <v>0</v>
      </c>
    </row>
    <row r="31" spans="1:13" s="37" customFormat="1" ht="12">
      <c r="A31" s="28"/>
      <c r="B31" s="47" t="s">
        <v>31</v>
      </c>
      <c r="C31" s="47"/>
      <c r="D31" s="47"/>
      <c r="E31" s="330">
        <v>29</v>
      </c>
      <c r="F31" s="164">
        <f t="shared" si="4"/>
        <v>26000000</v>
      </c>
      <c r="G31" s="135"/>
      <c r="H31" s="326">
        <f>SKM!H31+SUKB!H32+UCT!H31+SPSSN!H31+IBA!H31+ÚVT!H31+VMU!H31+CJV!H31+CZS!H31+RMU!H31</f>
        <v>25319000</v>
      </c>
      <c r="I31" s="137">
        <f>SKM!I31+SUKB!I32+UCT!I31+SPSSN!I31+IBA!I31+ÚVT!I31+VMU!I31+CJV!I31+CZS!I31+RMU!I31</f>
        <v>0</v>
      </c>
      <c r="J31" s="137">
        <f>SKM!J31+SUKB!J32+UCT!J31+SPSSN!J31+IBA!J31+ÚVT!J31+VMU!J31+CJV!J31+CZS!J31+RMU!J31</f>
        <v>681000</v>
      </c>
      <c r="K31" s="137">
        <f>SKM!K31+SUKB!K32+UCT!K31+SPSSN!K31+IBA!K31+ÚVT!K31+VMU!K31+CJV!K31+CZS!K31+RMU!K31</f>
        <v>0</v>
      </c>
      <c r="L31" s="136">
        <f>SKM!L31+SUKB!L32+UCT!L31+SPSSN!L31+IBA!L31+ÚVT!L31+VMU!L31+CJV!L31+CZS!L31+RMU!L31</f>
        <v>0</v>
      </c>
      <c r="M31" s="138">
        <f>SKM!M31+SUKB!M32+UCT!M31+SPSSN!M31+IBA!M31+ÚVT!M31+VMU!M31+CJV!M31+CZS!M31+RMU!M31</f>
        <v>25857890.76</v>
      </c>
    </row>
    <row r="32" spans="1:13" s="37" customFormat="1" ht="12">
      <c r="A32" s="28"/>
      <c r="B32" s="48" t="s">
        <v>33</v>
      </c>
      <c r="C32" s="49"/>
      <c r="D32" s="49"/>
      <c r="E32" s="331">
        <v>30</v>
      </c>
      <c r="F32" s="164">
        <f t="shared" si="4"/>
        <v>54327000</v>
      </c>
      <c r="G32" s="135"/>
      <c r="H32" s="326">
        <f>SKM!H32+SUKB!H33+UCT!H32+SPSSN!H32+IBA!H32+ÚVT!H32+VMU!H32+CJV!H32+CZS!H32+RMU!H32</f>
        <v>54327000</v>
      </c>
      <c r="I32" s="137">
        <f>SKM!I32+SUKB!I33+UCT!I32+SPSSN!I32+IBA!I32+ÚVT!I32+VMU!I32+CJV!I32+CZS!I32+RMU!I32</f>
        <v>0</v>
      </c>
      <c r="J32" s="137">
        <f>SKM!J32+SUKB!J33+UCT!J32+SPSSN!J32+IBA!J32+ÚVT!J32+VMU!J32+CJV!J32+CZS!J32+RMU!J32</f>
        <v>0</v>
      </c>
      <c r="K32" s="137">
        <f>SKM!K32+SUKB!K33+UCT!K32+SPSSN!K32+IBA!K32+ÚVT!K32+VMU!K32+CJV!K32+CZS!K32+RMU!K32</f>
        <v>0</v>
      </c>
      <c r="L32" s="136">
        <f>SKM!L32+SUKB!L33+UCT!L32+SPSSN!L32+IBA!L32+ÚVT!L32+VMU!L32+CJV!L32+CZS!L32+RMU!L32</f>
        <v>0</v>
      </c>
      <c r="M32" s="138">
        <f>SKM!M32+SUKB!M33+UCT!M32+SPSSN!M32+IBA!M32+ÚVT!M32+VMU!M32+CJV!M32+CZS!M32+RMU!M32</f>
        <v>41664204</v>
      </c>
    </row>
    <row r="33" spans="1:13" s="37" customFormat="1" ht="12">
      <c r="A33" s="28"/>
      <c r="B33" s="48" t="s">
        <v>35</v>
      </c>
      <c r="C33" s="48"/>
      <c r="D33" s="48"/>
      <c r="E33" s="331">
        <v>31</v>
      </c>
      <c r="F33" s="164">
        <f t="shared" si="4"/>
        <v>0</v>
      </c>
      <c r="G33" s="135"/>
      <c r="H33" s="326">
        <f>SKM!H33+SUKB!H34+UCT!H33+SPSSN!H33+IBA!H33+ÚVT!H33+VMU!H33+CJV!H33+CZS!H33+RMU!H33</f>
        <v>0</v>
      </c>
      <c r="I33" s="137">
        <f>SKM!I33+SUKB!I34+UCT!I33+SPSSN!I33+IBA!I33+ÚVT!I33+VMU!I33+CJV!I33+CZS!I33+RMU!I33</f>
        <v>0</v>
      </c>
      <c r="J33" s="137">
        <f>SKM!J33+SUKB!J34+UCT!J33+SPSSN!J33+IBA!J33+ÚVT!J33+VMU!J33+CJV!J33+CZS!J33+RMU!J33</f>
        <v>0</v>
      </c>
      <c r="K33" s="137">
        <f>SKM!K33+SUKB!K34+UCT!K33+SPSSN!K33+IBA!K33+ÚVT!K33+VMU!K33+CJV!K33+CZS!K33+RMU!K33</f>
        <v>0</v>
      </c>
      <c r="L33" s="136">
        <f>SKM!L33+SUKB!L34+UCT!L33+SPSSN!L33+IBA!L33+ÚVT!L33+VMU!L33+CJV!L33+CZS!L33+RMU!L33</f>
        <v>0</v>
      </c>
      <c r="M33" s="138">
        <f>SKM!M33+SUKB!M34+UCT!M33+SPSSN!M33+IBA!M33+ÚVT!M33+VMU!M33+CJV!M33+CZS!M33+RMU!M33</f>
        <v>0</v>
      </c>
    </row>
    <row r="34" spans="1:13" s="37" customFormat="1" ht="12">
      <c r="A34" s="28"/>
      <c r="B34" s="48" t="s">
        <v>55</v>
      </c>
      <c r="C34" s="48"/>
      <c r="D34" s="48"/>
      <c r="E34" s="331">
        <v>32</v>
      </c>
      <c r="F34" s="164">
        <f t="shared" si="4"/>
        <v>123834000</v>
      </c>
      <c r="G34" s="135"/>
      <c r="H34" s="326">
        <f>SKM!H34+SUKB!H35+UCT!H34+SPSSN!H34+IBA!H34+ÚVT!H34+VMU!H34+CJV!H34+CZS!H34+RMU!H34</f>
        <v>123834000</v>
      </c>
      <c r="I34" s="137">
        <f>SKM!I34+SUKB!I35+UCT!I34+SPSSN!I34+IBA!I34+ÚVT!I34+VMU!I34+CJV!I34+CZS!I34+RMU!I34</f>
        <v>0</v>
      </c>
      <c r="J34" s="137">
        <f>SKM!J34+SUKB!J35+UCT!J34+SPSSN!J34+IBA!J34+ÚVT!J34+VMU!J34+CJV!J34+CZS!J34+RMU!J34</f>
        <v>0</v>
      </c>
      <c r="K34" s="137">
        <f>SKM!K34+SUKB!K35+UCT!K34+SPSSN!K34+IBA!K34+ÚVT!K34+VMU!K34+CJV!K34+CZS!K34+RMU!K34</f>
        <v>0</v>
      </c>
      <c r="L34" s="136">
        <f>SKM!L34+SUKB!L35+UCT!L34+SPSSN!L34+IBA!L34+ÚVT!L34+VMU!L34+CJV!L34+CZS!L34+RMU!L34</f>
        <v>0</v>
      </c>
      <c r="M34" s="138">
        <f>SKM!M34+SUKB!M35+UCT!M34+SPSSN!M34+IBA!M34+ÚVT!M34+VMU!M34+CJV!M34+CZS!M34+RMU!M34</f>
        <v>103207037</v>
      </c>
    </row>
    <row r="35" spans="1:13" s="37" customFormat="1" ht="12">
      <c r="A35" s="28"/>
      <c r="B35" s="48" t="s">
        <v>37</v>
      </c>
      <c r="C35" s="48"/>
      <c r="D35" s="48"/>
      <c r="E35" s="331">
        <v>33</v>
      </c>
      <c r="F35" s="164">
        <f t="shared" si="4"/>
        <v>1000000</v>
      </c>
      <c r="G35" s="135"/>
      <c r="H35" s="326">
        <f>SKM!H35+SUKB!H36+UCT!H35+SPSSN!H35+IBA!H35+ÚVT!H35+VMU!H35+CJV!H35+CZS!H35+RMU!H35</f>
        <v>1000000</v>
      </c>
      <c r="I35" s="137">
        <f>SKM!I35+SUKB!I36+UCT!I35+SPSSN!I35+IBA!I35+ÚVT!I35+VMU!I35+CJV!I35+CZS!I35+RMU!I35</f>
        <v>0</v>
      </c>
      <c r="J35" s="137">
        <f>SKM!J35+SUKB!J36+UCT!J35+SPSSN!J35+IBA!J35+ÚVT!J35+VMU!J35+CJV!J35+CZS!J35+RMU!J35</f>
        <v>0</v>
      </c>
      <c r="K35" s="137">
        <f>SKM!K35+SUKB!K36+UCT!K35+SPSSN!K35+IBA!K35+ÚVT!K35+VMU!K35+CJV!K35+CZS!K35+RMU!K35</f>
        <v>0</v>
      </c>
      <c r="L35" s="136">
        <f>SKM!L35+SUKB!L36+UCT!L35+SPSSN!L35+IBA!L35+ÚVT!L35+VMU!L35+CJV!L35+CZS!L35+RMU!L35</f>
        <v>0</v>
      </c>
      <c r="M35" s="138">
        <f>SKM!M35+SUKB!M36+UCT!M35+SPSSN!M35+IBA!M35+ÚVT!M35+VMU!M35+CJV!M35+CZS!M35+RMU!M35</f>
        <v>4523549</v>
      </c>
    </row>
    <row r="36" spans="1:13" s="37" customFormat="1" ht="12">
      <c r="A36" s="28"/>
      <c r="B36" s="48" t="s">
        <v>39</v>
      </c>
      <c r="C36" s="48"/>
      <c r="D36" s="48"/>
      <c r="E36" s="331">
        <v>34</v>
      </c>
      <c r="F36" s="164">
        <f t="shared" si="4"/>
        <v>19009546</v>
      </c>
      <c r="G36" s="135"/>
      <c r="H36" s="326">
        <f>SKM!H36+SUKB!H37+UCT!H36+SPSSN!H36+IBA!H36+ÚVT!H36+VMU!H36+CJV!H36+CZS!H36+RMU!H36</f>
        <v>19009546</v>
      </c>
      <c r="I36" s="137">
        <f>SKM!I36+SUKB!I37+UCT!I36+SPSSN!I36+IBA!I36+ÚVT!I36+VMU!I36+CJV!I36+CZS!I36+RMU!I36</f>
        <v>0</v>
      </c>
      <c r="J36" s="137">
        <f>SKM!J36+SUKB!J37+UCT!J36+SPSSN!J36+IBA!J36+ÚVT!J36+VMU!J36+CJV!J36+CZS!J36+RMU!J36</f>
        <v>0</v>
      </c>
      <c r="K36" s="137">
        <f>SKM!K36+SUKB!K37+UCT!K36+SPSSN!K36+IBA!K36+ÚVT!K36+VMU!K36+CJV!K36+CZS!K36+RMU!K36</f>
        <v>0</v>
      </c>
      <c r="L36" s="136">
        <f>SKM!L36+SUKB!L37+UCT!L36+SPSSN!L36+IBA!L36+ÚVT!L36+VMU!L36+CJV!L36+CZS!L36+RMU!L36</f>
        <v>0</v>
      </c>
      <c r="M36" s="138">
        <f>SKM!M36+SUKB!M37+UCT!M36+SPSSN!M36+IBA!M36+ÚVT!M36+VMU!M36+CJV!M36+CZS!M36+RMU!M36</f>
        <v>7749270</v>
      </c>
    </row>
    <row r="37" spans="1:13" s="37" customFormat="1" ht="12">
      <c r="A37" s="28"/>
      <c r="B37" s="48" t="s">
        <v>57</v>
      </c>
      <c r="C37" s="48"/>
      <c r="D37" s="48"/>
      <c r="E37" s="331">
        <v>35</v>
      </c>
      <c r="F37" s="164">
        <f t="shared" si="4"/>
        <v>23695440</v>
      </c>
      <c r="G37" s="135"/>
      <c r="H37" s="326">
        <f>SKM!H37+SUKB!H38+UCT!H37+SPSSN!H37+IBA!H37+ÚVT!H37+VMU!H37+CJV!H37+CZS!H37+RMU!H37</f>
        <v>15962158.18</v>
      </c>
      <c r="I37" s="137">
        <f>SKM!I37+SUKB!I38+UCT!I37+SPSSN!I37+IBA!I37+ÚVT!I37+VMU!I37+CJV!I37+CZS!I37+RMU!I37</f>
        <v>0</v>
      </c>
      <c r="J37" s="137">
        <f>SKM!J37+SUKB!J38+UCT!J37+SPSSN!J37+IBA!J37+ÚVT!J37+VMU!J37+CJV!J37+CZS!J37+RMU!J37</f>
        <v>7733281.82</v>
      </c>
      <c r="K37" s="137">
        <f>SKM!K37+SUKB!K38+UCT!K37+SPSSN!K37+IBA!K37+ÚVT!K37+VMU!K37+CJV!K37+CZS!K37+RMU!K37</f>
        <v>0</v>
      </c>
      <c r="L37" s="136">
        <f>SKM!L37+SUKB!L38+UCT!L37+SPSSN!L37+IBA!L37+ÚVT!L37+VMU!L37+CJV!L37+CZS!L37+RMU!L37</f>
        <v>0</v>
      </c>
      <c r="M37" s="138">
        <f>SKM!M37+SUKB!M38+UCT!M37+SPSSN!M37+IBA!M37+ÚVT!M37+VMU!M37+CJV!M37+CZS!M37+RMU!M37</f>
        <v>20672628.84</v>
      </c>
    </row>
    <row r="38" spans="1:13" s="37" customFormat="1" ht="12">
      <c r="A38" s="28"/>
      <c r="B38" s="48" t="s">
        <v>58</v>
      </c>
      <c r="C38" s="48"/>
      <c r="D38" s="48"/>
      <c r="E38" s="331">
        <v>36</v>
      </c>
      <c r="F38" s="164">
        <f t="shared" si="4"/>
        <v>0</v>
      </c>
      <c r="G38" s="135"/>
      <c r="H38" s="326">
        <f>SKM!H38+SUKB!H39+UCT!H38+SPSSN!H38+IBA!H38+ÚVT!H38+VMU!H38+CJV!H38+CZS!H38+RMU!H38</f>
        <v>0</v>
      </c>
      <c r="I38" s="137">
        <f>SKM!I38+SUKB!I39+UCT!I38+SPSSN!I38+IBA!I38+ÚVT!I38+VMU!I38+CJV!I38+CZS!I38+RMU!I38</f>
        <v>0</v>
      </c>
      <c r="J38" s="137">
        <f>SKM!J38+SUKB!J39+UCT!J38+SPSSN!J38+IBA!J38+ÚVT!J38+VMU!J38+CJV!J38+CZS!J38+RMU!J38</f>
        <v>0</v>
      </c>
      <c r="K38" s="137">
        <f>SKM!K38+SUKB!K39+UCT!K38+SPSSN!K38+IBA!K38+ÚVT!K38+VMU!K38+CJV!K38+CZS!K38+RMU!K38</f>
        <v>0</v>
      </c>
      <c r="L38" s="136">
        <f>SKM!L38+SUKB!L39+UCT!L38+SPSSN!L38+IBA!L38+ÚVT!L38+VMU!L38+CJV!L38+CZS!L38+RMU!L38</f>
        <v>0</v>
      </c>
      <c r="M38" s="138">
        <f>SKM!M38+SUKB!M39+UCT!M38+SPSSN!M38+IBA!M38+ÚVT!M38+VMU!M38+CJV!M38+CZS!M38+RMU!M38</f>
        <v>0</v>
      </c>
    </row>
    <row r="39" spans="1:13" s="37" customFormat="1" ht="12">
      <c r="A39" s="28"/>
      <c r="B39" s="48" t="s">
        <v>60</v>
      </c>
      <c r="C39" s="48"/>
      <c r="D39" s="48"/>
      <c r="E39" s="331">
        <v>37</v>
      </c>
      <c r="F39" s="164">
        <f t="shared" si="4"/>
        <v>0</v>
      </c>
      <c r="G39" s="135"/>
      <c r="H39" s="326">
        <f>SKM!H39+SUKB!H40+UCT!H39+SPSSN!H39+IBA!H39+ÚVT!H39+VMU!H39+CJV!H39+CZS!H39+RMU!H39</f>
        <v>0</v>
      </c>
      <c r="I39" s="137">
        <f>SKM!I39+SUKB!I40+UCT!I39+SPSSN!I39+IBA!I39+ÚVT!I39+VMU!I39+CJV!I39+CZS!I39+RMU!I39</f>
        <v>0</v>
      </c>
      <c r="J39" s="137">
        <f>SKM!J39+SUKB!J40+UCT!J39+SPSSN!J39+IBA!J39+ÚVT!J39+VMU!J39+CJV!J39+CZS!J39+RMU!J39</f>
        <v>0</v>
      </c>
      <c r="K39" s="137">
        <f>SKM!K39+SUKB!K40+UCT!K39+SPSSN!K39+IBA!K39+ÚVT!K39+VMU!K39+CJV!K39+CZS!K39+RMU!K39</f>
        <v>0</v>
      </c>
      <c r="L39" s="136">
        <f>SKM!L39+SUKB!L40+UCT!L39+SPSSN!L39+IBA!L39+ÚVT!L39+VMU!L39+CJV!L39+CZS!L39+RMU!L39</f>
        <v>0</v>
      </c>
      <c r="M39" s="138">
        <f>SKM!M39+SUKB!M40+UCT!M39+SPSSN!M39+IBA!M39+ÚVT!M39+VMU!M39+CJV!M39+CZS!M39+RMU!M39</f>
        <v>1111137</v>
      </c>
    </row>
    <row r="40" spans="1:13" s="37" customFormat="1" ht="12">
      <c r="A40" s="28"/>
      <c r="B40" s="48" t="s">
        <v>61</v>
      </c>
      <c r="C40" s="48"/>
      <c r="D40" s="48"/>
      <c r="E40" s="331">
        <v>38</v>
      </c>
      <c r="F40" s="164">
        <f t="shared" si="4"/>
        <v>10954000</v>
      </c>
      <c r="G40" s="135"/>
      <c r="H40" s="326">
        <f>SKM!H40+SUKB!H41+UCT!H40+SPSSN!H40+IBA!H40+ÚVT!H40+VMU!H40+CJV!H40+CZS!H40+RMU!H40</f>
        <v>10954000</v>
      </c>
      <c r="I40" s="137">
        <f>SKM!I40+SUKB!I41+UCT!I40+SPSSN!I40+IBA!I40+ÚVT!I40+VMU!I40+CJV!I40+CZS!I40+RMU!I40</f>
        <v>0</v>
      </c>
      <c r="J40" s="137">
        <f>SKM!J40+SUKB!J41+UCT!J40+SPSSN!J40+IBA!J40+ÚVT!J40+VMU!J40+CJV!J40+CZS!J40+RMU!J40</f>
        <v>0</v>
      </c>
      <c r="K40" s="137">
        <f>SKM!K40+SUKB!K41+UCT!K40+SPSSN!K40+IBA!K40+ÚVT!K40+VMU!K40+CJV!K40+CZS!K40+RMU!K40</f>
        <v>0</v>
      </c>
      <c r="L40" s="136">
        <f>SKM!L40+SUKB!L41+UCT!L40+SPSSN!L40+IBA!L40+ÚVT!L40+VMU!L40+CJV!L40+CZS!L40+RMU!L40</f>
        <v>0</v>
      </c>
      <c r="M40" s="138">
        <f>SKM!M40+SUKB!M41+UCT!M40+SPSSN!M40+IBA!M40+ÚVT!M40+VMU!M40+CJV!M40+CZS!M40+RMU!M40</f>
        <v>12178087</v>
      </c>
    </row>
    <row r="41" spans="1:13" s="37" customFormat="1" ht="12">
      <c r="A41" s="28"/>
      <c r="B41" s="48" t="s">
        <v>46</v>
      </c>
      <c r="C41" s="48"/>
      <c r="D41" s="48"/>
      <c r="E41" s="331">
        <v>39</v>
      </c>
      <c r="F41" s="164">
        <f t="shared" si="4"/>
        <v>3943181</v>
      </c>
      <c r="G41" s="135"/>
      <c r="H41" s="326">
        <f>SKM!H41+SUKB!H42+UCT!H41+SPSSN!H41+IBA!H41+ÚVT!H41+VMU!H41+CJV!H41+CZS!H41+RMU!H41</f>
        <v>2000000</v>
      </c>
      <c r="I41" s="137">
        <f>SKM!I41+SUKB!I42+UCT!I41+SPSSN!I41+IBA!I41+ÚVT!I41+VMU!I41+CJV!I41+CZS!I41+RMU!I41</f>
        <v>0</v>
      </c>
      <c r="J41" s="137">
        <f>SKM!J41+SUKB!J42+UCT!J41+SPSSN!J41+IBA!J41+ÚVT!J41+VMU!J41+CJV!J41+CZS!J41+RMU!J41</f>
        <v>1943181</v>
      </c>
      <c r="K41" s="137">
        <f>SKM!K41+SUKB!K42+UCT!K41+SPSSN!K41+IBA!K41+ÚVT!K41+VMU!K41+CJV!K41+CZS!K41+RMU!K41</f>
        <v>0</v>
      </c>
      <c r="L41" s="136">
        <f>SKM!L41+SUKB!L42+UCT!L41+SPSSN!L41+IBA!L41+ÚVT!L41+VMU!L41+CJV!L41+CZS!L41+RMU!L41</f>
        <v>0</v>
      </c>
      <c r="M41" s="138">
        <f>SKM!M41+SUKB!M42+UCT!M41+SPSSN!M41+IBA!M41+ÚVT!M41+VMU!M41+CJV!M41+CZS!M41+RMU!M41</f>
        <v>4094961</v>
      </c>
    </row>
    <row r="42" spans="1:13" s="37" customFormat="1" ht="12">
      <c r="A42" s="28"/>
      <c r="B42" s="48" t="s">
        <v>62</v>
      </c>
      <c r="C42" s="48"/>
      <c r="D42" s="48"/>
      <c r="E42" s="331">
        <v>40</v>
      </c>
      <c r="F42" s="164">
        <f t="shared" si="4"/>
        <v>1510000</v>
      </c>
      <c r="G42" s="135"/>
      <c r="H42" s="326">
        <f>SKM!H42+SUKB!H43+UCT!H42+SPSSN!H42+IBA!H42+ÚVT!H42+VMU!H42+CJV!H42+CZS!H42+RMU!H42</f>
        <v>1510000</v>
      </c>
      <c r="I42" s="137">
        <f>SKM!I42+SUKB!I43+UCT!I42+SPSSN!I42+IBA!I42+ÚVT!I42+VMU!I42+CJV!I42+CZS!I42+RMU!I42</f>
        <v>0</v>
      </c>
      <c r="J42" s="137">
        <f>SKM!J42+SUKB!J43+UCT!J42+SPSSN!J42+IBA!J42+ÚVT!J42+VMU!J42+CJV!J42+CZS!J42+RMU!J42</f>
        <v>0</v>
      </c>
      <c r="K42" s="137">
        <f>SKM!K42+SUKB!K43+UCT!K42+SPSSN!K42+IBA!K42+ÚVT!K42+VMU!K42+CJV!K42+CZS!K42+RMU!K42</f>
        <v>0</v>
      </c>
      <c r="L42" s="136">
        <f>SKM!L42+SUKB!L43+UCT!L42+SPSSN!L42+IBA!L42+ÚVT!L42+VMU!L42+CJV!L42+CZS!L42+RMU!L42</f>
        <v>0</v>
      </c>
      <c r="M42" s="138">
        <f>SKM!M42+SUKB!M43+UCT!M42+SPSSN!M42+IBA!M42+ÚVT!M42+VMU!M42+CJV!M42+CZS!M42+RMU!M42</f>
        <v>0</v>
      </c>
    </row>
    <row r="43" spans="1:13" s="37" customFormat="1" ht="12">
      <c r="A43" s="28"/>
      <c r="B43" s="48" t="s">
        <v>63</v>
      </c>
      <c r="C43" s="48"/>
      <c r="D43" s="48"/>
      <c r="E43" s="331">
        <v>41</v>
      </c>
      <c r="F43" s="164">
        <f t="shared" si="4"/>
        <v>203744000</v>
      </c>
      <c r="G43" s="135"/>
      <c r="H43" s="326">
        <f>SKM!H43+SUKB!H44+UCT!H43+SPSSN!H43+IBA!H43+ÚVT!H43+VMU!H43+CJV!H43+CZS!H43+RMU!H43</f>
        <v>203716540</v>
      </c>
      <c r="I43" s="137">
        <f>SKM!I43+SUKB!I44+UCT!I43+SPSSN!I43+IBA!I43+ÚVT!I43+VMU!I43+CJV!I43+CZS!I43+RMU!I43</f>
        <v>0</v>
      </c>
      <c r="J43" s="137">
        <f>SKM!J43+SUKB!J44+UCT!J43+SPSSN!J43+IBA!J43+ÚVT!J43+VMU!J43+CJV!J43+CZS!J43+RMU!J43</f>
        <v>27460</v>
      </c>
      <c r="K43" s="137">
        <f>SKM!K43+SUKB!K44+UCT!K43+SPSSN!K43+IBA!K43+ÚVT!K43+VMU!K43+CJV!K43+CZS!K43+RMU!K43</f>
        <v>0</v>
      </c>
      <c r="L43" s="136">
        <f>SKM!L43+SUKB!L44+UCT!L43+SPSSN!L43+IBA!L43+ÚVT!L43+VMU!L43+CJV!L43+CZS!L43+RMU!L43</f>
        <v>0</v>
      </c>
      <c r="M43" s="138">
        <f>SKM!M43+SUKB!M44+UCT!M43+SPSSN!M43+IBA!M43+ÚVT!M43+VMU!M43+CJV!M43+CZS!M43+RMU!M43</f>
        <v>182404483.63</v>
      </c>
    </row>
    <row r="44" spans="1:13" s="37" customFormat="1" ht="12">
      <c r="A44" s="28"/>
      <c r="B44" s="48" t="s">
        <v>64</v>
      </c>
      <c r="C44" s="48"/>
      <c r="D44" s="48"/>
      <c r="E44" s="331">
        <v>42</v>
      </c>
      <c r="F44" s="164">
        <f t="shared" si="4"/>
        <v>75887091</v>
      </c>
      <c r="G44" s="135"/>
      <c r="H44" s="326"/>
      <c r="I44" s="137">
        <f>SKM!I44+SUKB!I45+UCT!I44+SPSSN!I44+IBA!I44+ÚVT!I44+VMU!I44+CJV!I44+CZS!I44+RMU!I44</f>
        <v>61397091</v>
      </c>
      <c r="J44" s="137">
        <f>SKM!J44+SUKB!J45+UCT!J44+SPSSN!J44+IBA!J44+ÚVT!J44+VMU!J44+CJV!J44+CZS!J44+RMU!J44</f>
        <v>8960000</v>
      </c>
      <c r="K44" s="137">
        <f>SKM!K44+SUKB!K45+UCT!K44+SPSSN!K44+IBA!K44+ÚVT!K44+VMU!K44+CJV!K44+CZS!K44+RMU!K44</f>
        <v>5530000</v>
      </c>
      <c r="L44" s="136">
        <f>SKM!L44+SUKB!L45+UCT!L44+SPSSN!L44+IBA!L44+ÚVT!L44+VMU!L44+CJV!L44+CZS!L44+RMU!L44</f>
        <v>0</v>
      </c>
      <c r="M44" s="138">
        <f>SKM!M44+SUKB!M45+UCT!M44+SPSSN!M44+IBA!M44+ÚVT!M44+VMU!M44+CJV!M44+CZS!M44+RMU!M44</f>
        <v>47414607</v>
      </c>
    </row>
    <row r="45" spans="1:13" s="37" customFormat="1" ht="12">
      <c r="A45" s="65"/>
      <c r="B45" s="66" t="s">
        <v>50</v>
      </c>
      <c r="C45" s="66"/>
      <c r="D45" s="66"/>
      <c r="E45" s="332">
        <v>43</v>
      </c>
      <c r="F45" s="165">
        <f t="shared" si="4"/>
        <v>58436500</v>
      </c>
      <c r="G45" s="141"/>
      <c r="H45" s="328">
        <f>SKM!H45+SUKB!H46+UCT!H45+SPSSN!H45+IBA!H45+ÚVT!H45+VMU!H45+CJV!H45+CZS!H45+RMU!H45</f>
        <v>58436500</v>
      </c>
      <c r="I45" s="143">
        <f>SKM!I45+SUKB!I46+UCT!I45+SPSSN!I45+IBA!I45+ÚVT!I45+VMU!I45+CJV!I45+CZS!I45+RMU!I45</f>
        <v>0</v>
      </c>
      <c r="J45" s="143">
        <f>SKM!J45+SUKB!J46+UCT!J45+SPSSN!J45+IBA!J45+ÚVT!J45+VMU!J45+CJV!J45+CZS!J45+RMU!J45</f>
        <v>0</v>
      </c>
      <c r="K45" s="143">
        <f>SKM!K45+SUKB!K46+UCT!K45+SPSSN!K45+IBA!K45+ÚVT!K45+VMU!K45+CJV!K45+CZS!K45+RMU!K45</f>
        <v>0</v>
      </c>
      <c r="L45" s="142">
        <f>SKM!L45+SUKB!L46+UCT!L45+SPSSN!L45+IBA!L45+ÚVT!L45+VMU!L45+CJV!L45+CZS!L45+RMU!L45</f>
        <v>0</v>
      </c>
      <c r="M45" s="144">
        <f>SKM!M45+SUKB!M46+UCT!M45+SPSSN!M45+IBA!M45+ÚVT!M45+VMU!M45+CJV!M45+CZS!M45+RMU!M45</f>
        <v>64474732</v>
      </c>
    </row>
    <row r="46" spans="1:13" s="37" customFormat="1" ht="12.75" thickBot="1">
      <c r="A46" s="73" t="s">
        <v>66</v>
      </c>
      <c r="B46" s="74"/>
      <c r="C46" s="74"/>
      <c r="D46" s="74"/>
      <c r="E46" s="330">
        <v>44</v>
      </c>
      <c r="F46" s="147">
        <f>F29+F34+F38+F43+F44+F45-F4-F27</f>
        <v>20319400</v>
      </c>
      <c r="G46" s="146">
        <f>G29+G34+G38+G43+G44+G45+-G4-G27</f>
        <v>0</v>
      </c>
      <c r="H46" s="146">
        <f>H29+H34+H38+H43+H45-H4-H27</f>
        <v>20319400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25354566.01999998</v>
      </c>
    </row>
    <row r="47" spans="1:13" ht="13.5" thickBot="1">
      <c r="A47" s="54" t="s">
        <v>67</v>
      </c>
      <c r="B47" s="55"/>
      <c r="C47" s="55"/>
      <c r="D47" s="55"/>
      <c r="E47" s="333">
        <v>45</v>
      </c>
      <c r="F47" s="161">
        <f aca="true" t="shared" si="5" ref="F47:M47">F28-F3</f>
        <v>14319400</v>
      </c>
      <c r="G47" s="114">
        <f t="shared" si="5"/>
        <v>0</v>
      </c>
      <c r="H47" s="115">
        <f t="shared" si="5"/>
        <v>14319400</v>
      </c>
      <c r="I47" s="116">
        <f t="shared" si="5"/>
        <v>0</v>
      </c>
      <c r="J47" s="116">
        <f t="shared" si="5"/>
        <v>0</v>
      </c>
      <c r="K47" s="116">
        <f t="shared" si="5"/>
        <v>0</v>
      </c>
      <c r="L47" s="115">
        <f t="shared" si="5"/>
        <v>0</v>
      </c>
      <c r="M47" s="117">
        <f t="shared" si="5"/>
        <v>25354565.01999998</v>
      </c>
    </row>
    <row r="48" spans="1:5" ht="12.75">
      <c r="A48" s="80"/>
      <c r="B48" s="80"/>
      <c r="C48" s="80"/>
      <c r="D48" s="80"/>
      <c r="E48" s="81"/>
    </row>
    <row r="49" spans="5:13" s="80" customFormat="1" ht="12"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>
      <c r="A50" s="84" t="s">
        <v>100</v>
      </c>
      <c r="E50" s="81"/>
      <c r="F50" s="167"/>
      <c r="H50" s="92"/>
      <c r="J50" s="156">
        <f>SKM!J50+SUKB!J51+UCT!J50+SPSSN!J50+IBA!J50+ÚVT!J50+VMU!J50+CJV!J50+CZS!J50+RMU!J50</f>
        <v>0</v>
      </c>
      <c r="L50" s="92"/>
      <c r="M50" s="92"/>
    </row>
    <row r="51" spans="5:13" s="84" customFormat="1" ht="12">
      <c r="E51" s="86"/>
      <c r="F51" s="168"/>
      <c r="H51" s="108"/>
      <c r="I51" s="108"/>
      <c r="J51" s="108"/>
      <c r="K51" s="108"/>
      <c r="L51" s="108"/>
      <c r="M51" s="108"/>
    </row>
    <row r="52" spans="5:13" s="84" customFormat="1" ht="12">
      <c r="E52" s="86"/>
      <c r="F52" s="168"/>
      <c r="H52" s="108"/>
      <c r="I52" s="108"/>
      <c r="J52" s="108"/>
      <c r="K52" s="108"/>
      <c r="L52" s="108"/>
      <c r="M52" s="108"/>
    </row>
    <row r="53" spans="5:13" s="84" customFormat="1" ht="12">
      <c r="E53" s="86"/>
      <c r="F53" s="168"/>
      <c r="H53" s="108"/>
      <c r="I53" s="108"/>
      <c r="J53" s="108"/>
      <c r="K53" s="108"/>
      <c r="L53" s="108"/>
      <c r="M53" s="108"/>
    </row>
    <row r="54" spans="1:13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</row>
    <row r="55" spans="1:6" s="92" customFormat="1" ht="12">
      <c r="A55" s="84"/>
      <c r="B55" s="84"/>
      <c r="C55" s="84"/>
      <c r="D55" s="84"/>
      <c r="E55" s="90"/>
      <c r="F55" s="37"/>
    </row>
    <row r="56" spans="1:6" s="92" customFormat="1" ht="12">
      <c r="A56" s="84"/>
      <c r="B56" s="84"/>
      <c r="C56" s="84"/>
      <c r="D56" s="84"/>
      <c r="E56" s="90"/>
      <c r="F56" s="37"/>
    </row>
    <row r="57" spans="1:6" s="92" customFormat="1" ht="12">
      <c r="A57" s="84"/>
      <c r="B57" s="84"/>
      <c r="C57" s="84"/>
      <c r="D57" s="84"/>
      <c r="E57" s="90"/>
      <c r="F57" s="37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6">
      <selection activeCell="D45" sqref="D45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55.25390625" style="82" customWidth="1"/>
    <col min="7" max="7" width="10.00390625" style="18" customWidth="1"/>
    <col min="8" max="8" width="5.125" style="0" hidden="1" customWidth="1"/>
    <col min="9" max="9" width="7.625" style="83" customWidth="1"/>
    <col min="10" max="12" width="8.00390625" style="83" customWidth="1"/>
    <col min="13" max="13" width="8.125" style="83" customWidth="1"/>
    <col min="14" max="14" width="11.75390625" style="83" customWidth="1"/>
  </cols>
  <sheetData>
    <row r="1" spans="1:14" ht="15.75" customHeight="1">
      <c r="A1" s="425" t="s">
        <v>0</v>
      </c>
      <c r="B1" s="426"/>
      <c r="C1" s="426"/>
      <c r="D1" s="427"/>
      <c r="E1" s="1"/>
      <c r="F1" s="2"/>
      <c r="G1" s="3" t="s">
        <v>1</v>
      </c>
      <c r="H1" s="4" t="s">
        <v>2</v>
      </c>
      <c r="I1" s="5" t="s">
        <v>3</v>
      </c>
      <c r="J1" s="441" t="s">
        <v>4</v>
      </c>
      <c r="K1" s="442"/>
      <c r="L1" s="442"/>
      <c r="M1" s="443"/>
      <c r="N1" s="6" t="s">
        <v>5</v>
      </c>
    </row>
    <row r="2" spans="1:14" s="18" customFormat="1" ht="13.5" thickBot="1">
      <c r="A2" s="7" t="s">
        <v>76</v>
      </c>
      <c r="B2" s="8"/>
      <c r="C2" s="8"/>
      <c r="D2" s="9"/>
      <c r="E2" s="10" t="s">
        <v>6</v>
      </c>
      <c r="F2" s="11" t="s">
        <v>7</v>
      </c>
      <c r="G2" s="12">
        <v>2007</v>
      </c>
      <c r="H2" s="13" t="s">
        <v>8</v>
      </c>
      <c r="I2" s="14" t="s">
        <v>9</v>
      </c>
      <c r="J2" s="15" t="s">
        <v>10</v>
      </c>
      <c r="K2" s="16" t="s">
        <v>11</v>
      </c>
      <c r="L2" s="16" t="s">
        <v>12</v>
      </c>
      <c r="M2" s="16" t="s">
        <v>13</v>
      </c>
      <c r="N2" s="17">
        <v>2006</v>
      </c>
    </row>
    <row r="3" spans="1:14" ht="13.5" thickBot="1">
      <c r="A3" s="19" t="s">
        <v>14</v>
      </c>
      <c r="B3" s="20"/>
      <c r="C3" s="20"/>
      <c r="D3" s="20"/>
      <c r="E3" s="21">
        <v>1</v>
      </c>
      <c r="F3" s="22"/>
      <c r="G3" s="23"/>
      <c r="H3" s="20"/>
      <c r="I3" s="24"/>
      <c r="J3" s="24"/>
      <c r="K3" s="25"/>
      <c r="L3" s="25"/>
      <c r="M3" s="26"/>
      <c r="N3" s="27"/>
    </row>
    <row r="4" spans="1:14" s="37" customFormat="1" ht="12.75">
      <c r="A4" s="28" t="s">
        <v>15</v>
      </c>
      <c r="B4" s="29" t="s">
        <v>16</v>
      </c>
      <c r="C4" s="29"/>
      <c r="D4" s="29"/>
      <c r="E4" s="30">
        <v>2</v>
      </c>
      <c r="F4" s="31" t="s">
        <v>77</v>
      </c>
      <c r="G4" s="32"/>
      <c r="H4" s="29"/>
      <c r="I4" s="33"/>
      <c r="J4" s="33"/>
      <c r="K4" s="34"/>
      <c r="L4" s="34"/>
      <c r="M4" s="35"/>
      <c r="N4" s="36"/>
    </row>
    <row r="5" spans="1:14" s="37" customFormat="1" ht="12.75">
      <c r="A5" s="28"/>
      <c r="B5" s="38"/>
      <c r="C5" s="38" t="s">
        <v>17</v>
      </c>
      <c r="D5" s="39" t="s">
        <v>18</v>
      </c>
      <c r="E5" s="40">
        <v>3</v>
      </c>
      <c r="F5" s="41"/>
      <c r="G5" s="42"/>
      <c r="H5" s="39"/>
      <c r="I5" s="43"/>
      <c r="J5" s="43"/>
      <c r="K5" s="44"/>
      <c r="L5" s="44"/>
      <c r="M5" s="45"/>
      <c r="N5" s="46"/>
    </row>
    <row r="6" spans="1:14" s="37" customFormat="1" ht="12.75">
      <c r="A6" s="28"/>
      <c r="B6" s="38"/>
      <c r="C6" s="38"/>
      <c r="D6" s="39" t="s">
        <v>19</v>
      </c>
      <c r="E6" s="40">
        <v>4</v>
      </c>
      <c r="F6" s="41"/>
      <c r="G6" s="42"/>
      <c r="H6" s="39"/>
      <c r="I6" s="43"/>
      <c r="J6" s="43"/>
      <c r="K6" s="44"/>
      <c r="L6" s="44"/>
      <c r="M6" s="45"/>
      <c r="N6" s="46"/>
    </row>
    <row r="7" spans="1:14" s="37" customFormat="1" ht="12.75">
      <c r="A7" s="28"/>
      <c r="B7" s="38"/>
      <c r="C7" s="38"/>
      <c r="D7" s="39" t="s">
        <v>20</v>
      </c>
      <c r="E7" s="40">
        <v>5</v>
      </c>
      <c r="F7" s="41"/>
      <c r="G7" s="42"/>
      <c r="H7" s="39"/>
      <c r="I7" s="43"/>
      <c r="J7" s="43"/>
      <c r="K7" s="44"/>
      <c r="L7" s="44"/>
      <c r="M7" s="45"/>
      <c r="N7" s="46"/>
    </row>
    <row r="8" spans="1:14" s="37" customFormat="1" ht="12.75">
      <c r="A8" s="28"/>
      <c r="B8" s="38"/>
      <c r="C8" s="38"/>
      <c r="D8" s="39" t="s">
        <v>21</v>
      </c>
      <c r="E8" s="40">
        <v>6</v>
      </c>
      <c r="F8" s="41"/>
      <c r="G8" s="42"/>
      <c r="H8" s="39"/>
      <c r="I8" s="43"/>
      <c r="J8" s="43"/>
      <c r="K8" s="44"/>
      <c r="L8" s="44"/>
      <c r="M8" s="45"/>
      <c r="N8" s="46"/>
    </row>
    <row r="9" spans="1:14" s="37" customFormat="1" ht="12.75">
      <c r="A9" s="28"/>
      <c r="B9" s="38"/>
      <c r="C9" s="38"/>
      <c r="D9" s="39" t="s">
        <v>22</v>
      </c>
      <c r="E9" s="40">
        <v>7</v>
      </c>
      <c r="F9" s="41"/>
      <c r="G9" s="42"/>
      <c r="H9" s="39"/>
      <c r="I9" s="43"/>
      <c r="J9" s="43"/>
      <c r="K9" s="44"/>
      <c r="L9" s="44"/>
      <c r="M9" s="45"/>
      <c r="N9" s="46"/>
    </row>
    <row r="10" spans="1:14" s="37" customFormat="1" ht="12.75">
      <c r="A10" s="28"/>
      <c r="B10" s="38"/>
      <c r="C10" s="38"/>
      <c r="D10" s="39" t="s">
        <v>23</v>
      </c>
      <c r="E10" s="40">
        <v>8</v>
      </c>
      <c r="F10" s="41"/>
      <c r="G10" s="42"/>
      <c r="H10" s="39"/>
      <c r="I10" s="43"/>
      <c r="J10" s="43"/>
      <c r="K10" s="44"/>
      <c r="L10" s="44"/>
      <c r="M10" s="45"/>
      <c r="N10" s="46"/>
    </row>
    <row r="11" spans="1:14" s="37" customFormat="1" ht="12.75">
      <c r="A11" s="28"/>
      <c r="B11" s="38"/>
      <c r="C11" s="38"/>
      <c r="D11" s="39" t="s">
        <v>24</v>
      </c>
      <c r="E11" s="40">
        <v>9</v>
      </c>
      <c r="F11" s="41"/>
      <c r="G11" s="42"/>
      <c r="H11" s="39"/>
      <c r="I11" s="43"/>
      <c r="J11" s="43"/>
      <c r="K11" s="44"/>
      <c r="L11" s="44"/>
      <c r="M11" s="45"/>
      <c r="N11" s="46"/>
    </row>
    <row r="12" spans="1:14" s="37" customFormat="1" ht="12.75">
      <c r="A12" s="28"/>
      <c r="B12" s="38"/>
      <c r="C12" s="38"/>
      <c r="D12" s="39" t="s">
        <v>25</v>
      </c>
      <c r="E12" s="40">
        <v>10</v>
      </c>
      <c r="F12" s="41"/>
      <c r="G12" s="42"/>
      <c r="H12" s="39"/>
      <c r="I12" s="43"/>
      <c r="J12" s="43"/>
      <c r="K12" s="44"/>
      <c r="L12" s="44"/>
      <c r="M12" s="45"/>
      <c r="N12" s="46"/>
    </row>
    <row r="13" spans="1:14" s="37" customFormat="1" ht="12.75">
      <c r="A13" s="28"/>
      <c r="B13" s="38"/>
      <c r="C13" s="38"/>
      <c r="D13" s="39" t="s">
        <v>26</v>
      </c>
      <c r="E13" s="40">
        <v>11</v>
      </c>
      <c r="F13" s="41"/>
      <c r="G13" s="42"/>
      <c r="H13" s="39"/>
      <c r="I13" s="43"/>
      <c r="J13" s="43"/>
      <c r="K13" s="44"/>
      <c r="L13" s="44"/>
      <c r="M13" s="45"/>
      <c r="N13" s="46"/>
    </row>
    <row r="14" spans="1:14" s="37" customFormat="1" ht="12.75">
      <c r="A14" s="28"/>
      <c r="B14" s="38"/>
      <c r="C14" s="38"/>
      <c r="D14" s="39" t="s">
        <v>27</v>
      </c>
      <c r="E14" s="40">
        <v>12</v>
      </c>
      <c r="F14" s="41"/>
      <c r="G14" s="42"/>
      <c r="H14" s="39"/>
      <c r="I14" s="43"/>
      <c r="J14" s="43"/>
      <c r="K14" s="44"/>
      <c r="L14" s="44"/>
      <c r="M14" s="45"/>
      <c r="N14" s="46"/>
    </row>
    <row r="15" spans="1:14" s="37" customFormat="1" ht="12.75">
      <c r="A15" s="28"/>
      <c r="B15" s="38"/>
      <c r="C15" s="39"/>
      <c r="D15" s="39" t="s">
        <v>28</v>
      </c>
      <c r="E15" s="40">
        <v>13</v>
      </c>
      <c r="F15" s="41"/>
      <c r="G15" s="42"/>
      <c r="H15" s="39"/>
      <c r="I15" s="43"/>
      <c r="J15" s="43"/>
      <c r="K15" s="44"/>
      <c r="L15" s="44"/>
      <c r="M15" s="45"/>
      <c r="N15" s="46"/>
    </row>
    <row r="16" spans="1:14" s="37" customFormat="1" ht="12.75">
      <c r="A16" s="28"/>
      <c r="B16" s="47" t="s">
        <v>29</v>
      </c>
      <c r="C16" s="39"/>
      <c r="D16" s="39"/>
      <c r="E16" s="40">
        <v>14</v>
      </c>
      <c r="F16" s="41" t="s">
        <v>30</v>
      </c>
      <c r="G16" s="42"/>
      <c r="H16" s="39"/>
      <c r="I16" s="43"/>
      <c r="J16" s="43"/>
      <c r="K16" s="44"/>
      <c r="L16" s="44"/>
      <c r="M16" s="45"/>
      <c r="N16" s="46"/>
    </row>
    <row r="17" spans="1:14" s="37" customFormat="1" ht="12.75">
      <c r="A17" s="28"/>
      <c r="B17" s="47" t="s">
        <v>31</v>
      </c>
      <c r="C17" s="39"/>
      <c r="D17" s="39"/>
      <c r="E17" s="40">
        <v>15</v>
      </c>
      <c r="F17" s="41" t="s">
        <v>32</v>
      </c>
      <c r="G17" s="42"/>
      <c r="H17" s="39"/>
      <c r="I17" s="43"/>
      <c r="J17" s="43"/>
      <c r="K17" s="44"/>
      <c r="L17" s="44"/>
      <c r="M17" s="45"/>
      <c r="N17" s="46"/>
    </row>
    <row r="18" spans="1:14" s="37" customFormat="1" ht="12.75">
      <c r="A18" s="28"/>
      <c r="B18" s="48" t="s">
        <v>33</v>
      </c>
      <c r="C18" s="49"/>
      <c r="D18" s="49"/>
      <c r="E18" s="50">
        <v>16</v>
      </c>
      <c r="F18" s="51" t="s">
        <v>34</v>
      </c>
      <c r="G18" s="42"/>
      <c r="H18" s="39"/>
      <c r="I18" s="43"/>
      <c r="J18" s="43"/>
      <c r="K18" s="44"/>
      <c r="L18" s="44"/>
      <c r="M18" s="45"/>
      <c r="N18" s="46"/>
    </row>
    <row r="19" spans="1:14" s="37" customFormat="1" ht="12.75">
      <c r="A19" s="28"/>
      <c r="B19" s="48" t="s">
        <v>35</v>
      </c>
      <c r="C19" s="49"/>
      <c r="D19" s="49"/>
      <c r="E19" s="50">
        <v>17</v>
      </c>
      <c r="F19" s="52" t="s">
        <v>36</v>
      </c>
      <c r="G19" s="42"/>
      <c r="H19" s="39"/>
      <c r="I19" s="43"/>
      <c r="J19" s="43"/>
      <c r="K19" s="44"/>
      <c r="L19" s="44"/>
      <c r="M19" s="45"/>
      <c r="N19" s="46"/>
    </row>
    <row r="20" spans="1:14" s="37" customFormat="1" ht="12.75">
      <c r="A20" s="28"/>
      <c r="B20" s="48" t="s">
        <v>37</v>
      </c>
      <c r="C20" s="48"/>
      <c r="D20" s="48"/>
      <c r="E20" s="50">
        <v>18</v>
      </c>
      <c r="F20" s="52" t="s">
        <v>38</v>
      </c>
      <c r="G20" s="42"/>
      <c r="H20" s="39"/>
      <c r="I20" s="43"/>
      <c r="J20" s="43"/>
      <c r="K20" s="44"/>
      <c r="L20" s="44"/>
      <c r="M20" s="45"/>
      <c r="N20" s="46"/>
    </row>
    <row r="21" spans="1:14" s="37" customFormat="1" ht="12.75">
      <c r="A21" s="28"/>
      <c r="B21" s="48" t="s">
        <v>39</v>
      </c>
      <c r="C21" s="48"/>
      <c r="D21" s="48"/>
      <c r="E21" s="50">
        <v>19</v>
      </c>
      <c r="F21" s="52" t="s">
        <v>40</v>
      </c>
      <c r="G21" s="42"/>
      <c r="H21" s="39"/>
      <c r="I21" s="43"/>
      <c r="J21" s="43"/>
      <c r="K21" s="44"/>
      <c r="L21" s="44"/>
      <c r="M21" s="45"/>
      <c r="N21" s="46"/>
    </row>
    <row r="22" spans="1:14" s="37" customFormat="1" ht="12.75">
      <c r="A22" s="28"/>
      <c r="B22" s="48" t="s">
        <v>41</v>
      </c>
      <c r="C22" s="48"/>
      <c r="D22" s="48"/>
      <c r="E22" s="50">
        <v>20</v>
      </c>
      <c r="F22" s="52" t="s">
        <v>42</v>
      </c>
      <c r="G22" s="42"/>
      <c r="H22" s="39"/>
      <c r="I22" s="45"/>
      <c r="J22" s="44"/>
      <c r="K22" s="44"/>
      <c r="L22" s="44"/>
      <c r="M22" s="45"/>
      <c r="N22" s="46"/>
    </row>
    <row r="23" spans="1:14" s="37" customFormat="1" ht="12.75">
      <c r="A23" s="28"/>
      <c r="B23" s="48" t="s">
        <v>43</v>
      </c>
      <c r="C23" s="48"/>
      <c r="D23" s="48"/>
      <c r="E23" s="50">
        <v>21</v>
      </c>
      <c r="F23" s="52" t="s">
        <v>44</v>
      </c>
      <c r="G23" s="42"/>
      <c r="H23" s="39"/>
      <c r="I23" s="45"/>
      <c r="J23" s="44"/>
      <c r="K23" s="44"/>
      <c r="L23" s="44"/>
      <c r="M23" s="45"/>
      <c r="N23" s="46"/>
    </row>
    <row r="24" spans="1:14" s="37" customFormat="1" ht="12.75">
      <c r="A24" s="28"/>
      <c r="B24" s="48" t="s">
        <v>45</v>
      </c>
      <c r="C24" s="48"/>
      <c r="D24" s="48"/>
      <c r="E24" s="50">
        <v>22</v>
      </c>
      <c r="F24" s="52" t="s">
        <v>78</v>
      </c>
      <c r="G24" s="42"/>
      <c r="H24" s="39"/>
      <c r="I24" s="45"/>
      <c r="J24" s="44"/>
      <c r="K24" s="44"/>
      <c r="L24" s="44"/>
      <c r="M24" s="45"/>
      <c r="N24" s="46"/>
    </row>
    <row r="25" spans="1:14" s="37" customFormat="1" ht="12.75">
      <c r="A25" s="28"/>
      <c r="B25" s="48" t="s">
        <v>46</v>
      </c>
      <c r="C25" s="48"/>
      <c r="D25" s="48"/>
      <c r="E25" s="50">
        <v>23</v>
      </c>
      <c r="F25" s="52" t="s">
        <v>47</v>
      </c>
      <c r="G25" s="42"/>
      <c r="H25" s="39"/>
      <c r="I25" s="45"/>
      <c r="J25" s="44"/>
      <c r="K25" s="44"/>
      <c r="L25" s="44"/>
      <c r="M25" s="45"/>
      <c r="N25" s="46"/>
    </row>
    <row r="26" spans="1:14" s="37" customFormat="1" ht="12.75">
      <c r="A26" s="28"/>
      <c r="B26" s="48" t="s">
        <v>48</v>
      </c>
      <c r="C26" s="48"/>
      <c r="D26" s="48"/>
      <c r="E26" s="50">
        <v>24</v>
      </c>
      <c r="F26" s="52" t="s">
        <v>49</v>
      </c>
      <c r="G26" s="42"/>
      <c r="H26" s="39"/>
      <c r="I26" s="45"/>
      <c r="J26" s="44"/>
      <c r="K26" s="44"/>
      <c r="L26" s="44"/>
      <c r="M26" s="45"/>
      <c r="N26" s="46"/>
    </row>
    <row r="27" spans="1:14" s="37" customFormat="1" ht="13.5" thickBot="1">
      <c r="A27" s="28"/>
      <c r="B27" s="47" t="s">
        <v>50</v>
      </c>
      <c r="C27" s="47"/>
      <c r="D27" s="47"/>
      <c r="E27" s="40">
        <v>25</v>
      </c>
      <c r="F27" s="53" t="s">
        <v>51</v>
      </c>
      <c r="G27" s="42"/>
      <c r="H27" s="39"/>
      <c r="I27" s="45"/>
      <c r="J27" s="44"/>
      <c r="K27" s="44"/>
      <c r="L27" s="44"/>
      <c r="M27" s="45"/>
      <c r="N27" s="46"/>
    </row>
    <row r="28" spans="1:14" ht="13.5" thickBot="1">
      <c r="A28" s="54" t="s">
        <v>52</v>
      </c>
      <c r="B28" s="55"/>
      <c r="C28" s="55"/>
      <c r="D28" s="55"/>
      <c r="E28" s="21">
        <v>26</v>
      </c>
      <c r="F28" s="56"/>
      <c r="G28" s="57"/>
      <c r="H28" s="55"/>
      <c r="I28" s="58"/>
      <c r="J28" s="59"/>
      <c r="K28" s="59"/>
      <c r="L28" s="59"/>
      <c r="M28" s="58"/>
      <c r="N28" s="60"/>
    </row>
    <row r="29" spans="1:14" s="37" customFormat="1" ht="12.75">
      <c r="A29" s="28" t="s">
        <v>15</v>
      </c>
      <c r="B29" s="39" t="s">
        <v>53</v>
      </c>
      <c r="C29" s="39"/>
      <c r="D29" s="39"/>
      <c r="E29" s="40">
        <v>27</v>
      </c>
      <c r="F29" s="41" t="s">
        <v>54</v>
      </c>
      <c r="G29" s="32"/>
      <c r="H29" s="29"/>
      <c r="I29" s="35"/>
      <c r="J29" s="34"/>
      <c r="K29" s="34"/>
      <c r="L29" s="34"/>
      <c r="M29" s="35"/>
      <c r="N29" s="36"/>
    </row>
    <row r="30" spans="1:14" s="37" customFormat="1" ht="12.75">
      <c r="A30" s="28"/>
      <c r="B30" s="47" t="s">
        <v>29</v>
      </c>
      <c r="C30" s="47"/>
      <c r="D30" s="47"/>
      <c r="E30" s="40">
        <v>28</v>
      </c>
      <c r="F30" s="53" t="s">
        <v>30</v>
      </c>
      <c r="G30" s="61"/>
      <c r="H30" s="47"/>
      <c r="I30" s="62"/>
      <c r="J30" s="63"/>
      <c r="K30" s="63"/>
      <c r="L30" s="63"/>
      <c r="M30" s="62"/>
      <c r="N30" s="64"/>
    </row>
    <row r="31" spans="1:14" s="37" customFormat="1" ht="12.75">
      <c r="A31" s="28"/>
      <c r="B31" s="47" t="s">
        <v>31</v>
      </c>
      <c r="C31" s="47"/>
      <c r="D31" s="47"/>
      <c r="E31" s="40">
        <v>29</v>
      </c>
      <c r="F31" s="53" t="s">
        <v>32</v>
      </c>
      <c r="G31" s="61"/>
      <c r="H31" s="47"/>
      <c r="I31" s="62"/>
      <c r="J31" s="63"/>
      <c r="K31" s="63"/>
      <c r="L31" s="63"/>
      <c r="M31" s="62"/>
      <c r="N31" s="64"/>
    </row>
    <row r="32" spans="1:14" s="37" customFormat="1" ht="12.75">
      <c r="A32" s="28"/>
      <c r="B32" s="48" t="s">
        <v>33</v>
      </c>
      <c r="C32" s="49"/>
      <c r="D32" s="49"/>
      <c r="E32" s="50">
        <v>30</v>
      </c>
      <c r="F32" s="51" t="s">
        <v>34</v>
      </c>
      <c r="G32" s="61"/>
      <c r="H32" s="47"/>
      <c r="I32" s="62"/>
      <c r="J32" s="63"/>
      <c r="K32" s="63"/>
      <c r="L32" s="63"/>
      <c r="M32" s="62"/>
      <c r="N32" s="64"/>
    </row>
    <row r="33" spans="1:14" s="37" customFormat="1" ht="12.75">
      <c r="A33" s="28"/>
      <c r="B33" s="48" t="s">
        <v>35</v>
      </c>
      <c r="C33" s="48"/>
      <c r="D33" s="48"/>
      <c r="E33" s="50">
        <v>31</v>
      </c>
      <c r="F33" s="52" t="s">
        <v>36</v>
      </c>
      <c r="G33" s="61"/>
      <c r="H33" s="47"/>
      <c r="I33" s="62"/>
      <c r="J33" s="63"/>
      <c r="K33" s="63"/>
      <c r="L33" s="63"/>
      <c r="M33" s="62"/>
      <c r="N33" s="64"/>
    </row>
    <row r="34" spans="1:14" s="37" customFormat="1" ht="12.75">
      <c r="A34" s="28"/>
      <c r="B34" s="48" t="s">
        <v>55</v>
      </c>
      <c r="C34" s="48"/>
      <c r="D34" s="48"/>
      <c r="E34" s="50">
        <v>32</v>
      </c>
      <c r="F34" s="52" t="s">
        <v>56</v>
      </c>
      <c r="G34" s="61"/>
      <c r="H34" s="47"/>
      <c r="I34" s="62"/>
      <c r="J34" s="63"/>
      <c r="K34" s="63"/>
      <c r="L34" s="63"/>
      <c r="M34" s="62"/>
      <c r="N34" s="64"/>
    </row>
    <row r="35" spans="1:14" s="37" customFormat="1" ht="12.75">
      <c r="A35" s="28"/>
      <c r="B35" s="48" t="s">
        <v>37</v>
      </c>
      <c r="C35" s="48"/>
      <c r="D35" s="48"/>
      <c r="E35" s="50">
        <v>33</v>
      </c>
      <c r="F35" s="52" t="s">
        <v>38</v>
      </c>
      <c r="G35" s="61"/>
      <c r="H35" s="47"/>
      <c r="I35" s="62"/>
      <c r="J35" s="63"/>
      <c r="K35" s="63"/>
      <c r="L35" s="63"/>
      <c r="M35" s="62"/>
      <c r="N35" s="64"/>
    </row>
    <row r="36" spans="1:14" s="37" customFormat="1" ht="12.75">
      <c r="A36" s="28"/>
      <c r="B36" s="48" t="s">
        <v>39</v>
      </c>
      <c r="C36" s="48"/>
      <c r="D36" s="48"/>
      <c r="E36" s="50">
        <v>34</v>
      </c>
      <c r="F36" s="52" t="s">
        <v>40</v>
      </c>
      <c r="G36" s="61"/>
      <c r="H36" s="47"/>
      <c r="I36" s="62"/>
      <c r="J36" s="63"/>
      <c r="K36" s="63"/>
      <c r="L36" s="63"/>
      <c r="M36" s="62"/>
      <c r="N36" s="64"/>
    </row>
    <row r="37" spans="1:14" s="37" customFormat="1" ht="12.75">
      <c r="A37" s="28"/>
      <c r="B37" s="48" t="s">
        <v>57</v>
      </c>
      <c r="C37" s="48"/>
      <c r="D37" s="48"/>
      <c r="E37" s="50">
        <v>35</v>
      </c>
      <c r="F37" s="52" t="s">
        <v>42</v>
      </c>
      <c r="G37" s="61"/>
      <c r="H37" s="47"/>
      <c r="I37" s="62"/>
      <c r="J37" s="63"/>
      <c r="K37" s="63"/>
      <c r="L37" s="63"/>
      <c r="M37" s="62"/>
      <c r="N37" s="64"/>
    </row>
    <row r="38" spans="1:14" s="37" customFormat="1" ht="12.75">
      <c r="A38" s="28"/>
      <c r="B38" s="48" t="s">
        <v>58</v>
      </c>
      <c r="C38" s="48"/>
      <c r="D38" s="48"/>
      <c r="E38" s="50">
        <v>36</v>
      </c>
      <c r="F38" s="52" t="s">
        <v>59</v>
      </c>
      <c r="G38" s="61"/>
      <c r="H38" s="47"/>
      <c r="I38" s="62"/>
      <c r="J38" s="63"/>
      <c r="K38" s="63"/>
      <c r="L38" s="63"/>
      <c r="M38" s="62"/>
      <c r="N38" s="64"/>
    </row>
    <row r="39" spans="1:14" s="37" customFormat="1" ht="12.75">
      <c r="A39" s="28"/>
      <c r="B39" s="48" t="s">
        <v>60</v>
      </c>
      <c r="C39" s="48"/>
      <c r="D39" s="48"/>
      <c r="E39" s="50">
        <v>37</v>
      </c>
      <c r="F39" s="52" t="s">
        <v>44</v>
      </c>
      <c r="G39" s="61"/>
      <c r="H39" s="47"/>
      <c r="I39" s="62"/>
      <c r="J39" s="63"/>
      <c r="K39" s="63"/>
      <c r="L39" s="63"/>
      <c r="M39" s="62"/>
      <c r="N39" s="64"/>
    </row>
    <row r="40" spans="1:14" s="37" customFormat="1" ht="12.75">
      <c r="A40" s="28"/>
      <c r="B40" s="48" t="s">
        <v>61</v>
      </c>
      <c r="C40" s="48"/>
      <c r="D40" s="48"/>
      <c r="E40" s="50">
        <v>38</v>
      </c>
      <c r="F40" s="52" t="s">
        <v>78</v>
      </c>
      <c r="G40" s="61"/>
      <c r="H40" s="47"/>
      <c r="I40" s="62"/>
      <c r="J40" s="63"/>
      <c r="K40" s="63"/>
      <c r="L40" s="63"/>
      <c r="M40" s="62"/>
      <c r="N40" s="64"/>
    </row>
    <row r="41" spans="1:14" s="37" customFormat="1" ht="12.75">
      <c r="A41" s="28"/>
      <c r="B41" s="48" t="s">
        <v>46</v>
      </c>
      <c r="C41" s="48"/>
      <c r="D41" s="48"/>
      <c r="E41" s="50">
        <v>39</v>
      </c>
      <c r="F41" s="52" t="s">
        <v>47</v>
      </c>
      <c r="G41" s="61"/>
      <c r="H41" s="47"/>
      <c r="I41" s="62"/>
      <c r="J41" s="63"/>
      <c r="K41" s="63"/>
      <c r="L41" s="63"/>
      <c r="M41" s="62"/>
      <c r="N41" s="64"/>
    </row>
    <row r="42" spans="1:14" s="37" customFormat="1" ht="12.75">
      <c r="A42" s="28"/>
      <c r="B42" s="48" t="s">
        <v>62</v>
      </c>
      <c r="C42" s="48"/>
      <c r="D42" s="48"/>
      <c r="E42" s="50">
        <v>40</v>
      </c>
      <c r="F42" s="52" t="s">
        <v>49</v>
      </c>
      <c r="G42" s="61"/>
      <c r="H42" s="47"/>
      <c r="I42" s="62"/>
      <c r="J42" s="63"/>
      <c r="K42" s="63"/>
      <c r="L42" s="63"/>
      <c r="M42" s="62"/>
      <c r="N42" s="64"/>
    </row>
    <row r="43" spans="1:14" s="37" customFormat="1" ht="12.75">
      <c r="A43" s="28"/>
      <c r="B43" s="48" t="s">
        <v>63</v>
      </c>
      <c r="C43" s="48"/>
      <c r="D43" s="48"/>
      <c r="E43" s="50">
        <v>41</v>
      </c>
      <c r="F43" s="52" t="s">
        <v>79</v>
      </c>
      <c r="G43" s="61"/>
      <c r="H43" s="47"/>
      <c r="I43" s="62"/>
      <c r="J43" s="63"/>
      <c r="K43" s="63"/>
      <c r="L43" s="63"/>
      <c r="M43" s="62"/>
      <c r="N43" s="64"/>
    </row>
    <row r="44" spans="1:14" s="37" customFormat="1" ht="12.75">
      <c r="A44" s="28"/>
      <c r="B44" s="48" t="s">
        <v>64</v>
      </c>
      <c r="C44" s="48"/>
      <c r="D44" s="48"/>
      <c r="E44" s="50">
        <v>42</v>
      </c>
      <c r="F44" s="52" t="s">
        <v>65</v>
      </c>
      <c r="G44" s="61"/>
      <c r="H44" s="47"/>
      <c r="I44" s="62"/>
      <c r="J44" s="63"/>
      <c r="K44" s="63"/>
      <c r="L44" s="63"/>
      <c r="M44" s="62"/>
      <c r="N44" s="64"/>
    </row>
    <row r="45" spans="1:14" s="37" customFormat="1" ht="12.75">
      <c r="A45" s="65"/>
      <c r="B45" s="66" t="s">
        <v>50</v>
      </c>
      <c r="C45" s="66"/>
      <c r="D45" s="66"/>
      <c r="E45" s="67">
        <v>43</v>
      </c>
      <c r="F45" s="68" t="s">
        <v>51</v>
      </c>
      <c r="G45" s="69"/>
      <c r="H45" s="66"/>
      <c r="I45" s="70"/>
      <c r="J45" s="71"/>
      <c r="K45" s="71"/>
      <c r="L45" s="71"/>
      <c r="M45" s="70"/>
      <c r="N45" s="72"/>
    </row>
    <row r="46" spans="1:14" s="37" customFormat="1" ht="13.5" thickBot="1">
      <c r="A46" s="73" t="s">
        <v>66</v>
      </c>
      <c r="B46" s="74"/>
      <c r="C46" s="74"/>
      <c r="D46" s="74"/>
      <c r="E46" s="40">
        <v>44</v>
      </c>
      <c r="F46" s="75"/>
      <c r="G46" s="76"/>
      <c r="H46" s="74"/>
      <c r="I46" s="77"/>
      <c r="J46" s="78"/>
      <c r="K46" s="78"/>
      <c r="L46" s="78"/>
      <c r="M46" s="77"/>
      <c r="N46" s="79"/>
    </row>
    <row r="47" spans="1:14" ht="13.5" thickBot="1">
      <c r="A47" s="54" t="s">
        <v>67</v>
      </c>
      <c r="B47" s="55"/>
      <c r="C47" s="55"/>
      <c r="D47" s="55"/>
      <c r="E47" s="21">
        <v>45</v>
      </c>
      <c r="F47" s="56"/>
      <c r="G47" s="57"/>
      <c r="H47" s="55"/>
      <c r="I47" s="58"/>
      <c r="J47" s="59"/>
      <c r="K47" s="59"/>
      <c r="L47" s="59"/>
      <c r="M47" s="58"/>
      <c r="N47" s="60"/>
    </row>
    <row r="48" spans="1:6" ht="12.75">
      <c r="A48" s="80" t="s">
        <v>68</v>
      </c>
      <c r="B48" s="80"/>
      <c r="C48" s="80"/>
      <c r="D48" s="80"/>
      <c r="E48" s="81"/>
      <c r="F48" s="82" t="s">
        <v>69</v>
      </c>
    </row>
    <row r="49" spans="5:14" s="80" customFormat="1" ht="12.75">
      <c r="E49" s="81"/>
      <c r="F49" s="82"/>
      <c r="G49" s="18"/>
      <c r="I49" s="83"/>
      <c r="J49" s="83"/>
      <c r="K49" s="83"/>
      <c r="L49" s="83"/>
      <c r="M49" s="83"/>
      <c r="N49" s="83"/>
    </row>
    <row r="50" spans="5:14" s="80" customFormat="1" ht="12.75">
      <c r="E50" s="81"/>
      <c r="F50" s="82"/>
      <c r="G50" s="18"/>
      <c r="I50" s="83"/>
      <c r="J50" s="83"/>
      <c r="K50" s="83"/>
      <c r="L50" s="83"/>
      <c r="M50" s="83"/>
      <c r="N50" s="83"/>
    </row>
    <row r="51" spans="5:14" s="80" customFormat="1" ht="12.75">
      <c r="E51" s="81"/>
      <c r="F51" s="82"/>
      <c r="G51" s="18"/>
      <c r="I51" s="83"/>
      <c r="J51" s="83"/>
      <c r="K51" s="83"/>
      <c r="L51" s="83"/>
      <c r="M51" s="83"/>
      <c r="N51" s="83"/>
    </row>
    <row r="52" spans="5:14" s="80" customFormat="1" ht="12.75">
      <c r="E52" s="81"/>
      <c r="F52" s="82"/>
      <c r="G52" s="18"/>
      <c r="I52" s="83"/>
      <c r="J52" s="83"/>
      <c r="K52" s="83"/>
      <c r="L52" s="83"/>
      <c r="M52" s="83"/>
      <c r="N52" s="83"/>
    </row>
    <row r="53" spans="5:14" s="80" customFormat="1" ht="12.75">
      <c r="E53" s="81"/>
      <c r="F53" s="82"/>
      <c r="G53" s="18"/>
      <c r="I53" s="83"/>
      <c r="J53" s="83"/>
      <c r="K53" s="83"/>
      <c r="L53" s="83"/>
      <c r="M53" s="83"/>
      <c r="N53" s="83"/>
    </row>
    <row r="54" spans="5:14" s="80" customFormat="1" ht="12.75">
      <c r="E54" s="81"/>
      <c r="F54" s="82"/>
      <c r="G54" s="18"/>
      <c r="I54" s="83"/>
      <c r="J54" s="83"/>
      <c r="K54" s="83"/>
      <c r="L54" s="83"/>
      <c r="M54" s="83"/>
      <c r="N54" s="83"/>
    </row>
    <row r="55" spans="1:14" s="80" customFormat="1" ht="12.75">
      <c r="A55" s="84" t="s">
        <v>70</v>
      </c>
      <c r="E55" s="81"/>
      <c r="F55" s="82"/>
      <c r="G55" s="18"/>
      <c r="I55" s="83"/>
      <c r="J55" s="83"/>
      <c r="K55" s="83"/>
      <c r="L55" s="83"/>
      <c r="M55" s="83"/>
      <c r="N55" s="83"/>
    </row>
    <row r="56" spans="1:14" s="80" customFormat="1" ht="12.75">
      <c r="A56" s="84" t="s">
        <v>71</v>
      </c>
      <c r="E56" s="81"/>
      <c r="F56" s="82"/>
      <c r="G56" s="18"/>
      <c r="I56" s="83"/>
      <c r="J56" s="83"/>
      <c r="K56" s="83"/>
      <c r="L56" s="83"/>
      <c r="M56" s="83"/>
      <c r="N56" s="83"/>
    </row>
    <row r="57" spans="1:14" s="80" customFormat="1" ht="12.75">
      <c r="A57" s="84" t="s">
        <v>72</v>
      </c>
      <c r="E57" s="81"/>
      <c r="F57" s="82"/>
      <c r="G57" s="85"/>
      <c r="I57" s="83"/>
      <c r="J57" s="83"/>
      <c r="K57" s="83"/>
      <c r="L57" s="83"/>
      <c r="M57" s="83"/>
      <c r="N57" s="83"/>
    </row>
    <row r="58" spans="1:14" s="84" customFormat="1" ht="12.75">
      <c r="A58" s="84" t="s">
        <v>73</v>
      </c>
      <c r="E58" s="86"/>
      <c r="F58" s="87"/>
      <c r="G58" s="88"/>
      <c r="I58" s="89"/>
      <c r="J58" s="89"/>
      <c r="K58" s="89"/>
      <c r="L58" s="89"/>
      <c r="M58" s="89"/>
      <c r="N58" s="89"/>
    </row>
    <row r="59" spans="1:14" s="84" customFormat="1" ht="12.75">
      <c r="A59" s="84" t="s">
        <v>74</v>
      </c>
      <c r="E59" s="86"/>
      <c r="F59" s="87"/>
      <c r="G59" s="88"/>
      <c r="I59" s="89"/>
      <c r="J59" s="89"/>
      <c r="K59" s="89"/>
      <c r="L59" s="89"/>
      <c r="M59" s="89"/>
      <c r="N59" s="89"/>
    </row>
    <row r="60" spans="1:14" s="84" customFormat="1" ht="12.75">
      <c r="A60" s="84" t="s">
        <v>75</v>
      </c>
      <c r="E60" s="86"/>
      <c r="F60" s="87"/>
      <c r="G60" s="88"/>
      <c r="I60" s="89"/>
      <c r="J60" s="89"/>
      <c r="K60" s="89"/>
      <c r="L60" s="89"/>
      <c r="M60" s="89"/>
      <c r="N60" s="89"/>
    </row>
    <row r="61" spans="1:14" s="80" customFormat="1" ht="12.75">
      <c r="A61" s="84"/>
      <c r="B61" s="84"/>
      <c r="C61" s="84"/>
      <c r="D61" s="84"/>
      <c r="E61" s="81"/>
      <c r="F61" s="82"/>
      <c r="G61" s="18"/>
      <c r="I61" s="83"/>
      <c r="J61" s="83"/>
      <c r="K61" s="83"/>
      <c r="L61" s="83"/>
      <c r="M61" s="83"/>
      <c r="N61" s="83"/>
    </row>
    <row r="62" spans="1:14" s="92" customFormat="1" ht="12.75">
      <c r="A62" s="84"/>
      <c r="B62" s="84"/>
      <c r="C62" s="84"/>
      <c r="D62" s="84"/>
      <c r="E62" s="90"/>
      <c r="F62" s="91"/>
      <c r="G62" s="18"/>
      <c r="I62" s="83"/>
      <c r="J62" s="83"/>
      <c r="K62" s="83"/>
      <c r="L62" s="83"/>
      <c r="M62" s="83"/>
      <c r="N62" s="83"/>
    </row>
    <row r="63" spans="1:14" s="92" customFormat="1" ht="12.75">
      <c r="A63" s="84"/>
      <c r="B63" s="84"/>
      <c r="C63" s="84"/>
      <c r="D63" s="84"/>
      <c r="E63" s="90"/>
      <c r="F63" s="91"/>
      <c r="G63" s="18"/>
      <c r="I63" s="83"/>
      <c r="J63" s="83"/>
      <c r="K63" s="83"/>
      <c r="L63" s="83"/>
      <c r="M63" s="83"/>
      <c r="N63" s="83"/>
    </row>
    <row r="64" spans="1:14" s="92" customFormat="1" ht="12.75">
      <c r="A64" s="84"/>
      <c r="B64" s="84"/>
      <c r="C64" s="84"/>
      <c r="D64" s="84"/>
      <c r="E64" s="90"/>
      <c r="F64" s="91"/>
      <c r="G64" s="18"/>
      <c r="I64" s="83"/>
      <c r="J64" s="83"/>
      <c r="K64" s="83"/>
      <c r="L64" s="83"/>
      <c r="M64" s="83"/>
      <c r="N64" s="83"/>
    </row>
  </sheetData>
  <mergeCells count="2">
    <mergeCell ref="A1:D1"/>
    <mergeCell ref="J1:M1"/>
  </mergeCells>
  <printOptions/>
  <pageMargins left="0.31496062992125984" right="0.27" top="0.35433070866141736" bottom="0.35433070866141736" header="0.1968503937007874" footer="0.2755905511811024"/>
  <pageSetup horizontalDpi="600" verticalDpi="600" orientation="landscape" paperSize="9" scale="85" r:id="rId1"/>
  <headerFooter alignWithMargins="0">
    <oddHeader>&amp;R&amp;9Příloha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B5">
      <selection activeCell="J70" sqref="J69:J7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14" width="7.25390625" style="92" customWidth="1"/>
    <col min="15" max="15" width="8.875" style="92" customWidth="1"/>
    <col min="16" max="16" width="5.125" style="0" hidden="1" customWidth="1"/>
    <col min="17" max="17" width="8.375" style="92" customWidth="1"/>
    <col min="18" max="18" width="6.875" style="92" customWidth="1"/>
    <col min="19" max="19" width="5.75390625" style="92" bestFit="1" customWidth="1"/>
    <col min="20" max="20" width="5.375" style="92" bestFit="1" customWidth="1"/>
    <col min="21" max="21" width="6.125" style="92" customWidth="1"/>
    <col min="22" max="22" width="8.875" style="92" customWidth="1"/>
  </cols>
  <sheetData>
    <row r="1" spans="1:22" ht="15.75" customHeight="1">
      <c r="A1" s="425" t="s">
        <v>118</v>
      </c>
      <c r="B1" s="426"/>
      <c r="C1" s="426"/>
      <c r="D1" s="427"/>
      <c r="E1" s="1"/>
      <c r="F1" s="338" t="s">
        <v>111</v>
      </c>
      <c r="G1" s="352" t="s">
        <v>129</v>
      </c>
      <c r="H1" s="352" t="s">
        <v>130</v>
      </c>
      <c r="I1" s="352" t="s">
        <v>131</v>
      </c>
      <c r="J1" s="352" t="s">
        <v>112</v>
      </c>
      <c r="K1" s="352" t="s">
        <v>132</v>
      </c>
      <c r="L1" s="352" t="s">
        <v>133</v>
      </c>
      <c r="M1" s="352" t="s">
        <v>134</v>
      </c>
      <c r="N1" s="352" t="s">
        <v>135</v>
      </c>
      <c r="O1" s="102" t="s">
        <v>8</v>
      </c>
      <c r="P1" s="4" t="s">
        <v>2</v>
      </c>
      <c r="Q1" s="101" t="s">
        <v>3</v>
      </c>
      <c r="R1" s="428" t="s">
        <v>4</v>
      </c>
      <c r="S1" s="429"/>
      <c r="T1" s="429"/>
      <c r="U1" s="430"/>
      <c r="V1" s="102" t="s">
        <v>5</v>
      </c>
    </row>
    <row r="2" spans="1:22" s="18" customFormat="1" ht="13.5" thickBot="1">
      <c r="A2" s="7" t="s">
        <v>76</v>
      </c>
      <c r="B2" s="8"/>
      <c r="C2" s="431" t="s">
        <v>139</v>
      </c>
      <c r="D2" s="432"/>
      <c r="E2" s="10" t="s">
        <v>6</v>
      </c>
      <c r="F2" s="339">
        <v>11</v>
      </c>
      <c r="G2" s="353">
        <v>21</v>
      </c>
      <c r="H2" s="353">
        <v>22</v>
      </c>
      <c r="I2" s="353">
        <v>23</v>
      </c>
      <c r="J2" s="353">
        <v>31</v>
      </c>
      <c r="K2" s="353">
        <v>33</v>
      </c>
      <c r="L2" s="353">
        <v>41</v>
      </c>
      <c r="M2" s="353">
        <v>51</v>
      </c>
      <c r="N2" s="353">
        <v>56</v>
      </c>
      <c r="O2" s="106" t="s">
        <v>128</v>
      </c>
      <c r="P2" s="13" t="s">
        <v>8</v>
      </c>
      <c r="Q2" s="103" t="s">
        <v>9</v>
      </c>
      <c r="R2" s="104" t="s">
        <v>10</v>
      </c>
      <c r="S2" s="105" t="s">
        <v>11</v>
      </c>
      <c r="T2" s="105" t="s">
        <v>12</v>
      </c>
      <c r="U2" s="105" t="s">
        <v>13</v>
      </c>
      <c r="V2" s="106">
        <v>2006</v>
      </c>
    </row>
    <row r="3" spans="1:22" ht="13.5" thickBot="1">
      <c r="A3" s="19" t="s">
        <v>14</v>
      </c>
      <c r="B3" s="20"/>
      <c r="C3" s="20"/>
      <c r="D3" s="20"/>
      <c r="E3" s="21">
        <v>1</v>
      </c>
      <c r="F3" s="340">
        <f aca="true" t="shared" si="0" ref="F3:V3">SUM(F5:F27)</f>
        <v>503763</v>
      </c>
      <c r="G3" s="354">
        <f t="shared" si="0"/>
        <v>354202</v>
      </c>
      <c r="H3" s="354">
        <f t="shared" si="0"/>
        <v>128832</v>
      </c>
      <c r="I3" s="354">
        <f t="shared" si="0"/>
        <v>183838.5270763382</v>
      </c>
      <c r="J3" s="354">
        <f t="shared" si="0"/>
        <v>610423.4756</v>
      </c>
      <c r="K3" s="354">
        <f t="shared" si="0"/>
        <v>194782.56999999998</v>
      </c>
      <c r="L3" s="354">
        <f t="shared" si="0"/>
        <v>242690.613</v>
      </c>
      <c r="M3" s="354">
        <f t="shared" si="0"/>
        <v>78023</v>
      </c>
      <c r="N3" s="354">
        <f t="shared" si="0"/>
        <v>142844</v>
      </c>
      <c r="O3" s="161">
        <f t="shared" si="0"/>
        <v>2439399.185676338</v>
      </c>
      <c r="P3" s="114">
        <f t="shared" si="0"/>
        <v>0</v>
      </c>
      <c r="Q3" s="115">
        <f t="shared" si="0"/>
        <v>2371240.3231813386</v>
      </c>
      <c r="R3" s="116">
        <f t="shared" si="0"/>
        <v>35464.233175</v>
      </c>
      <c r="S3" s="116">
        <f t="shared" si="0"/>
        <v>15059.122319999999</v>
      </c>
      <c r="T3" s="116">
        <f t="shared" si="0"/>
        <v>5234</v>
      </c>
      <c r="U3" s="115">
        <f t="shared" si="0"/>
        <v>12401.507</v>
      </c>
      <c r="V3" s="117">
        <f t="shared" si="0"/>
        <v>2274243.3228600007</v>
      </c>
    </row>
    <row r="4" spans="1:22" s="37" customFormat="1" ht="12">
      <c r="A4" s="28" t="s">
        <v>15</v>
      </c>
      <c r="B4" s="29" t="s">
        <v>16</v>
      </c>
      <c r="C4" s="29"/>
      <c r="D4" s="29"/>
      <c r="E4" s="30">
        <v>2</v>
      </c>
      <c r="F4" s="341">
        <f aca="true" t="shared" si="1" ref="F4:V4">SUM(F5:F15)</f>
        <v>360603</v>
      </c>
      <c r="G4" s="355">
        <f t="shared" si="1"/>
        <v>250097</v>
      </c>
      <c r="H4" s="355">
        <f t="shared" si="1"/>
        <v>116632</v>
      </c>
      <c r="I4" s="355">
        <f t="shared" si="1"/>
        <v>113299.5403563382</v>
      </c>
      <c r="J4" s="355">
        <f t="shared" si="1"/>
        <v>281228.369</v>
      </c>
      <c r="K4" s="355">
        <f t="shared" si="1"/>
        <v>122356.23300000001</v>
      </c>
      <c r="L4" s="355">
        <f t="shared" si="1"/>
        <v>200812</v>
      </c>
      <c r="M4" s="355">
        <f t="shared" si="1"/>
        <v>70038</v>
      </c>
      <c r="N4" s="355">
        <f t="shared" si="1"/>
        <v>106624</v>
      </c>
      <c r="O4" s="162">
        <f t="shared" si="1"/>
        <v>1621690.142356338</v>
      </c>
      <c r="P4" s="119">
        <f t="shared" si="1"/>
        <v>0</v>
      </c>
      <c r="Q4" s="120">
        <f t="shared" si="1"/>
        <v>1568276.413181338</v>
      </c>
      <c r="R4" s="121">
        <f t="shared" si="1"/>
        <v>35464.233175</v>
      </c>
      <c r="S4" s="121">
        <f t="shared" si="1"/>
        <v>313.98900000000003</v>
      </c>
      <c r="T4" s="121">
        <f t="shared" si="1"/>
        <v>5234</v>
      </c>
      <c r="U4" s="120">
        <f t="shared" si="1"/>
        <v>12401.507</v>
      </c>
      <c r="V4" s="122">
        <f t="shared" si="1"/>
        <v>1493641.5406700002</v>
      </c>
    </row>
    <row r="5" spans="1:22" s="98" customFormat="1" ht="12">
      <c r="A5" s="94"/>
      <c r="B5" s="95"/>
      <c r="C5" s="95" t="s">
        <v>17</v>
      </c>
      <c r="D5" s="96" t="s">
        <v>18</v>
      </c>
      <c r="E5" s="97">
        <v>3</v>
      </c>
      <c r="F5" s="323">
        <f>LF!F5/1000</f>
        <v>173000</v>
      </c>
      <c r="G5" s="356">
        <f>'FF'!F5/1000</f>
        <v>139155.71</v>
      </c>
      <c r="H5" s="356">
        <f>PrF!F5/1000</f>
        <v>56900</v>
      </c>
      <c r="I5" s="356">
        <f>FSS!F5/1000</f>
        <v>56206.46762652068</v>
      </c>
      <c r="J5" s="356">
        <f>PřF!F5/1000</f>
        <v>115000</v>
      </c>
      <c r="K5" s="356">
        <f>'FI'!F5/1000</f>
        <v>49000</v>
      </c>
      <c r="L5" s="356">
        <f>PdF!F5/1000</f>
        <v>109169</v>
      </c>
      <c r="M5" s="356">
        <f>FSpS!F5/1000</f>
        <v>34690</v>
      </c>
      <c r="N5" s="356">
        <f>ESF!F5/1000</f>
        <v>56000</v>
      </c>
      <c r="O5" s="325">
        <f aca="true" t="shared" si="2" ref="O5:O27">SUM(F5:N5)</f>
        <v>789121.1776265206</v>
      </c>
      <c r="P5" s="124"/>
      <c r="Q5" s="323">
        <f>LF!H5/1000+'FF'!H5/1000+PrF!H5/1000+FSS!H5/1000+PřF!H5/1000+'FI'!H5/1000+PdF!H5/1000+FSpS!H5/1000+ESF!H5/1000</f>
        <v>773231.1721265207</v>
      </c>
      <c r="R5" s="187">
        <f>LF!I5/1000+'FF'!I5/1000+PrF!I5/1000+FSS!I5/1000+PřF!I5/1000+'FI'!I5/1000+PdF!I5/1000+FSpS!I5/1000+ESF!I5/1000</f>
        <v>12077.3705</v>
      </c>
      <c r="S5" s="187">
        <f>LF!J5/1000+'FF'!J5/1000+PrF!J5/1000+FSS!J5/1000+PřF!J5/1000+'FI'!J5/1000+PdF!J5/1000+FSpS!J5/1000+ESF!J5/1000</f>
        <v>0</v>
      </c>
      <c r="T5" s="187">
        <f>LF!K5/1000+'FF'!K5/1000+PrF!K5/1000+FSS!K5/1000+PřF!K5/1000+'FI'!K5/1000+PdF!K5/1000+FSpS!K5/1000+ESF!K5/1000</f>
        <v>3812.635</v>
      </c>
      <c r="U5" s="324">
        <f>LF!L5/1000+'FF'!L5/1000+PrF!L5/1000+FSS!L5/1000+PřF!L5/1000+'FI'!L5/1000+PdF!L5/1000+FSpS!L5/1000+ESF!L5/1000</f>
        <v>0</v>
      </c>
      <c r="V5" s="325">
        <f>LF!M5/1000+'FF'!M5/1000+PrF!M5/1000+FSS!M5/1000+PřF!M5/1000+'FI'!M5/1000+PdF!M5/1000+FSpS!M5/1000+ESF!M5/1000</f>
        <v>730331.8505</v>
      </c>
    </row>
    <row r="6" spans="1:22" s="98" customFormat="1" ht="12">
      <c r="A6" s="94"/>
      <c r="B6" s="95"/>
      <c r="C6" s="95"/>
      <c r="D6" s="96" t="s">
        <v>19</v>
      </c>
      <c r="E6" s="97">
        <v>4</v>
      </c>
      <c r="F6" s="323">
        <f>LF!F6/1000</f>
        <v>5000</v>
      </c>
      <c r="G6" s="356">
        <f>'FF'!F6/1000</f>
        <v>4453</v>
      </c>
      <c r="H6" s="356">
        <f>PrF!F6/1000</f>
        <v>1600</v>
      </c>
      <c r="I6" s="356">
        <f>FSS!F6/1000</f>
        <v>1900</v>
      </c>
      <c r="J6" s="356">
        <f>PřF!F6/1000</f>
        <v>1950</v>
      </c>
      <c r="K6" s="356">
        <f>'FI'!F6/1000</f>
        <v>2100</v>
      </c>
      <c r="L6" s="356">
        <f>PdF!F6/1000</f>
        <v>6300</v>
      </c>
      <c r="M6" s="356">
        <f>FSpS!F6/1000</f>
        <v>1798</v>
      </c>
      <c r="N6" s="356">
        <f>ESF!F6/1000</f>
        <v>2300</v>
      </c>
      <c r="O6" s="325">
        <f t="shared" si="2"/>
        <v>27401</v>
      </c>
      <c r="P6" s="124"/>
      <c r="Q6" s="323">
        <f>LF!H6/1000+'FF'!H6/1000+PrF!H6/1000+FSS!H6/1000+PřF!H6/1000+'FI'!H6/1000+PdF!H6/1000+FSpS!H6/1000+ESF!H6/1000</f>
        <v>27201</v>
      </c>
      <c r="R6" s="187">
        <f>LF!I6/1000+'FF'!I6/1000+PrF!I6/1000+FSS!I6/1000+PřF!I6/1000+'FI'!I6/1000+PdF!I6/1000+FSpS!I6/1000+ESF!I6/1000</f>
        <v>200</v>
      </c>
      <c r="S6" s="187">
        <f>LF!J6/1000+'FF'!J6/1000+PrF!J6/1000+FSS!J6/1000+PřF!J6/1000+'FI'!J6/1000+PdF!J6/1000+FSpS!J6/1000+ESF!J6/1000</f>
        <v>0</v>
      </c>
      <c r="T6" s="187">
        <f>LF!K6/1000+'FF'!K6/1000+PrF!K6/1000+FSS!K6/1000+PřF!K6/1000+'FI'!K6/1000+PdF!K6/1000+FSpS!K6/1000+ESF!K6/1000</f>
        <v>0</v>
      </c>
      <c r="U6" s="324">
        <f>LF!L6/1000+'FF'!L6/1000+PrF!L6/1000+FSS!L6/1000+PřF!L6/1000+'FI'!L6/1000+PdF!L6/1000+FSpS!L6/1000+ESF!L6/1000</f>
        <v>0</v>
      </c>
      <c r="V6" s="325">
        <f>LF!M6/1000+'FF'!M6/1000+PrF!M6/1000+FSS!M6/1000+PřF!M6/1000+'FI'!M6/1000+PdF!M6/1000+FSpS!M6/1000+ESF!M6/1000</f>
        <v>24769.160999999996</v>
      </c>
    </row>
    <row r="7" spans="1:22" s="98" customFormat="1" ht="12">
      <c r="A7" s="94"/>
      <c r="B7" s="95"/>
      <c r="C7" s="95"/>
      <c r="D7" s="96" t="s">
        <v>20</v>
      </c>
      <c r="E7" s="97">
        <v>5</v>
      </c>
      <c r="F7" s="323">
        <f>LF!F7/1000</f>
        <v>64010</v>
      </c>
      <c r="G7" s="356">
        <f>'FF'!F7/1000</f>
        <v>52248.29</v>
      </c>
      <c r="H7" s="356">
        <f>PrF!F7/1000</f>
        <v>21000</v>
      </c>
      <c r="I7" s="356">
        <f>FSS!F7/1000</f>
        <v>20771.38561181265</v>
      </c>
      <c r="J7" s="356">
        <f>PřF!F7/1000</f>
        <v>42550</v>
      </c>
      <c r="K7" s="356">
        <f>'FI'!F7/1000</f>
        <v>17465</v>
      </c>
      <c r="L7" s="356">
        <f>PdF!F7/1000</f>
        <v>40500</v>
      </c>
      <c r="M7" s="356">
        <f>FSpS!F7/1000</f>
        <v>12224</v>
      </c>
      <c r="N7" s="356">
        <f>ESF!F7/1000</f>
        <v>20720</v>
      </c>
      <c r="O7" s="325">
        <f t="shared" si="2"/>
        <v>291488.6756118126</v>
      </c>
      <c r="P7" s="124"/>
      <c r="Q7" s="323">
        <f>LF!H7/1000+'FF'!H7/1000+PrF!H7/1000+FSS!H7/1000+PřF!H7/1000+'FI'!H7/1000+PdF!H7/1000+FSpS!H7/1000+ESF!H7/1000</f>
        <v>285594.68093681266</v>
      </c>
      <c r="R7" s="187">
        <f>LF!I7/1000+'FF'!I7/1000+PrF!I7/1000+FSS!I7/1000+PřF!I7/1000+'FI'!I7/1000+PdF!I7/1000+FSpS!I7/1000+ESF!I7/1000</f>
        <v>4472.629675</v>
      </c>
      <c r="S7" s="187">
        <f>LF!J7/1000+'FF'!J7/1000+PrF!J7/1000+FSS!J7/1000+PřF!J7/1000+'FI'!J7/1000+PdF!J7/1000+FSpS!J7/1000+ESF!J7/1000</f>
        <v>0</v>
      </c>
      <c r="T7" s="187">
        <f>LF!K7/1000+'FF'!K7/1000+PrF!K7/1000+FSS!K7/1000+PřF!K7/1000+'FI'!K7/1000+PdF!K7/1000+FSpS!K7/1000+ESF!K7/1000</f>
        <v>1421.365</v>
      </c>
      <c r="U7" s="324">
        <f>LF!L7/1000+'FF'!L7/1000+PrF!L7/1000+FSS!L7/1000+PřF!L7/1000+'FI'!L7/1000+PdF!L7/1000+FSpS!L7/1000+ESF!L7/1000</f>
        <v>0</v>
      </c>
      <c r="V7" s="325">
        <f>LF!M7/1000+'FF'!M7/1000+PrF!M7/1000+FSS!M7/1000+PřF!M7/1000+'FI'!M7/1000+PdF!M7/1000+FSpS!M7/1000+ESF!M7/1000</f>
        <v>257755.63489999998</v>
      </c>
    </row>
    <row r="8" spans="1:22" s="98" customFormat="1" ht="12">
      <c r="A8" s="94"/>
      <c r="B8" s="95"/>
      <c r="C8" s="95"/>
      <c r="D8" s="96" t="s">
        <v>21</v>
      </c>
      <c r="E8" s="97">
        <v>6</v>
      </c>
      <c r="F8" s="323">
        <f>LF!F8/1000</f>
        <v>17000</v>
      </c>
      <c r="G8" s="356">
        <f>'FF'!F8/1000</f>
        <v>5720</v>
      </c>
      <c r="H8" s="356">
        <f>PrF!F8/1000</f>
        <v>4000</v>
      </c>
      <c r="I8" s="356">
        <f>FSS!F8/1000</f>
        <v>2456.5</v>
      </c>
      <c r="J8" s="356">
        <f>PřF!F8/1000</f>
        <v>17943</v>
      </c>
      <c r="K8" s="356">
        <f>'FI'!F8/1000</f>
        <v>4000</v>
      </c>
      <c r="L8" s="356">
        <f>PdF!F8/1000</f>
        <v>4000</v>
      </c>
      <c r="M8" s="356">
        <f>FSpS!F8/1000</f>
        <v>3920.9</v>
      </c>
      <c r="N8" s="356">
        <f>ESF!F8/1000</f>
        <v>1400</v>
      </c>
      <c r="O8" s="325">
        <f t="shared" si="2"/>
        <v>60440.4</v>
      </c>
      <c r="P8" s="124"/>
      <c r="Q8" s="323">
        <f>LF!H8/1000+'FF'!H8/1000+PrF!H8/1000+FSS!H8/1000+PřF!H8/1000+'FI'!H8/1000+PdF!H8/1000+FSpS!H8/1000+ESF!H8/1000</f>
        <v>60240.4</v>
      </c>
      <c r="R8" s="187">
        <f>LF!I8/1000+'FF'!I8/1000+PrF!I8/1000+FSS!I8/1000+PřF!I8/1000+'FI'!I8/1000+PdF!I8/1000+FSpS!I8/1000+ESF!I8/1000</f>
        <v>200</v>
      </c>
      <c r="S8" s="187">
        <f>LF!J8/1000+'FF'!J8/1000+PrF!J8/1000+FSS!J8/1000+PřF!J8/1000+'FI'!J8/1000+PdF!J8/1000+FSpS!J8/1000+ESF!J8/1000</f>
        <v>0</v>
      </c>
      <c r="T8" s="187">
        <f>LF!K8/1000+'FF'!K8/1000+PrF!K8/1000+FSS!K8/1000+PřF!K8/1000+'FI'!K8/1000+PdF!K8/1000+FSpS!K8/1000+ESF!K8/1000</f>
        <v>0</v>
      </c>
      <c r="U8" s="324">
        <f>LF!L8/1000+'FF'!L8/1000+PrF!L8/1000+FSS!L8/1000+PřF!L8/1000+'FI'!L8/1000+PdF!L8/1000+FSpS!L8/1000+ESF!L8/1000</f>
        <v>0</v>
      </c>
      <c r="V8" s="325">
        <f>LF!M8/1000+'FF'!M8/1000+PrF!M8/1000+FSS!M8/1000+PřF!M8/1000+'FI'!M8/1000+PdF!M8/1000+FSpS!M8/1000+ESF!M8/1000</f>
        <v>46299.59995</v>
      </c>
    </row>
    <row r="9" spans="1:22" s="98" customFormat="1" ht="12">
      <c r="A9" s="94"/>
      <c r="B9" s="95"/>
      <c r="C9" s="95"/>
      <c r="D9" s="96" t="s">
        <v>22</v>
      </c>
      <c r="E9" s="97">
        <v>7</v>
      </c>
      <c r="F9" s="323">
        <f>LF!F9/1000</f>
        <v>5000</v>
      </c>
      <c r="G9" s="356">
        <f>'FF'!F9/1000</f>
        <v>1600</v>
      </c>
      <c r="H9" s="356">
        <f>PrF!F9/1000</f>
        <v>1500</v>
      </c>
      <c r="I9" s="356">
        <f>FSS!F9/1000</f>
        <v>1146</v>
      </c>
      <c r="J9" s="356">
        <f>PřF!F9/1000</f>
        <v>1300</v>
      </c>
      <c r="K9" s="356">
        <f>'FI'!F9/1000</f>
        <v>3815</v>
      </c>
      <c r="L9" s="356">
        <f>PdF!F9/1000</f>
        <v>2500</v>
      </c>
      <c r="M9" s="356">
        <f>FSpS!F9/1000</f>
        <v>356</v>
      </c>
      <c r="N9" s="356">
        <f>ESF!F9/1000</f>
        <v>700</v>
      </c>
      <c r="O9" s="325">
        <f t="shared" si="2"/>
        <v>17917</v>
      </c>
      <c r="P9" s="124"/>
      <c r="Q9" s="323">
        <f>LF!H9/1000+'FF'!H9/1000+PrF!H9/1000+FSS!H9/1000+PřF!H9/1000+'FI'!H9/1000+PdF!H9/1000+FSpS!H9/1000+ESF!H9/1000</f>
        <v>15862</v>
      </c>
      <c r="R9" s="187">
        <f>LF!I9/1000+'FF'!I9/1000+PrF!I9/1000+FSS!I9/1000+PřF!I9/1000+'FI'!I9/1000+PdF!I9/1000+FSpS!I9/1000+ESF!I9/1000</f>
        <v>2055</v>
      </c>
      <c r="S9" s="187">
        <f>LF!J9/1000+'FF'!J9/1000+PrF!J9/1000+FSS!J9/1000+PřF!J9/1000+'FI'!J9/1000+PdF!J9/1000+FSpS!J9/1000+ESF!J9/1000</f>
        <v>0</v>
      </c>
      <c r="T9" s="187">
        <f>LF!K9/1000+'FF'!K9/1000+PrF!K9/1000+FSS!K9/1000+PřF!K9/1000+'FI'!K9/1000+PdF!K9/1000+FSpS!K9/1000+ESF!K9/1000</f>
        <v>0</v>
      </c>
      <c r="U9" s="324">
        <f>LF!L9/1000+'FF'!L9/1000+PrF!L9/1000+FSS!L9/1000+PřF!L9/1000+'FI'!L9/1000+PdF!L9/1000+FSpS!L9/1000+ESF!L9/1000</f>
        <v>0</v>
      </c>
      <c r="V9" s="325">
        <f>LF!M9/1000+'FF'!M9/1000+PrF!M9/1000+FSS!M9/1000+PřF!M9/1000+'FI'!M9/1000+PdF!M9/1000+FSpS!M9/1000+ESF!M9/1000</f>
        <v>14598.55135</v>
      </c>
    </row>
    <row r="10" spans="1:22" s="98" customFormat="1" ht="12">
      <c r="A10" s="94"/>
      <c r="B10" s="95"/>
      <c r="C10" s="95"/>
      <c r="D10" s="96" t="s">
        <v>23</v>
      </c>
      <c r="E10" s="97">
        <v>8</v>
      </c>
      <c r="F10" s="323">
        <f>LF!F10/1000</f>
        <v>28553</v>
      </c>
      <c r="G10" s="356">
        <f>'FF'!F10/1000</f>
        <v>13000</v>
      </c>
      <c r="H10" s="356">
        <f>PrF!F10/1000</f>
        <v>13000</v>
      </c>
      <c r="I10" s="356">
        <f>FSS!F10/1000</f>
        <v>6280.62</v>
      </c>
      <c r="J10" s="356">
        <f>PřF!F10/1000</f>
        <v>10500</v>
      </c>
      <c r="K10" s="356">
        <f>'FI'!F10/1000</f>
        <v>9500</v>
      </c>
      <c r="L10" s="356">
        <f>PdF!F10/1000</f>
        <v>11499.5</v>
      </c>
      <c r="M10" s="356">
        <f>FSpS!F10/1000</f>
        <v>3800.5</v>
      </c>
      <c r="N10" s="356">
        <f>ESF!F10/1000</f>
        <v>6000</v>
      </c>
      <c r="O10" s="325">
        <f t="shared" si="2"/>
        <v>102133.62</v>
      </c>
      <c r="P10" s="124"/>
      <c r="Q10" s="323">
        <f>LF!H10/1000+'FF'!H10/1000+PrF!H10/1000+FSS!H10/1000+PřF!H10/1000+'FI'!H10/1000+PdF!H10/1000+FSpS!H10/1000+ESF!H10/1000</f>
        <v>98270</v>
      </c>
      <c r="R10" s="187">
        <f>LF!I10/1000+'FF'!I10/1000+PrF!I10/1000+FSS!I10/1000+PřF!I10/1000+'FI'!I10/1000+PdF!I10/1000+FSpS!I10/1000+ESF!I10/1000</f>
        <v>3848</v>
      </c>
      <c r="S10" s="187">
        <f>LF!J10/1000+'FF'!J10/1000+PrF!J10/1000+FSS!J10/1000+PřF!J10/1000+'FI'!J10/1000+PdF!J10/1000+FSpS!J10/1000+ESF!J10/1000</f>
        <v>15.62</v>
      </c>
      <c r="T10" s="187">
        <f>LF!K10/1000+'FF'!K10/1000+PrF!K10/1000+FSS!K10/1000+PřF!K10/1000+'FI'!K10/1000+PdF!K10/1000+FSpS!K10/1000+ESF!K10/1000</f>
        <v>0</v>
      </c>
      <c r="U10" s="324">
        <f>LF!L10/1000+'FF'!L10/1000+PrF!L10/1000+FSS!L10/1000+PřF!L10/1000+'FI'!L10/1000+PdF!L10/1000+FSpS!L10/1000+ESF!L10/1000</f>
        <v>0</v>
      </c>
      <c r="V10" s="325">
        <f>LF!M10/1000+'FF'!M10/1000+PrF!M10/1000+FSS!M10/1000+PřF!M10/1000+'FI'!M10/1000+PdF!M10/1000+FSpS!M10/1000+ESF!M10/1000</f>
        <v>89450.61147000002</v>
      </c>
    </row>
    <row r="11" spans="1:22" s="98" customFormat="1" ht="12">
      <c r="A11" s="94"/>
      <c r="B11" s="95"/>
      <c r="C11" s="95"/>
      <c r="D11" s="96" t="s">
        <v>24</v>
      </c>
      <c r="E11" s="97">
        <v>9</v>
      </c>
      <c r="F11" s="323">
        <f>LF!F11/1000</f>
        <v>19000</v>
      </c>
      <c r="G11" s="356">
        <f>'FF'!F11/1000</f>
        <v>10500</v>
      </c>
      <c r="H11" s="356">
        <f>PrF!F11/1000</f>
        <v>9000</v>
      </c>
      <c r="I11" s="356">
        <f>FSS!F11/1000</f>
        <v>7754</v>
      </c>
      <c r="J11" s="356">
        <f>PřF!F11/1000</f>
        <v>10400</v>
      </c>
      <c r="K11" s="356">
        <f>'FI'!F11/1000</f>
        <v>5150</v>
      </c>
      <c r="L11" s="356">
        <f>PdF!F11/1000</f>
        <v>11102</v>
      </c>
      <c r="M11" s="356">
        <f>FSpS!F11/1000</f>
        <v>6880</v>
      </c>
      <c r="N11" s="356">
        <f>ESF!F11/1000</f>
        <v>7000</v>
      </c>
      <c r="O11" s="325">
        <f t="shared" si="2"/>
        <v>86786</v>
      </c>
      <c r="P11" s="124"/>
      <c r="Q11" s="323">
        <f>LF!H11/1000+'FF'!H11/1000+PrF!H11/1000+FSS!H11/1000+PřF!H11/1000+'FI'!H11/1000+PdF!H11/1000+FSpS!H11/1000+ESF!H11/1000</f>
        <v>85057</v>
      </c>
      <c r="R11" s="187">
        <f>LF!I11/1000+'FF'!I11/1000+PrF!I11/1000+FSS!I11/1000+PřF!I11/1000+'FI'!I11/1000+PdF!I11/1000+FSpS!I11/1000+ESF!I11/1000</f>
        <v>1700</v>
      </c>
      <c r="S11" s="187">
        <f>LF!J11/1000+'FF'!J11/1000+PrF!J11/1000+FSS!J11/1000+PřF!J11/1000+'FI'!J11/1000+PdF!J11/1000+FSpS!J11/1000+ESF!J11/1000</f>
        <v>29</v>
      </c>
      <c r="T11" s="187">
        <f>LF!K11/1000+'FF'!K11/1000+PrF!K11/1000+FSS!K11/1000+PřF!K11/1000+'FI'!K11/1000+PdF!K11/1000+FSpS!K11/1000+ESF!K11/1000</f>
        <v>0</v>
      </c>
      <c r="U11" s="324">
        <f>LF!L11/1000+'FF'!L11/1000+PrF!L11/1000+FSS!L11/1000+PřF!L11/1000+'FI'!L11/1000+PdF!L11/1000+FSpS!L11/1000+ESF!L11/1000</f>
        <v>0</v>
      </c>
      <c r="V11" s="325">
        <f>LF!M11/1000+'FF'!M11/1000+PrF!M11/1000+FSS!M11/1000+PřF!M11/1000+'FI'!M11/1000+PdF!M11/1000+FSpS!M11/1000+ESF!M11/1000</f>
        <v>77716.25992000001</v>
      </c>
    </row>
    <row r="12" spans="1:22" s="98" customFormat="1" ht="12">
      <c r="A12" s="94"/>
      <c r="B12" s="95"/>
      <c r="C12" s="95"/>
      <c r="D12" s="96" t="s">
        <v>25</v>
      </c>
      <c r="E12" s="97">
        <v>10</v>
      </c>
      <c r="F12" s="323">
        <f>LF!F12/1000</f>
        <v>1500</v>
      </c>
      <c r="G12" s="356">
        <f>'FF'!F12/1000</f>
        <v>1500</v>
      </c>
      <c r="H12" s="356">
        <f>PrF!F12/1000</f>
        <v>600</v>
      </c>
      <c r="I12" s="356">
        <f>FSS!F12/1000</f>
        <v>500</v>
      </c>
      <c r="J12" s="356">
        <f>PřF!F12/1000</f>
        <v>2000</v>
      </c>
      <c r="K12" s="356">
        <f>'FI'!F12/1000</f>
        <v>1980</v>
      </c>
      <c r="L12" s="356">
        <f>PdF!F12/1000</f>
        <v>3500</v>
      </c>
      <c r="M12" s="356">
        <f>FSpS!F12/1000</f>
        <v>1250</v>
      </c>
      <c r="N12" s="356">
        <f>ESF!F12/1000</f>
        <v>1100</v>
      </c>
      <c r="O12" s="325">
        <f t="shared" si="2"/>
        <v>13930</v>
      </c>
      <c r="P12" s="124"/>
      <c r="Q12" s="323">
        <f>LF!H12/1000+'FF'!H12/1000+PrF!H12/1000+FSS!H12/1000+PřF!H12/1000+'FI'!H12/1000+PdF!H12/1000+FSpS!H12/1000+ESF!H12/1000</f>
        <v>13730</v>
      </c>
      <c r="R12" s="187">
        <f>LF!I12/1000+'FF'!I12/1000+PrF!I12/1000+FSS!I12/1000+PřF!I12/1000+'FI'!I12/1000+PdF!I12/1000+FSpS!I12/1000+ESF!I12/1000</f>
        <v>200</v>
      </c>
      <c r="S12" s="187">
        <f>LF!J12/1000+'FF'!J12/1000+PrF!J12/1000+FSS!J12/1000+PřF!J12/1000+'FI'!J12/1000+PdF!J12/1000+FSpS!J12/1000+ESF!J12/1000</f>
        <v>0</v>
      </c>
      <c r="T12" s="187">
        <f>LF!K12/1000+'FF'!K12/1000+PrF!K12/1000+FSS!K12/1000+PřF!K12/1000+'FI'!K12/1000+PdF!K12/1000+FSpS!K12/1000+ESF!K12/1000</f>
        <v>0</v>
      </c>
      <c r="U12" s="324">
        <f>LF!L12/1000+'FF'!L12/1000+PrF!L12/1000+FSS!L12/1000+PřF!L12/1000+'FI'!L12/1000+PdF!L12/1000+FSpS!L12/1000+ESF!L12/1000</f>
        <v>0</v>
      </c>
      <c r="V12" s="325">
        <f>LF!M12/1000+'FF'!M12/1000+PrF!M12/1000+FSS!M12/1000+PřF!M12/1000+'FI'!M12/1000+PdF!M12/1000+FSpS!M12/1000+ESF!M12/1000</f>
        <v>11446.85577</v>
      </c>
    </row>
    <row r="13" spans="1:22" s="98" customFormat="1" ht="12">
      <c r="A13" s="94"/>
      <c r="B13" s="95"/>
      <c r="C13" s="95"/>
      <c r="D13" s="96" t="s">
        <v>26</v>
      </c>
      <c r="E13" s="97">
        <v>11</v>
      </c>
      <c r="F13" s="323">
        <f>LF!F13/1000</f>
        <v>31540</v>
      </c>
      <c r="G13" s="356">
        <f>'FF'!F13/1000</f>
        <v>7706</v>
      </c>
      <c r="H13" s="356">
        <f>PrF!F13/1000</f>
        <v>2554</v>
      </c>
      <c r="I13" s="356">
        <f>FSS!F13/1000</f>
        <v>7419</v>
      </c>
      <c r="J13" s="356">
        <f>PřF!F13/1000</f>
        <v>68585</v>
      </c>
      <c r="K13" s="356">
        <f>'FI'!F13/1000</f>
        <v>12620</v>
      </c>
      <c r="L13" s="356">
        <f>PdF!F13/1000</f>
        <v>7462</v>
      </c>
      <c r="M13" s="356">
        <f>FSpS!F13/1000</f>
        <v>1212</v>
      </c>
      <c r="N13" s="356">
        <f>ESF!F13/1000</f>
        <v>6397</v>
      </c>
      <c r="O13" s="325">
        <f t="shared" si="2"/>
        <v>145495</v>
      </c>
      <c r="P13" s="124"/>
      <c r="Q13" s="323">
        <f>LF!H13/1000+'FF'!H13/1000+PrF!H13/1000+FSS!H13/1000+PřF!H13/1000+'FI'!H13/1000+PdF!H13/1000+FSpS!H13/1000+ESF!H13/1000</f>
        <v>145195</v>
      </c>
      <c r="R13" s="187">
        <f>LF!I13/1000+'FF'!I13/1000+PrF!I13/1000+FSS!I13/1000+PřF!I13/1000+'FI'!I13/1000+PdF!I13/1000+FSpS!I13/1000+ESF!I13/1000</f>
        <v>300</v>
      </c>
      <c r="S13" s="187">
        <f>LF!J13/1000+'FF'!J13/1000+PrF!J13/1000+FSS!J13/1000+PřF!J13/1000+'FI'!J13/1000+PdF!J13/1000+FSpS!J13/1000+ESF!J13/1000</f>
        <v>0</v>
      </c>
      <c r="T13" s="187">
        <f>LF!K13/1000+'FF'!K13/1000+PrF!K13/1000+FSS!K13/1000+PřF!K13/1000+'FI'!K13/1000+PdF!K13/1000+FSpS!K13/1000+ESF!K13/1000</f>
        <v>0</v>
      </c>
      <c r="U13" s="324">
        <f>LF!L13/1000+'FF'!L13/1000+PrF!L13/1000+FSS!L13/1000+PřF!L13/1000+'FI'!L13/1000+PdF!L13/1000+FSpS!L13/1000+ESF!L13/1000</f>
        <v>0</v>
      </c>
      <c r="V13" s="325">
        <f>LF!M13/1000+'FF'!M13/1000+PrF!M13/1000+FSS!M13/1000+PřF!M13/1000+'FI'!M13/1000+PdF!M13/1000+FSpS!M13/1000+ESF!M13/1000</f>
        <v>141146.74696000002</v>
      </c>
    </row>
    <row r="14" spans="1:22" s="98" customFormat="1" ht="12">
      <c r="A14" s="94"/>
      <c r="B14" s="95"/>
      <c r="C14" s="95"/>
      <c r="D14" s="96" t="s">
        <v>27</v>
      </c>
      <c r="E14" s="97">
        <v>12</v>
      </c>
      <c r="F14" s="323">
        <f>LF!F14/1000</f>
        <v>2000</v>
      </c>
      <c r="G14" s="356">
        <f>'FF'!F14/1000</f>
        <v>6670</v>
      </c>
      <c r="H14" s="356">
        <f>PrF!F14/1000</f>
        <v>1478</v>
      </c>
      <c r="I14" s="356">
        <f>FSS!F14/1000</f>
        <v>1800</v>
      </c>
      <c r="J14" s="356">
        <f>PřF!F14/1000</f>
        <v>3300</v>
      </c>
      <c r="K14" s="356">
        <f>'FI'!F14/1000</f>
        <v>4864</v>
      </c>
      <c r="L14" s="356">
        <f>PdF!F14/1000</f>
        <v>1000</v>
      </c>
      <c r="M14" s="356">
        <f>FSpS!F14/1000</f>
        <v>760</v>
      </c>
      <c r="N14" s="356">
        <f>ESF!F14/1000</f>
        <v>2600</v>
      </c>
      <c r="O14" s="325">
        <f t="shared" si="2"/>
        <v>24472</v>
      </c>
      <c r="P14" s="124"/>
      <c r="Q14" s="323">
        <f>LF!H14/1000+'FF'!H14/1000+PrF!H14/1000+FSS!H14/1000+PřF!H14/1000+'FI'!H14/1000+PdF!H14/1000+FSpS!H14/1000+ESF!H14/1000</f>
        <v>11368.493</v>
      </c>
      <c r="R14" s="187">
        <f>LF!I14/1000+'FF'!I14/1000+PrF!I14/1000+FSS!I14/1000+PřF!I14/1000+'FI'!I14/1000+PdF!I14/1000+FSpS!I14/1000+ESF!I14/1000</f>
        <v>678</v>
      </c>
      <c r="S14" s="187">
        <f>LF!J14/1000+'FF'!J14/1000+PrF!J14/1000+FSS!J14/1000+PřF!J14/1000+'FI'!J14/1000+PdF!J14/1000+FSpS!J14/1000+ESF!J14/1000</f>
        <v>24</v>
      </c>
      <c r="T14" s="187">
        <f>LF!K14/1000+'FF'!K14/1000+PrF!K14/1000+FSS!K14/1000+PřF!K14/1000+'FI'!K14/1000+PdF!K14/1000+FSpS!K14/1000+ESF!K14/1000</f>
        <v>0</v>
      </c>
      <c r="U14" s="324">
        <f>LF!L14/1000+'FF'!L14/1000+PrF!L14/1000+FSS!L14/1000+PřF!L14/1000+'FI'!L14/1000+PdF!L14/1000+FSpS!L14/1000+ESF!L14/1000</f>
        <v>12401.507</v>
      </c>
      <c r="V14" s="325">
        <f>LF!M14/1000+'FF'!M14/1000+PrF!M14/1000+FSS!M14/1000+PřF!M14/1000+'FI'!M14/1000+PdF!M14/1000+FSpS!M14/1000+ESF!M14/1000</f>
        <v>20783.928599999996</v>
      </c>
    </row>
    <row r="15" spans="1:22" s="98" customFormat="1" ht="12">
      <c r="A15" s="94"/>
      <c r="B15" s="95"/>
      <c r="C15" s="96"/>
      <c r="D15" s="96" t="s">
        <v>28</v>
      </c>
      <c r="E15" s="97">
        <v>13</v>
      </c>
      <c r="F15" s="323">
        <f>LF!F15/1000</f>
        <v>14000</v>
      </c>
      <c r="G15" s="356">
        <f>'FF'!F15/1000</f>
        <v>7544</v>
      </c>
      <c r="H15" s="356">
        <f>PrF!F15/1000</f>
        <v>5000</v>
      </c>
      <c r="I15" s="356">
        <f>FSS!F15/1000</f>
        <v>7065.567118004871</v>
      </c>
      <c r="J15" s="356">
        <f>PřF!F15/1000</f>
        <v>7700.369</v>
      </c>
      <c r="K15" s="356">
        <f>'FI'!F15/1000</f>
        <v>11862.233</v>
      </c>
      <c r="L15" s="356">
        <f>PdF!F15/1000</f>
        <v>3779.5</v>
      </c>
      <c r="M15" s="356">
        <f>FSpS!F15/1000</f>
        <v>3146.6</v>
      </c>
      <c r="N15" s="356">
        <f>ESF!F15/1000</f>
        <v>2407</v>
      </c>
      <c r="O15" s="325">
        <f t="shared" si="2"/>
        <v>62505.26911800487</v>
      </c>
      <c r="P15" s="124"/>
      <c r="Q15" s="323">
        <f>LF!H15/1000+'FF'!H15/1000+PrF!H15/1000+FSS!H15/1000+PřF!H15/1000+'FI'!H15/1000+PdF!H15/1000+FSpS!H15/1000+ESF!H15/1000</f>
        <v>52526.66711800487</v>
      </c>
      <c r="R15" s="187">
        <f>LF!I15/1000+'FF'!I15/1000+PrF!I15/1000+FSS!I15/1000+PřF!I15/1000+'FI'!I15/1000+PdF!I15/1000+FSpS!I15/1000+ESF!I15/1000</f>
        <v>9733.233</v>
      </c>
      <c r="S15" s="187">
        <f>LF!J15/1000+'FF'!J15/1000+PrF!J15/1000+FSS!J15/1000+PřF!J15/1000+'FI'!J15/1000+PdF!J15/1000+FSpS!J15/1000+ESF!J15/1000</f>
        <v>245.369</v>
      </c>
      <c r="T15" s="187">
        <f>LF!K15/1000+'FF'!K15/1000+PrF!K15/1000+FSS!K15/1000+PřF!K15/1000+'FI'!K15/1000+PdF!K15/1000+FSpS!K15/1000+ESF!K15/1000</f>
        <v>0</v>
      </c>
      <c r="U15" s="324">
        <f>LF!L15/1000+'FF'!L15/1000+PrF!L15/1000+FSS!L15/1000+PřF!L15/1000+'FI'!L15/1000+PdF!L15/1000+FSpS!L15/1000+ESF!L15/1000</f>
        <v>0</v>
      </c>
      <c r="V15" s="325">
        <f>LF!M15/1000+'FF'!M15/1000+PrF!M15/1000+FSS!M15/1000+PřF!M15/1000+'FI'!M15/1000+PdF!M15/1000+FSpS!M15/1000+ESF!M15/1000</f>
        <v>79342.34024999998</v>
      </c>
    </row>
    <row r="16" spans="1:22" s="37" customFormat="1" ht="12">
      <c r="A16" s="28"/>
      <c r="B16" s="47" t="s">
        <v>29</v>
      </c>
      <c r="C16" s="39"/>
      <c r="D16" s="39"/>
      <c r="E16" s="40">
        <v>14</v>
      </c>
      <c r="F16" s="326">
        <f>LF!F16/1000</f>
        <v>17745</v>
      </c>
      <c r="G16" s="239">
        <f>'FF'!F16/1000</f>
        <v>17800</v>
      </c>
      <c r="H16" s="239">
        <f>PrF!F16/1000</f>
        <v>4056</v>
      </c>
      <c r="I16" s="239">
        <f>FSS!F16/1000</f>
        <v>12252.5</v>
      </c>
      <c r="J16" s="239">
        <f>PřF!F16/1000</f>
        <v>31000</v>
      </c>
      <c r="K16" s="239">
        <f>'FI'!F16/1000</f>
        <v>3878.55</v>
      </c>
      <c r="L16" s="239">
        <f>PdF!F16/1000</f>
        <v>5260.125</v>
      </c>
      <c r="M16" s="239">
        <f>FSpS!F16/1000</f>
        <v>1500</v>
      </c>
      <c r="N16" s="239">
        <f>ESF!F16/1000</f>
        <v>5746</v>
      </c>
      <c r="O16" s="138">
        <f t="shared" si="2"/>
        <v>99238.175</v>
      </c>
      <c r="P16" s="130"/>
      <c r="Q16" s="326">
        <f>LF!H16/1000+'FF'!H16/1000+PrF!H16/1000+FSS!H16/1000+PřF!H16/1000+'FI'!H16/1000+PdF!H16/1000+FSpS!H16/1000+ESF!H16/1000</f>
        <v>99238.175</v>
      </c>
      <c r="R16" s="137">
        <f>LF!I16/1000+'FF'!I16/1000+PrF!I16/1000+FSS!I16/1000+PřF!I16/1000+'FI'!I16/1000+PdF!I16/1000+FSpS!I16/1000+ESF!I16/1000</f>
        <v>0</v>
      </c>
      <c r="S16" s="137">
        <f>LF!J16/1000+'FF'!J16/1000+PrF!J16/1000+FSS!J16/1000+PřF!J16/1000+'FI'!J16/1000+PdF!J16/1000+FSpS!J16/1000+ESF!J16/1000</f>
        <v>0</v>
      </c>
      <c r="T16" s="137">
        <f>LF!K16/1000+'FF'!K16/1000+PrF!K16/1000+FSS!K16/1000+PřF!K16/1000+'FI'!K16/1000+PdF!K16/1000+FSpS!K16/1000+ESF!K16/1000</f>
        <v>0</v>
      </c>
      <c r="U16" s="195">
        <f>LF!L16/1000+'FF'!L16/1000+PrF!L16/1000+FSS!L16/1000+PřF!L16/1000+'FI'!L16/1000+PdF!L16/1000+FSpS!L16/1000+ESF!L16/1000</f>
        <v>0</v>
      </c>
      <c r="V16" s="138">
        <f>LF!M16/1000+'FF'!M16/1000+PrF!M16/1000+FSS!M16/1000+PřF!M16/1000+'FI'!M16/1000+PdF!M16/1000+FSpS!M16/1000+ESF!M16/1000</f>
        <v>98020</v>
      </c>
    </row>
    <row r="17" spans="1:22" s="37" customFormat="1" ht="12">
      <c r="A17" s="28"/>
      <c r="B17" s="47" t="s">
        <v>31</v>
      </c>
      <c r="C17" s="39"/>
      <c r="D17" s="39"/>
      <c r="E17" s="40">
        <v>15</v>
      </c>
      <c r="F17" s="326">
        <f>LF!F17/1000</f>
        <v>0</v>
      </c>
      <c r="G17" s="239">
        <f>'FF'!F17/1000</f>
        <v>2132</v>
      </c>
      <c r="H17" s="239">
        <f>PrF!F17/1000</f>
        <v>30</v>
      </c>
      <c r="I17" s="239">
        <f>FSS!F17/1000</f>
        <v>1000</v>
      </c>
      <c r="J17" s="239">
        <f>PřF!F17/1000</f>
        <v>1200</v>
      </c>
      <c r="K17" s="239">
        <f>'FI'!F17/1000</f>
        <v>500</v>
      </c>
      <c r="L17" s="239">
        <f>PdF!F17/1000</f>
        <v>207</v>
      </c>
      <c r="M17" s="239">
        <f>FSpS!F17/1000</f>
        <v>80</v>
      </c>
      <c r="N17" s="239">
        <f>ESF!F17/1000</f>
        <v>301</v>
      </c>
      <c r="O17" s="138">
        <f t="shared" si="2"/>
        <v>5450</v>
      </c>
      <c r="P17" s="130"/>
      <c r="Q17" s="326">
        <f>LF!H17/1000+'FF'!H17/1000+PrF!H17/1000+FSS!H17/1000+PřF!H17/1000+'FI'!H17/1000+PdF!H17/1000+FSpS!H17/1000+ESF!H17/1000</f>
        <v>5450</v>
      </c>
      <c r="R17" s="137">
        <f>LF!I17/1000+'FF'!I17/1000+PrF!I17/1000+FSS!I17/1000+PřF!I17/1000+'FI'!I17/1000+PdF!I17/1000+FSpS!I17/1000+ESF!I17/1000</f>
        <v>0</v>
      </c>
      <c r="S17" s="137">
        <f>LF!J17/1000+'FF'!J17/1000+PrF!J17/1000+FSS!J17/1000+PřF!J17/1000+'FI'!J17/1000+PdF!J17/1000+FSpS!J17/1000+ESF!J17/1000</f>
        <v>0</v>
      </c>
      <c r="T17" s="137">
        <f>LF!K17/1000+'FF'!K17/1000+PrF!K17/1000+FSS!K17/1000+PřF!K17/1000+'FI'!K17/1000+PdF!K17/1000+FSpS!K17/1000+ESF!K17/1000</f>
        <v>0</v>
      </c>
      <c r="U17" s="195">
        <f>LF!L17/1000+'FF'!L17/1000+PrF!L17/1000+FSS!L17/1000+PřF!L17/1000+'FI'!L17/1000+PdF!L17/1000+FSpS!L17/1000+ESF!L17/1000</f>
        <v>0</v>
      </c>
      <c r="V17" s="138">
        <f>LF!M17/1000+'FF'!M17/1000+PrF!M17/1000+FSS!M17/1000+PřF!M17/1000+'FI'!M17/1000+PdF!M17/1000+FSpS!M17/1000+ESF!M17/1000</f>
        <v>9795.064</v>
      </c>
    </row>
    <row r="18" spans="1:22" s="37" customFormat="1" ht="12">
      <c r="A18" s="28"/>
      <c r="B18" s="48" t="s">
        <v>33</v>
      </c>
      <c r="C18" s="49"/>
      <c r="D18" s="49"/>
      <c r="E18" s="50">
        <v>16</v>
      </c>
      <c r="F18" s="326">
        <f>LF!F18/1000</f>
        <v>0</v>
      </c>
      <c r="G18" s="239">
        <f>'FF'!F18/1000</f>
        <v>19568</v>
      </c>
      <c r="H18" s="239">
        <f>PrF!F18/1000</f>
        <v>510</v>
      </c>
      <c r="I18" s="239">
        <f>FSS!F18/1000</f>
        <v>6500</v>
      </c>
      <c r="J18" s="239">
        <f>PřF!F18/1000</f>
        <v>8500</v>
      </c>
      <c r="K18" s="239">
        <f>'FI'!F18/1000</f>
        <v>20339</v>
      </c>
      <c r="L18" s="239">
        <f>PdF!F18/1000</f>
        <v>1517</v>
      </c>
      <c r="M18" s="239">
        <f>FSpS!F18/1000</f>
        <v>1620</v>
      </c>
      <c r="N18" s="239">
        <f>ESF!F18/1000</f>
        <v>5347</v>
      </c>
      <c r="O18" s="138">
        <f t="shared" si="2"/>
        <v>63901</v>
      </c>
      <c r="P18" s="130"/>
      <c r="Q18" s="326">
        <f>LF!H18/1000+'FF'!H18/1000+PrF!H18/1000+FSS!H18/1000+PřF!H18/1000+'FI'!H18/1000+PdF!H18/1000+FSpS!H18/1000+ESF!H18/1000</f>
        <v>63901</v>
      </c>
      <c r="R18" s="137">
        <f>LF!I18/1000+'FF'!I18/1000+PrF!I18/1000+FSS!I18/1000+PřF!I18/1000+'FI'!I18/1000+PdF!I18/1000+FSpS!I18/1000+ESF!I18/1000</f>
        <v>0</v>
      </c>
      <c r="S18" s="137">
        <f>LF!J18/1000+'FF'!J18/1000+PrF!J18/1000+FSS!J18/1000+PřF!J18/1000+'FI'!J18/1000+PdF!J18/1000+FSpS!J18/1000+ESF!J18/1000</f>
        <v>0</v>
      </c>
      <c r="T18" s="137">
        <f>LF!K18/1000+'FF'!K18/1000+PrF!K18/1000+FSS!K18/1000+PřF!K18/1000+'FI'!K18/1000+PdF!K18/1000+FSpS!K18/1000+ESF!K18/1000</f>
        <v>0</v>
      </c>
      <c r="U18" s="195">
        <f>LF!L18/1000+'FF'!L18/1000+PrF!L18/1000+FSS!L18/1000+PřF!L18/1000+'FI'!L18/1000+PdF!L18/1000+FSpS!L18/1000+ESF!L18/1000</f>
        <v>0</v>
      </c>
      <c r="V18" s="138">
        <f>LF!M18/1000+'FF'!M18/1000+PrF!M18/1000+FSS!M18/1000+PřF!M18/1000+'FI'!M18/1000+PdF!M18/1000+FSpS!M18/1000+ESF!M18/1000</f>
        <v>49432.51513</v>
      </c>
    </row>
    <row r="19" spans="1:22" s="37" customFormat="1" ht="12">
      <c r="A19" s="28"/>
      <c r="B19" s="48" t="s">
        <v>35</v>
      </c>
      <c r="C19" s="49"/>
      <c r="D19" s="49"/>
      <c r="E19" s="50">
        <v>17</v>
      </c>
      <c r="F19" s="326">
        <f>LF!F19/1000</f>
        <v>748</v>
      </c>
      <c r="G19" s="239">
        <f>'FF'!F19/1000</f>
        <v>2703</v>
      </c>
      <c r="H19" s="239">
        <f>PrF!F19/1000</f>
        <v>0</v>
      </c>
      <c r="I19" s="239">
        <f>FSS!F19/1000</f>
        <v>400</v>
      </c>
      <c r="J19" s="239">
        <f>PřF!F19/1000</f>
        <v>3203</v>
      </c>
      <c r="K19" s="239">
        <f>'FI'!F19/1000</f>
        <v>60</v>
      </c>
      <c r="L19" s="239">
        <f>PdF!F19/1000</f>
        <v>211</v>
      </c>
      <c r="M19" s="239">
        <f>FSpS!F19/1000</f>
        <v>680</v>
      </c>
      <c r="N19" s="239">
        <f>ESF!F19/1000</f>
        <v>410</v>
      </c>
      <c r="O19" s="138">
        <f t="shared" si="2"/>
        <v>8415</v>
      </c>
      <c r="P19" s="130"/>
      <c r="Q19" s="326">
        <f>LF!H19/1000+'FF'!H19/1000+PrF!H19/1000+FSS!H19/1000+PřF!H19/1000+'FI'!H19/1000+PdF!H19/1000+FSpS!H19/1000+ESF!H19/1000</f>
        <v>8415</v>
      </c>
      <c r="R19" s="137">
        <f>LF!I19/1000+'FF'!I19/1000+PrF!I19/1000+FSS!I19/1000+PřF!I19/1000+'FI'!I19/1000+PdF!I19/1000+FSpS!I19/1000+ESF!I19/1000</f>
        <v>0</v>
      </c>
      <c r="S19" s="137">
        <f>LF!J19/1000+'FF'!J19/1000+PrF!J19/1000+FSS!J19/1000+PřF!J19/1000+'FI'!J19/1000+PdF!J19/1000+FSpS!J19/1000+ESF!J19/1000</f>
        <v>0</v>
      </c>
      <c r="T19" s="137">
        <f>LF!K19/1000+'FF'!K19/1000+PrF!K19/1000+FSS!K19/1000+PřF!K19/1000+'FI'!K19/1000+PdF!K19/1000+FSpS!K19/1000+ESF!K19/1000</f>
        <v>0</v>
      </c>
      <c r="U19" s="195">
        <f>LF!L19/1000+'FF'!L19/1000+PrF!L19/1000+FSS!L19/1000+PřF!L19/1000+'FI'!L19/1000+PdF!L19/1000+FSpS!L19/1000+ESF!L19/1000</f>
        <v>0</v>
      </c>
      <c r="V19" s="138">
        <f>LF!M19/1000+'FF'!M19/1000+PrF!M19/1000+FSS!M19/1000+PřF!M19/1000+'FI'!M19/1000+PdF!M19/1000+FSpS!M19/1000+ESF!M19/1000</f>
        <v>8763.332999999999</v>
      </c>
    </row>
    <row r="20" spans="1:22" s="37" customFormat="1" ht="12">
      <c r="A20" s="28"/>
      <c r="B20" s="48" t="s">
        <v>37</v>
      </c>
      <c r="C20" s="48"/>
      <c r="D20" s="48"/>
      <c r="E20" s="50">
        <v>18</v>
      </c>
      <c r="F20" s="326">
        <f>LF!F20/1000</f>
        <v>0</v>
      </c>
      <c r="G20" s="239">
        <f>'FF'!F20/1000</f>
        <v>177</v>
      </c>
      <c r="H20" s="239">
        <f>PrF!F20/1000</f>
        <v>0</v>
      </c>
      <c r="I20" s="239">
        <f>FSS!F20/1000</f>
        <v>1000</v>
      </c>
      <c r="J20" s="239">
        <f>PřF!F20/1000</f>
        <v>100</v>
      </c>
      <c r="K20" s="239">
        <f>'FI'!F20/1000</f>
        <v>0</v>
      </c>
      <c r="L20" s="239">
        <f>PdF!F20/1000</f>
        <v>1120</v>
      </c>
      <c r="M20" s="239">
        <f>FSpS!F20/1000</f>
        <v>0</v>
      </c>
      <c r="N20" s="239">
        <f>ESF!F20/1000</f>
        <v>0</v>
      </c>
      <c r="O20" s="138">
        <f t="shared" si="2"/>
        <v>2397</v>
      </c>
      <c r="P20" s="130"/>
      <c r="Q20" s="326">
        <f>LF!H20/1000+'FF'!H20/1000+PrF!H20/1000+FSS!H20/1000+PřF!H20/1000+'FI'!H20/1000+PdF!H20/1000+FSpS!H20/1000+ESF!H20/1000</f>
        <v>2397</v>
      </c>
      <c r="R20" s="137">
        <f>LF!I20/1000+'FF'!I20/1000+PrF!I20/1000+FSS!I20/1000+PřF!I20/1000+'FI'!I20/1000+PdF!I20/1000+FSpS!I20/1000+ESF!I20/1000</f>
        <v>0</v>
      </c>
      <c r="S20" s="137">
        <f>LF!J20/1000+'FF'!J20/1000+PrF!J20/1000+FSS!J20/1000+PřF!J20/1000+'FI'!J20/1000+PdF!J20/1000+FSpS!J20/1000+ESF!J20/1000</f>
        <v>0</v>
      </c>
      <c r="T20" s="137">
        <f>LF!K20/1000+'FF'!K20/1000+PrF!K20/1000+FSS!K20/1000+PřF!K20/1000+'FI'!K20/1000+PdF!K20/1000+FSpS!K20/1000+ESF!K20/1000</f>
        <v>0</v>
      </c>
      <c r="U20" s="195">
        <f>LF!L20/1000+'FF'!L20/1000+PrF!L20/1000+FSS!L20/1000+PřF!L20/1000+'FI'!L20/1000+PdF!L20/1000+FSpS!L20/1000+ESF!L20/1000</f>
        <v>0</v>
      </c>
      <c r="V20" s="138">
        <f>LF!M20/1000+'FF'!M20/1000+PrF!M20/1000+FSS!M20/1000+PřF!M20/1000+'FI'!M20/1000+PdF!M20/1000+FSpS!M20/1000+ESF!M20/1000</f>
        <v>3394.59</v>
      </c>
    </row>
    <row r="21" spans="1:22" s="37" customFormat="1" ht="12">
      <c r="A21" s="28"/>
      <c r="B21" s="48" t="s">
        <v>39</v>
      </c>
      <c r="C21" s="48"/>
      <c r="D21" s="48"/>
      <c r="E21" s="50">
        <v>19</v>
      </c>
      <c r="F21" s="326">
        <f>LF!F21/1000</f>
        <v>0</v>
      </c>
      <c r="G21" s="239">
        <f>'FF'!F21/1000</f>
        <v>6194</v>
      </c>
      <c r="H21" s="239">
        <f>PrF!F21/1000</f>
        <v>0</v>
      </c>
      <c r="I21" s="239">
        <f>FSS!F21/1000</f>
        <v>6286.767</v>
      </c>
      <c r="J21" s="239">
        <f>PřF!F21/1000</f>
        <v>0</v>
      </c>
      <c r="K21" s="239">
        <f>'FI'!F21/1000</f>
        <v>0</v>
      </c>
      <c r="L21" s="239">
        <f>PdF!F21/1000</f>
        <v>6000</v>
      </c>
      <c r="M21" s="239">
        <f>FSpS!F21/1000</f>
        <v>0</v>
      </c>
      <c r="N21" s="239">
        <f>ESF!F21/1000</f>
        <v>0</v>
      </c>
      <c r="O21" s="138">
        <f t="shared" si="2"/>
        <v>18480.767</v>
      </c>
      <c r="P21" s="130"/>
      <c r="Q21" s="326">
        <f>LF!H21/1000+'FF'!H21/1000+PrF!H21/1000+FSS!H21/1000+PřF!H21/1000+'FI'!H21/1000+PdF!H21/1000+FSpS!H21/1000+ESF!H21/1000</f>
        <v>18194</v>
      </c>
      <c r="R21" s="137">
        <f>LF!I21/1000+'FF'!I21/1000+PrF!I21/1000+FSS!I21/1000+PřF!I21/1000+'FI'!I21/1000+PdF!I21/1000+FSpS!I21/1000+ESF!I21/1000</f>
        <v>0</v>
      </c>
      <c r="S21" s="137">
        <f>LF!J21/1000+'FF'!J21/1000+PrF!J21/1000+FSS!J21/1000+PřF!J21/1000+'FI'!J21/1000+PdF!J21/1000+FSpS!J21/1000+ESF!J21/1000</f>
        <v>286.767</v>
      </c>
      <c r="T21" s="137">
        <f>LF!K21/1000+'FF'!K21/1000+PrF!K21/1000+FSS!K21/1000+PřF!K21/1000+'FI'!K21/1000+PdF!K21/1000+FSpS!K21/1000+ESF!K21/1000</f>
        <v>0</v>
      </c>
      <c r="U21" s="195">
        <f>LF!L21/1000+'FF'!L21/1000+PrF!L21/1000+FSS!L21/1000+PřF!L21/1000+'FI'!L21/1000+PdF!L21/1000+FSpS!L21/1000+ESF!L21/1000</f>
        <v>0</v>
      </c>
      <c r="V21" s="138">
        <f>LF!M21/1000+'FF'!M21/1000+PrF!M21/1000+FSS!M21/1000+PřF!M21/1000+'FI'!M21/1000+PdF!M21/1000+FSpS!M21/1000+ESF!M21/1000</f>
        <v>23333.94126</v>
      </c>
    </row>
    <row r="22" spans="1:22" s="37" customFormat="1" ht="12">
      <c r="A22" s="28"/>
      <c r="B22" s="48" t="s">
        <v>41</v>
      </c>
      <c r="C22" s="48"/>
      <c r="D22" s="48"/>
      <c r="E22" s="50">
        <v>20</v>
      </c>
      <c r="F22" s="326">
        <f>LF!F22/1000</f>
        <v>0</v>
      </c>
      <c r="G22" s="239">
        <f>'FF'!F22/1000</f>
        <v>2111</v>
      </c>
      <c r="H22" s="239">
        <f>PrF!F22/1000</f>
        <v>0</v>
      </c>
      <c r="I22" s="239">
        <f>FSS!F22/1000</f>
        <v>0</v>
      </c>
      <c r="J22" s="239">
        <f>PřF!F22/1000</f>
        <v>2499.81785</v>
      </c>
      <c r="K22" s="239">
        <f>'FI'!F22/1000</f>
        <v>0</v>
      </c>
      <c r="L22" s="239">
        <f>PdF!F22/1000</f>
        <v>2615.488</v>
      </c>
      <c r="M22" s="239">
        <f>FSpS!F22/1000</f>
        <v>3000</v>
      </c>
      <c r="N22" s="239">
        <f>ESF!F22/1000</f>
        <v>0</v>
      </c>
      <c r="O22" s="138">
        <f t="shared" si="2"/>
        <v>10226.305849999999</v>
      </c>
      <c r="P22" s="130"/>
      <c r="Q22" s="326">
        <f>LF!H22/1000+'FF'!H22/1000+PrF!H22/1000+FSS!H22/1000+PřF!H22/1000+'FI'!H22/1000+PdF!H22/1000+FSpS!H22/1000+ESF!H22/1000</f>
        <v>8895.994999999999</v>
      </c>
      <c r="R22" s="137">
        <f>LF!I22/1000+'FF'!I22/1000+PrF!I22/1000+FSS!I22/1000+PřF!I22/1000+'FI'!I22/1000+PdF!I22/1000+FSpS!I22/1000+ESF!I22/1000</f>
        <v>0</v>
      </c>
      <c r="S22" s="137">
        <f>LF!J22/1000+'FF'!J22/1000+PrF!J22/1000+FSS!J22/1000+PřF!J22/1000+'FI'!J22/1000+PdF!J22/1000+FSpS!J22/1000+ESF!J22/1000</f>
        <v>1330.31085</v>
      </c>
      <c r="T22" s="137">
        <f>LF!K22/1000+'FF'!K22/1000+PrF!K22/1000+FSS!K22/1000+PřF!K22/1000+'FI'!K22/1000+PdF!K22/1000+FSpS!K22/1000+ESF!K22/1000</f>
        <v>0</v>
      </c>
      <c r="U22" s="195">
        <f>LF!L22/1000+'FF'!L22/1000+PrF!L22/1000+FSS!L22/1000+PřF!L22/1000+'FI'!L22/1000+PdF!L22/1000+FSpS!L22/1000+ESF!L22/1000</f>
        <v>0</v>
      </c>
      <c r="V22" s="138">
        <f>LF!M22/1000+'FF'!M22/1000+PrF!M22/1000+FSS!M22/1000+PřF!M22/1000+'FI'!M22/1000+PdF!M22/1000+FSpS!M22/1000+ESF!M22/1000</f>
        <v>15899.404999999999</v>
      </c>
    </row>
    <row r="23" spans="1:22" s="37" customFormat="1" ht="12">
      <c r="A23" s="28"/>
      <c r="B23" s="48" t="s">
        <v>43</v>
      </c>
      <c r="C23" s="48"/>
      <c r="D23" s="48"/>
      <c r="E23" s="50">
        <v>21</v>
      </c>
      <c r="F23" s="326">
        <f>LF!F23/1000</f>
        <v>54945</v>
      </c>
      <c r="G23" s="239">
        <f>'FF'!F23/1000</f>
        <v>30381</v>
      </c>
      <c r="H23" s="239">
        <f>PrF!F23/1000</f>
        <v>6474</v>
      </c>
      <c r="I23" s="239">
        <f>FSS!F23/1000</f>
        <v>27813.10372</v>
      </c>
      <c r="J23" s="239">
        <f>PřF!F23/1000</f>
        <v>155515.17311</v>
      </c>
      <c r="K23" s="239">
        <f>'FI'!F23/1000</f>
        <v>11773.438</v>
      </c>
      <c r="L23" s="239">
        <f>PdF!F23/1000</f>
        <v>19689</v>
      </c>
      <c r="M23" s="239">
        <f>FSpS!F23/1000</f>
        <v>0</v>
      </c>
      <c r="N23" s="239">
        <f>ESF!F23/1000</f>
        <v>400</v>
      </c>
      <c r="O23" s="138">
        <f t="shared" si="2"/>
        <v>306990.71483</v>
      </c>
      <c r="P23" s="130"/>
      <c r="Q23" s="326">
        <f>LF!H23/1000+'FF'!H23/1000+PrF!H23/1000+FSS!H23/1000+PřF!H23/1000+'FI'!H23/1000+PdF!H23/1000+FSpS!H23/1000+ESF!H23/1000</f>
        <v>303135</v>
      </c>
      <c r="R23" s="137">
        <f>LF!I23/1000+'FF'!I23/1000+PrF!I23/1000+FSS!I23/1000+PřF!I23/1000+'FI'!I23/1000+PdF!I23/1000+FSpS!I23/1000+ESF!I23/1000</f>
        <v>0</v>
      </c>
      <c r="S23" s="137">
        <f>LF!J23/1000+'FF'!J23/1000+PrF!J23/1000+FSS!J23/1000+PřF!J23/1000+'FI'!J23/1000+PdF!J23/1000+FSpS!J23/1000+ESF!J23/1000</f>
        <v>3855.71483</v>
      </c>
      <c r="T23" s="137">
        <f>LF!K23/1000+'FF'!K23/1000+PrF!K23/1000+FSS!K23/1000+PřF!K23/1000+'FI'!K23/1000+PdF!K23/1000+FSpS!K23/1000+ESF!K23/1000</f>
        <v>0</v>
      </c>
      <c r="U23" s="195">
        <f>LF!L23/1000+'FF'!L23/1000+PrF!L23/1000+FSS!L23/1000+PřF!L23/1000+'FI'!L23/1000+PdF!L23/1000+FSpS!L23/1000+ESF!L23/1000</f>
        <v>0</v>
      </c>
      <c r="V23" s="138">
        <f>LF!M23/1000+'FF'!M23/1000+PrF!M23/1000+FSS!M23/1000+PřF!M23/1000+'FI'!M23/1000+PdF!M23/1000+FSpS!M23/1000+ESF!M23/1000</f>
        <v>257524.59550000002</v>
      </c>
    </row>
    <row r="24" spans="1:22" s="37" customFormat="1" ht="12">
      <c r="A24" s="28"/>
      <c r="B24" s="48" t="s">
        <v>45</v>
      </c>
      <c r="C24" s="48"/>
      <c r="D24" s="48"/>
      <c r="E24" s="50">
        <v>22</v>
      </c>
      <c r="F24" s="326">
        <f>LF!F24/1000</f>
        <v>60440</v>
      </c>
      <c r="G24" s="239">
        <f>'FF'!F24/1000</f>
        <v>22597</v>
      </c>
      <c r="H24" s="239">
        <f>PrF!F24/1000</f>
        <v>850</v>
      </c>
      <c r="I24" s="239">
        <f>FSS!F24/1000</f>
        <v>10052.216</v>
      </c>
      <c r="J24" s="239">
        <f>PřF!F24/1000</f>
        <v>74784.45406</v>
      </c>
      <c r="K24" s="239">
        <f>'FI'!F24/1000</f>
        <v>26270.112</v>
      </c>
      <c r="L24" s="239">
        <f>PdF!F24/1000</f>
        <v>5229</v>
      </c>
      <c r="M24" s="239">
        <f>FSpS!F24/1000</f>
        <v>0</v>
      </c>
      <c r="N24" s="239">
        <f>ESF!F24/1000</f>
        <v>21325</v>
      </c>
      <c r="O24" s="138">
        <f t="shared" si="2"/>
        <v>221547.78206</v>
      </c>
      <c r="P24" s="130"/>
      <c r="Q24" s="326">
        <f>LF!H24/1000+'FF'!H24/1000+PrF!H24/1000+FSS!H24/1000+PřF!H24/1000+'FI'!H24/1000+PdF!H24/1000+FSpS!H24/1000+ESF!H24/1000</f>
        <v>220519</v>
      </c>
      <c r="R24" s="137">
        <f>LF!I24/1000+'FF'!I24/1000+PrF!I24/1000+FSS!I24/1000+PřF!I24/1000+'FI'!I24/1000+PdF!I24/1000+FSpS!I24/1000+ESF!I24/1000</f>
        <v>0</v>
      </c>
      <c r="S24" s="137">
        <f>LF!J24/1000+'FF'!J24/1000+PrF!J24/1000+FSS!J24/1000+PřF!J24/1000+'FI'!J24/1000+PdF!J24/1000+FSpS!J24/1000+ESF!J24/1000</f>
        <v>1028.78206</v>
      </c>
      <c r="T24" s="137">
        <f>LF!K24/1000+'FF'!K24/1000+PrF!K24/1000+FSS!K24/1000+PřF!K24/1000+'FI'!K24/1000+PdF!K24/1000+FSpS!K24/1000+ESF!K24/1000</f>
        <v>0</v>
      </c>
      <c r="U24" s="195">
        <f>LF!L24/1000+'FF'!L24/1000+PrF!L24/1000+FSS!L24/1000+PřF!L24/1000+'FI'!L24/1000+PdF!L24/1000+FSpS!L24/1000+ESF!L24/1000</f>
        <v>0</v>
      </c>
      <c r="V24" s="138">
        <f>LF!M24/1000+'FF'!M24/1000+PrF!M24/1000+FSS!M24/1000+PřF!M24/1000+'FI'!M24/1000+PdF!M24/1000+FSpS!M24/1000+ESF!M24/1000</f>
        <v>222957.98055</v>
      </c>
    </row>
    <row r="25" spans="1:22" s="37" customFormat="1" ht="12">
      <c r="A25" s="28"/>
      <c r="B25" s="48" t="s">
        <v>46</v>
      </c>
      <c r="C25" s="48"/>
      <c r="D25" s="48"/>
      <c r="E25" s="50">
        <v>23</v>
      </c>
      <c r="F25" s="326">
        <f>LF!F25/1000</f>
        <v>816</v>
      </c>
      <c r="G25" s="239">
        <f>'FF'!F25/1000</f>
        <v>15</v>
      </c>
      <c r="H25" s="239">
        <f>PrF!F25/1000</f>
        <v>0</v>
      </c>
      <c r="I25" s="239">
        <f>FSS!F25/1000</f>
        <v>0</v>
      </c>
      <c r="J25" s="239">
        <f>PřF!F25/1000</f>
        <v>22999.564730000002</v>
      </c>
      <c r="K25" s="239">
        <f>'FI'!F25/1000</f>
        <v>3340.237</v>
      </c>
      <c r="L25" s="239">
        <f>PdF!F25/1000</f>
        <v>0</v>
      </c>
      <c r="M25" s="239">
        <f>FSpS!F25/1000</f>
        <v>150</v>
      </c>
      <c r="N25" s="239">
        <f>ESF!F25/1000</f>
        <v>0</v>
      </c>
      <c r="O25" s="138">
        <f t="shared" si="2"/>
        <v>27320.801730000003</v>
      </c>
      <c r="P25" s="130"/>
      <c r="Q25" s="326">
        <f>LF!H25/1000+'FF'!H25/1000+PrF!H25/1000+FSS!H25/1000+PřF!H25/1000+'FI'!H25/1000+PdF!H25/1000+FSpS!H25/1000+ESF!H25/1000</f>
        <v>20594.739999999998</v>
      </c>
      <c r="R25" s="137">
        <f>LF!I25/1000+'FF'!I25/1000+PrF!I25/1000+FSS!I25/1000+PřF!I25/1000+'FI'!I25/1000+PdF!I25/1000+FSpS!I25/1000+ESF!I25/1000</f>
        <v>0</v>
      </c>
      <c r="S25" s="137">
        <f>LF!J25/1000+'FF'!J25/1000+PrF!J25/1000+FSS!J25/1000+PřF!J25/1000+'FI'!J25/1000+PdF!J25/1000+FSpS!J25/1000+ESF!J25/1000</f>
        <v>6726.061729999999</v>
      </c>
      <c r="T25" s="137">
        <f>LF!K25/1000+'FF'!K25/1000+PrF!K25/1000+FSS!K25/1000+PřF!K25/1000+'FI'!K25/1000+PdF!K25/1000+FSpS!K25/1000+ESF!K25/1000</f>
        <v>0</v>
      </c>
      <c r="U25" s="195">
        <f>LF!L25/1000+'FF'!L25/1000+PrF!L25/1000+FSS!L25/1000+PřF!L25/1000+'FI'!L25/1000+PdF!L25/1000+FSpS!L25/1000+ESF!L25/1000</f>
        <v>0</v>
      </c>
      <c r="V25" s="138">
        <f>LF!M25/1000+'FF'!M25/1000+PrF!M25/1000+FSS!M25/1000+PřF!M25/1000+'FI'!M25/1000+PdF!M25/1000+FSpS!M25/1000+ESF!M25/1000</f>
        <v>26566.334</v>
      </c>
    </row>
    <row r="26" spans="1:22" s="37" customFormat="1" ht="12">
      <c r="A26" s="28"/>
      <c r="B26" s="48" t="s">
        <v>48</v>
      </c>
      <c r="C26" s="48"/>
      <c r="D26" s="48"/>
      <c r="E26" s="50">
        <v>24</v>
      </c>
      <c r="F26" s="326">
        <f>LF!F26/1000</f>
        <v>6466</v>
      </c>
      <c r="G26" s="239">
        <f>'FF'!F26/1000</f>
        <v>127</v>
      </c>
      <c r="H26" s="239">
        <f>PrF!F26/1000</f>
        <v>0</v>
      </c>
      <c r="I26" s="239">
        <f>FSS!F26/1000</f>
        <v>4784.4</v>
      </c>
      <c r="J26" s="239">
        <f>PřF!F26/1000</f>
        <v>12393.09685</v>
      </c>
      <c r="K26" s="239">
        <f>'FI'!F26/1000</f>
        <v>6265</v>
      </c>
      <c r="L26" s="239">
        <f>PdF!F26/1000</f>
        <v>0</v>
      </c>
      <c r="M26" s="239">
        <f>FSpS!F26/1000</f>
        <v>0</v>
      </c>
      <c r="N26" s="239">
        <f>ESF!F26/1000</f>
        <v>189</v>
      </c>
      <c r="O26" s="138">
        <f t="shared" si="2"/>
        <v>30224.49685</v>
      </c>
      <c r="P26" s="130"/>
      <c r="Q26" s="326">
        <f>LF!H26/1000+'FF'!H26/1000+PrF!H26/1000+FSS!H26/1000+PřF!H26/1000+'FI'!H26/1000+PdF!H26/1000+FSpS!H26/1000+ESF!H26/1000</f>
        <v>28707</v>
      </c>
      <c r="R26" s="137">
        <f>LF!I26/1000+'FF'!I26/1000+PrF!I26/1000+FSS!I26/1000+PřF!I26/1000+'FI'!I26/1000+PdF!I26/1000+FSpS!I26/1000+ESF!I26/1000</f>
        <v>0</v>
      </c>
      <c r="S26" s="137">
        <f>LF!J26/1000+'FF'!J26/1000+PrF!J26/1000+FSS!J26/1000+PřF!J26/1000+'FI'!J26/1000+PdF!J26/1000+FSpS!J26/1000+ESF!J26/1000</f>
        <v>1517.49685</v>
      </c>
      <c r="T26" s="137">
        <f>LF!K26/1000+'FF'!K26/1000+PrF!K26/1000+FSS!K26/1000+PřF!K26/1000+'FI'!K26/1000+PdF!K26/1000+FSpS!K26/1000+ESF!K26/1000</f>
        <v>0</v>
      </c>
      <c r="U26" s="195">
        <f>LF!L26/1000+'FF'!L26/1000+PrF!L26/1000+FSS!L26/1000+PřF!L26/1000+'FI'!L26/1000+PdF!L26/1000+FSpS!L26/1000+ESF!L26/1000</f>
        <v>0</v>
      </c>
      <c r="V26" s="138">
        <f>LF!M26/1000+'FF'!M26/1000+PrF!M26/1000+FSS!M26/1000+PřF!M26/1000+'FI'!M26/1000+PdF!M26/1000+FSpS!M26/1000+ESF!M26/1000</f>
        <v>36987.54825</v>
      </c>
    </row>
    <row r="27" spans="1:22" s="37" customFormat="1" ht="12.75" thickBot="1">
      <c r="A27" s="28"/>
      <c r="B27" s="47" t="s">
        <v>50</v>
      </c>
      <c r="C27" s="47"/>
      <c r="D27" s="47"/>
      <c r="E27" s="40">
        <v>25</v>
      </c>
      <c r="F27" s="326">
        <f>LF!F27/1000</f>
        <v>2000</v>
      </c>
      <c r="G27" s="239">
        <f>'FF'!F27/1000</f>
        <v>300</v>
      </c>
      <c r="H27" s="239">
        <f>PrF!F27/1000</f>
        <v>280</v>
      </c>
      <c r="I27" s="239">
        <f>FSS!F27/1000</f>
        <v>450</v>
      </c>
      <c r="J27" s="239">
        <f>PřF!F27/1000</f>
        <v>17000</v>
      </c>
      <c r="K27" s="239">
        <f>'FI'!F27/1000</f>
        <v>0</v>
      </c>
      <c r="L27" s="239">
        <f>PdF!F27/1000</f>
        <v>30</v>
      </c>
      <c r="M27" s="239">
        <f>FSpS!F27/1000</f>
        <v>955</v>
      </c>
      <c r="N27" s="239">
        <f>ESF!F27/1000</f>
        <v>2502</v>
      </c>
      <c r="O27" s="138">
        <f t="shared" si="2"/>
        <v>23517</v>
      </c>
      <c r="P27" s="130"/>
      <c r="Q27" s="326">
        <f>LF!H27/1000+'FF'!H27/1000+PrF!H27/1000+FSS!H27/1000+PřF!H27/1000+'FI'!H27/1000+PdF!H27/1000+FSpS!H27/1000+ESF!H27/1000</f>
        <v>23517</v>
      </c>
      <c r="R27" s="137">
        <f>LF!I27/1000+'FF'!I27/1000+PrF!I27/1000+FSS!I27/1000+PřF!I27/1000+'FI'!I27/1000+PdF!I27/1000+FSpS!I27/1000+ESF!I27/1000</f>
        <v>0</v>
      </c>
      <c r="S27" s="137">
        <f>LF!J27/1000+'FF'!J27/1000+PrF!J27/1000+FSS!J27/1000+PřF!J27/1000+'FI'!J27/1000+PdF!J27/1000+FSpS!J27/1000+ESF!J27/1000</f>
        <v>0</v>
      </c>
      <c r="T27" s="137">
        <f>LF!K27/1000+'FF'!K27/1000+PrF!K27/1000+FSS!K27/1000+PřF!K27/1000+'FI'!K27/1000+PdF!K27/1000+FSpS!K27/1000+ESF!K27/1000</f>
        <v>0</v>
      </c>
      <c r="U27" s="195">
        <f>LF!L27/1000+'FF'!L27/1000+PrF!L27/1000+FSS!L27/1000+PřF!L27/1000+'FI'!L27/1000+PdF!L27/1000+FSpS!L27/1000+ESF!L27/1000</f>
        <v>0</v>
      </c>
      <c r="V27" s="138">
        <f>LF!M27/1000+'FF'!M27/1000+PrF!M27/1000+FSS!M27/1000+PřF!M27/1000+'FI'!M27/1000+PdF!M27/1000+FSpS!M27/1000+ESF!M27/1000</f>
        <v>27926.4755</v>
      </c>
    </row>
    <row r="28" spans="1:22" ht="13.5" thickBot="1">
      <c r="A28" s="54" t="s">
        <v>52</v>
      </c>
      <c r="B28" s="55"/>
      <c r="C28" s="55"/>
      <c r="D28" s="55"/>
      <c r="E28" s="21">
        <v>26</v>
      </c>
      <c r="F28" s="357">
        <f aca="true" t="shared" si="3" ref="F28:V28">SUM(F29:F45)</f>
        <v>506133</v>
      </c>
      <c r="G28" s="357">
        <f t="shared" si="3"/>
        <v>357158.76</v>
      </c>
      <c r="H28" s="357">
        <f aca="true" t="shared" si="4" ref="H28:N28">SUM(H29:H45)</f>
        <v>130455</v>
      </c>
      <c r="I28" s="357">
        <f t="shared" si="4"/>
        <v>184799.607</v>
      </c>
      <c r="J28" s="357">
        <f t="shared" si="4"/>
        <v>611323.4759999999</v>
      </c>
      <c r="K28" s="357">
        <f t="shared" si="4"/>
        <v>195002.57</v>
      </c>
      <c r="L28" s="357">
        <f t="shared" si="4"/>
        <v>244190.613</v>
      </c>
      <c r="M28" s="357">
        <f t="shared" si="4"/>
        <v>78023</v>
      </c>
      <c r="N28" s="357">
        <f t="shared" si="4"/>
        <v>143859</v>
      </c>
      <c r="O28" s="334">
        <f t="shared" si="3"/>
        <v>2450945.0260000005</v>
      </c>
      <c r="P28" s="161">
        <f t="shared" si="3"/>
        <v>0</v>
      </c>
      <c r="Q28" s="115">
        <f t="shared" si="3"/>
        <v>2382786.163</v>
      </c>
      <c r="R28" s="116">
        <f t="shared" si="3"/>
        <v>35464.233</v>
      </c>
      <c r="S28" s="116">
        <f t="shared" si="3"/>
        <v>15059.123</v>
      </c>
      <c r="T28" s="116">
        <f t="shared" si="3"/>
        <v>5234</v>
      </c>
      <c r="U28" s="115">
        <f t="shared" si="3"/>
        <v>12401.507</v>
      </c>
      <c r="V28" s="117">
        <f t="shared" si="3"/>
        <v>2308904.58384</v>
      </c>
    </row>
    <row r="29" spans="1:22" s="37" customFormat="1" ht="12">
      <c r="A29" s="28" t="s">
        <v>15</v>
      </c>
      <c r="B29" s="39" t="s">
        <v>53</v>
      </c>
      <c r="C29" s="39"/>
      <c r="D29" s="39"/>
      <c r="E29" s="330">
        <v>27</v>
      </c>
      <c r="F29" s="326">
        <f>LF!F29/1000</f>
        <v>269966</v>
      </c>
      <c r="G29" s="239">
        <f>'FF'!F29/1000</f>
        <v>212667</v>
      </c>
      <c r="H29" s="239">
        <f>PrF!F29/1000</f>
        <v>81205</v>
      </c>
      <c r="I29" s="239">
        <f>FSS!F29/1000</f>
        <v>89047</v>
      </c>
      <c r="J29" s="239">
        <f>PřF!F29/1000</f>
        <v>166759</v>
      </c>
      <c r="K29" s="239">
        <f>'FI'!F29/1000</f>
        <v>84966</v>
      </c>
      <c r="L29" s="239">
        <f>PdF!F29/1000</f>
        <v>175889</v>
      </c>
      <c r="M29" s="239">
        <f>FSpS!F29/1000</f>
        <v>61465</v>
      </c>
      <c r="N29" s="239">
        <f>ESF!F29/1000</f>
        <v>86706</v>
      </c>
      <c r="O29" s="138">
        <f aca="true" t="shared" si="5" ref="O29:O45">SUM(F29:N29)</f>
        <v>1228670</v>
      </c>
      <c r="P29" s="119"/>
      <c r="Q29" s="371">
        <f>LF!H29/1000+'FF'!H29/1000+PrF!H29/1000+FSS!H29/1000+PřF!H29/1000+'FI'!H29/1000+PdF!H29/1000+FSpS!H29/1000+ESF!H29/1000</f>
        <v>1210602</v>
      </c>
      <c r="R29" s="121">
        <f>LF!I29/1000+'FF'!I29/1000+PrF!I29/1000+FSS!I29/1000+PřF!I29/1000+'FI'!I29/1000+PdF!I29/1000+FSpS!I29/1000+ESF!I29/1000</f>
        <v>18068</v>
      </c>
      <c r="S29" s="121">
        <f>LF!J29/1000+'FF'!J29/1000+PrF!J29/1000+FSS!J29/1000+PřF!J29/1000+'FI'!J29/1000+PdF!J29/1000+FSpS!J29/1000+ESF!J29/1000</f>
        <v>0</v>
      </c>
      <c r="T29" s="121">
        <f>LF!K29/1000+'FF'!K29/1000+PrF!K29/1000+FSS!K29/1000+PřF!K29/1000+'FI'!K29/1000+PdF!K29/1000+FSpS!K29/1000+ESF!K29/1000</f>
        <v>0</v>
      </c>
      <c r="U29" s="171">
        <f>LF!L29/1000+'FF'!L29/1000+PrF!L29/1000+FSS!L29/1000+PřF!L29/1000+'FI'!L29/1000+PdF!L29/1000+FSpS!L29/1000+ESF!L29/1000</f>
        <v>0</v>
      </c>
      <c r="V29" s="122">
        <f>LF!M29/1000+'FF'!M29/1000+PrF!M29/1000+FSS!M29/1000+PřF!M29/1000+'FI'!M29/1000+PdF!M29/1000+FSpS!M29/1000+ESF!M29/1000</f>
        <v>1140987.575</v>
      </c>
    </row>
    <row r="30" spans="1:22" s="37" customFormat="1" ht="12">
      <c r="A30" s="28"/>
      <c r="B30" s="47" t="s">
        <v>29</v>
      </c>
      <c r="C30" s="47"/>
      <c r="D30" s="47"/>
      <c r="E30" s="330">
        <v>28</v>
      </c>
      <c r="F30" s="326">
        <f>LF!F30/1000</f>
        <v>17745</v>
      </c>
      <c r="G30" s="239">
        <f>'FF'!F30/1000</f>
        <v>17800</v>
      </c>
      <c r="H30" s="239">
        <f>PrF!F30/1000</f>
        <v>4056</v>
      </c>
      <c r="I30" s="239">
        <f>FSS!F30/1000</f>
        <v>12252.5</v>
      </c>
      <c r="J30" s="239">
        <f>PřF!F30/1000</f>
        <v>31000</v>
      </c>
      <c r="K30" s="239">
        <f>'FI'!F30/1000</f>
        <v>3878.55</v>
      </c>
      <c r="L30" s="239">
        <f>PdF!F30/1000</f>
        <v>5260.125</v>
      </c>
      <c r="M30" s="239">
        <f>FSpS!F30/1000</f>
        <v>1500</v>
      </c>
      <c r="N30" s="239">
        <f>ESF!F30/1000</f>
        <v>5746</v>
      </c>
      <c r="O30" s="138">
        <f t="shared" si="5"/>
        <v>99238.175</v>
      </c>
      <c r="P30" s="135"/>
      <c r="Q30" s="326">
        <f>LF!H30/1000+'FF'!H30/1000+PrF!H30/1000+FSS!H30/1000+PřF!H30/1000+'FI'!H30/1000+PdF!H30/1000+FSpS!H30/1000+ESF!H30/1000</f>
        <v>99238.175</v>
      </c>
      <c r="R30" s="137">
        <f>LF!I30/1000+'FF'!I30/1000+PrF!I30/1000+FSS!I30/1000+PřF!I30/1000+'FI'!I30/1000+PdF!I30/1000+FSpS!I30/1000+ESF!I30/1000</f>
        <v>0</v>
      </c>
      <c r="S30" s="137">
        <f>LF!J30/1000+'FF'!J30/1000+PrF!J30/1000+FSS!J30/1000+PřF!J30/1000+'FI'!J30/1000+PdF!J30/1000+FSpS!J30/1000+ESF!J30/1000</f>
        <v>0</v>
      </c>
      <c r="T30" s="137">
        <f>LF!K30/1000+'FF'!K30/1000+PrF!K30/1000+FSS!K30/1000+PřF!K30/1000+'FI'!K30/1000+PdF!K30/1000+FSpS!K30/1000+ESF!K30/1000</f>
        <v>0</v>
      </c>
      <c r="U30" s="195">
        <f>LF!L30/1000+'FF'!L30/1000+PrF!L30/1000+FSS!L30/1000+PřF!L30/1000+'FI'!L30/1000+PdF!L30/1000+FSpS!L30/1000+ESF!L30/1000</f>
        <v>0</v>
      </c>
      <c r="V30" s="138">
        <f>LF!M30/1000+'FF'!M30/1000+PrF!M30/1000+FSS!M30/1000+PřF!M30/1000+'FI'!M30/1000+PdF!M30/1000+FSpS!M30/1000+ESF!M30/1000</f>
        <v>98020</v>
      </c>
    </row>
    <row r="31" spans="1:22" s="37" customFormat="1" ht="12">
      <c r="A31" s="28"/>
      <c r="B31" s="47" t="s">
        <v>31</v>
      </c>
      <c r="C31" s="47"/>
      <c r="D31" s="47"/>
      <c r="E31" s="330">
        <v>29</v>
      </c>
      <c r="F31" s="326">
        <f>LF!F31/1000</f>
        <v>0</v>
      </c>
      <c r="G31" s="239">
        <f>'FF'!F31/1000</f>
        <v>2132</v>
      </c>
      <c r="H31" s="239">
        <f>PrF!F31/1000</f>
        <v>30</v>
      </c>
      <c r="I31" s="239">
        <f>FSS!F31/1000</f>
        <v>1000</v>
      </c>
      <c r="J31" s="239">
        <f>PřF!F31/1000</f>
        <v>1200</v>
      </c>
      <c r="K31" s="239">
        <f>'FI'!F31/1000</f>
        <v>500</v>
      </c>
      <c r="L31" s="239">
        <f>PdF!F31/1000</f>
        <v>207</v>
      </c>
      <c r="M31" s="239">
        <f>FSpS!F31/1000</f>
        <v>80</v>
      </c>
      <c r="N31" s="239">
        <f>ESF!F31/1000</f>
        <v>301</v>
      </c>
      <c r="O31" s="138">
        <f t="shared" si="5"/>
        <v>5450</v>
      </c>
      <c r="P31" s="135"/>
      <c r="Q31" s="326">
        <f>LF!H31/1000+'FF'!H31/1000+PrF!H31/1000+FSS!H31/1000+PřF!H31/1000+'FI'!H31/1000+PdF!H31/1000+FSpS!H31/1000+ESF!H31/1000</f>
        <v>5450</v>
      </c>
      <c r="R31" s="137">
        <f>LF!I31/1000+'FF'!I31/1000+PrF!I31/1000+FSS!I31/1000+PřF!I31/1000+'FI'!I31/1000+PdF!I31/1000+FSpS!I31/1000+ESF!I31/1000</f>
        <v>0</v>
      </c>
      <c r="S31" s="137">
        <f>LF!J31/1000+'FF'!J31/1000+PrF!J31/1000+FSS!J31/1000+PřF!J31/1000+'FI'!J31/1000+PdF!J31/1000+FSpS!J31/1000+ESF!J31/1000</f>
        <v>0</v>
      </c>
      <c r="T31" s="137">
        <f>LF!K31/1000+'FF'!K31/1000+PrF!K31/1000+FSS!K31/1000+PřF!K31/1000+'FI'!K31/1000+PdF!K31/1000+FSpS!K31/1000+ESF!K31/1000</f>
        <v>0</v>
      </c>
      <c r="U31" s="195">
        <f>LF!L31/1000+'FF'!L31/1000+PrF!L31/1000+FSS!L31/1000+PřF!L31/1000+'FI'!L31/1000+PdF!L31/1000+FSpS!L31/1000+ESF!L31/1000</f>
        <v>0</v>
      </c>
      <c r="V31" s="138">
        <f>LF!M31/1000+'FF'!M31/1000+PrF!M31/1000+FSS!M31/1000+PřF!M31/1000+'FI'!M31/1000+PdF!M31/1000+FSpS!M31/1000+ESF!M31/1000</f>
        <v>9795.064</v>
      </c>
    </row>
    <row r="32" spans="1:22" s="37" customFormat="1" ht="12">
      <c r="A32" s="28"/>
      <c r="B32" s="48" t="s">
        <v>33</v>
      </c>
      <c r="C32" s="49"/>
      <c r="D32" s="49"/>
      <c r="E32" s="331">
        <v>30</v>
      </c>
      <c r="F32" s="326">
        <f>LF!F32/1000</f>
        <v>0</v>
      </c>
      <c r="G32" s="239">
        <f>'FF'!F32/1000</f>
        <v>19568</v>
      </c>
      <c r="H32" s="239">
        <f>PrF!F32/1000</f>
        <v>510</v>
      </c>
      <c r="I32" s="239">
        <f>FSS!F32/1000</f>
        <v>6500</v>
      </c>
      <c r="J32" s="239">
        <f>PřF!F32/1000</f>
        <v>8500</v>
      </c>
      <c r="K32" s="239">
        <f>'FI'!F32/1000</f>
        <v>20339</v>
      </c>
      <c r="L32" s="239">
        <f>PdF!F32/1000</f>
        <v>1517</v>
      </c>
      <c r="M32" s="239">
        <f>FSpS!F32/1000</f>
        <v>1620</v>
      </c>
      <c r="N32" s="239">
        <f>ESF!F32/1000</f>
        <v>5347</v>
      </c>
      <c r="O32" s="138">
        <f t="shared" si="5"/>
        <v>63901</v>
      </c>
      <c r="P32" s="135"/>
      <c r="Q32" s="326">
        <f>LF!H32/1000+'FF'!H32/1000+PrF!H32/1000+FSS!H32/1000+PřF!H32/1000+'FI'!H32/1000+PdF!H32/1000+FSpS!H32/1000+ESF!H32/1000</f>
        <v>63901</v>
      </c>
      <c r="R32" s="137">
        <f>LF!I32/1000+'FF'!I32/1000+PrF!I32/1000+FSS!I32/1000+PřF!I32/1000+'FI'!I32/1000+PdF!I32/1000+FSpS!I32/1000+ESF!I32/1000</f>
        <v>0</v>
      </c>
      <c r="S32" s="137">
        <f>LF!J32/1000+'FF'!J32/1000+PrF!J32/1000+FSS!J32/1000+PřF!J32/1000+'FI'!J32/1000+PdF!J32/1000+FSpS!J32/1000+ESF!J32/1000</f>
        <v>0</v>
      </c>
      <c r="T32" s="137">
        <f>LF!K32/1000+'FF'!K32/1000+PrF!K32/1000+FSS!K32/1000+PřF!K32/1000+'FI'!K32/1000+PdF!K32/1000+FSpS!K32/1000+ESF!K32/1000</f>
        <v>0</v>
      </c>
      <c r="U32" s="195">
        <f>LF!L32/1000+'FF'!L32/1000+PrF!L32/1000+FSS!L32/1000+PřF!L32/1000+'FI'!L32/1000+PdF!L32/1000+FSpS!L32/1000+ESF!L32/1000</f>
        <v>0</v>
      </c>
      <c r="V32" s="138">
        <f>LF!M32/1000+'FF'!M32/1000+PrF!M32/1000+FSS!M32/1000+PřF!M32/1000+'FI'!M32/1000+PdF!M32/1000+FSpS!M32/1000+ESF!M32/1000</f>
        <v>49432.51513</v>
      </c>
    </row>
    <row r="33" spans="1:22" s="37" customFormat="1" ht="12">
      <c r="A33" s="28"/>
      <c r="B33" s="48" t="s">
        <v>35</v>
      </c>
      <c r="C33" s="48"/>
      <c r="D33" s="48"/>
      <c r="E33" s="331">
        <v>31</v>
      </c>
      <c r="F33" s="326">
        <f>LF!F33/1000</f>
        <v>748</v>
      </c>
      <c r="G33" s="239">
        <f>'FF'!F33/1000</f>
        <v>2703</v>
      </c>
      <c r="H33" s="239">
        <f>PrF!F33/1000</f>
        <v>0</v>
      </c>
      <c r="I33" s="239">
        <f>FSS!F33/1000</f>
        <v>400</v>
      </c>
      <c r="J33" s="239">
        <f>PřF!F33/1000</f>
        <v>3203</v>
      </c>
      <c r="K33" s="239">
        <f>'FI'!F33/1000</f>
        <v>60</v>
      </c>
      <c r="L33" s="239">
        <f>PdF!F33/1000</f>
        <v>211</v>
      </c>
      <c r="M33" s="239">
        <f>FSpS!F33/1000</f>
        <v>680</v>
      </c>
      <c r="N33" s="239">
        <f>ESF!F33/1000</f>
        <v>410</v>
      </c>
      <c r="O33" s="138">
        <f t="shared" si="5"/>
        <v>8415</v>
      </c>
      <c r="P33" s="135"/>
      <c r="Q33" s="326">
        <f>LF!H33/1000+'FF'!H33/1000+PrF!H33/1000+FSS!H33/1000+PřF!H33/1000+'FI'!H33/1000+PdF!H33/1000+FSpS!H33/1000+ESF!H33/1000</f>
        <v>8415</v>
      </c>
      <c r="R33" s="137">
        <f>LF!I33/1000+'FF'!I33/1000+PrF!I33/1000+FSS!I33/1000+PřF!I33/1000+'FI'!I33/1000+PdF!I33/1000+FSpS!I33/1000+ESF!I33/1000</f>
        <v>0</v>
      </c>
      <c r="S33" s="137">
        <f>LF!J33/1000+'FF'!J33/1000+PrF!J33/1000+FSS!J33/1000+PřF!J33/1000+'FI'!J33/1000+PdF!J33/1000+FSpS!J33/1000+ESF!J33/1000</f>
        <v>0</v>
      </c>
      <c r="T33" s="137">
        <f>LF!K33/1000+'FF'!K33/1000+PrF!K33/1000+FSS!K33/1000+PřF!K33/1000+'FI'!K33/1000+PdF!K33/1000+FSpS!K33/1000+ESF!K33/1000</f>
        <v>0</v>
      </c>
      <c r="U33" s="195">
        <f>LF!L33/1000+'FF'!L33/1000+PrF!L33/1000+FSS!L33/1000+PřF!L33/1000+'FI'!L33/1000+PdF!L33/1000+FSpS!L33/1000+ESF!L33/1000</f>
        <v>0</v>
      </c>
      <c r="V33" s="138">
        <f>LF!M33/1000+'FF'!M33/1000+PrF!M33/1000+FSS!M33/1000+PřF!M33/1000+'FI'!M33/1000+PdF!M33/1000+FSpS!M33/1000+ESF!M33/1000</f>
        <v>8763.332999999999</v>
      </c>
    </row>
    <row r="34" spans="1:22" s="37" customFormat="1" ht="12">
      <c r="A34" s="28"/>
      <c r="B34" s="48" t="s">
        <v>55</v>
      </c>
      <c r="C34" s="48"/>
      <c r="D34" s="48"/>
      <c r="E34" s="331">
        <v>32</v>
      </c>
      <c r="F34" s="326">
        <f>LF!F34/1000</f>
        <v>0</v>
      </c>
      <c r="G34" s="239">
        <f>'FF'!F34/1000</f>
        <v>0</v>
      </c>
      <c r="H34" s="239">
        <f>PrF!F34/1000</f>
        <v>0</v>
      </c>
      <c r="I34" s="239">
        <f>FSS!F34/1000</f>
        <v>0</v>
      </c>
      <c r="J34" s="239">
        <f>PřF!F34/1000</f>
        <v>0</v>
      </c>
      <c r="K34" s="239">
        <f>'FI'!F34/1000</f>
        <v>0</v>
      </c>
      <c r="L34" s="239">
        <f>PdF!F34/1000</f>
        <v>0</v>
      </c>
      <c r="M34" s="239">
        <f>FSpS!F34/1000</f>
        <v>0</v>
      </c>
      <c r="N34" s="239">
        <f>ESF!F34/1000</f>
        <v>0</v>
      </c>
      <c r="O34" s="138">
        <f t="shared" si="5"/>
        <v>0</v>
      </c>
      <c r="P34" s="135"/>
      <c r="Q34" s="326">
        <f>LF!H34/1000+'FF'!H34/1000+PrF!H34/1000+FSS!H34/1000+PřF!H34/1000+'FI'!H34/1000+PdF!H34/1000+FSpS!H34/1000+ESF!H34/1000</f>
        <v>0</v>
      </c>
      <c r="R34" s="137">
        <f>LF!I34/1000+'FF'!I34/1000+PrF!I34/1000+FSS!I34/1000+PřF!I34/1000+'FI'!I34/1000+PdF!I34/1000+FSpS!I34/1000+ESF!I34/1000</f>
        <v>0</v>
      </c>
      <c r="S34" s="137">
        <f>LF!J34/1000+'FF'!J34/1000+PrF!J34/1000+FSS!J34/1000+PřF!J34/1000+'FI'!J34/1000+PdF!J34/1000+FSpS!J34/1000+ESF!J34/1000</f>
        <v>0</v>
      </c>
      <c r="T34" s="137">
        <f>LF!K34/1000+'FF'!K34/1000+PrF!K34/1000+FSS!K34/1000+PřF!K34/1000+'FI'!K34/1000+PdF!K34/1000+FSpS!K34/1000+ESF!K34/1000</f>
        <v>0</v>
      </c>
      <c r="U34" s="195">
        <f>LF!L34/1000+'FF'!L34/1000+PrF!L34/1000+FSS!L34/1000+PřF!L34/1000+'FI'!L34/1000+PdF!L34/1000+FSpS!L34/1000+ESF!L34/1000</f>
        <v>0</v>
      </c>
      <c r="V34" s="138">
        <f>LF!M34/1000+'FF'!M34/1000+PrF!M34/1000+FSS!M34/1000+PřF!M34/1000+'FI'!M34/1000+PdF!M34/1000+FSpS!M34/1000+ESF!M34/1000</f>
        <v>0</v>
      </c>
    </row>
    <row r="35" spans="1:22" s="37" customFormat="1" ht="12">
      <c r="A35" s="28"/>
      <c r="B35" s="48" t="s">
        <v>37</v>
      </c>
      <c r="C35" s="48"/>
      <c r="D35" s="48"/>
      <c r="E35" s="331">
        <v>33</v>
      </c>
      <c r="F35" s="326">
        <f>LF!F35/1000</f>
        <v>0</v>
      </c>
      <c r="G35" s="239">
        <f>'FF'!F35/1000</f>
        <v>177</v>
      </c>
      <c r="H35" s="239">
        <f>PrF!F35/1000</f>
        <v>0</v>
      </c>
      <c r="I35" s="239">
        <f>FSS!F35/1000</f>
        <v>1000</v>
      </c>
      <c r="J35" s="239">
        <f>PřF!F35/1000</f>
        <v>100</v>
      </c>
      <c r="K35" s="239">
        <f>'FI'!F35/1000</f>
        <v>0</v>
      </c>
      <c r="L35" s="239">
        <f>PdF!F35/1000</f>
        <v>1120</v>
      </c>
      <c r="M35" s="239">
        <f>FSpS!F35/1000</f>
        <v>0</v>
      </c>
      <c r="N35" s="239">
        <f>ESF!F35/1000</f>
        <v>0</v>
      </c>
      <c r="O35" s="138">
        <f t="shared" si="5"/>
        <v>2397</v>
      </c>
      <c r="P35" s="135"/>
      <c r="Q35" s="326">
        <f>LF!H35/1000+'FF'!H35/1000+PrF!H35/1000+FSS!H35/1000+PřF!H35/1000+'FI'!H35/1000+PdF!H35/1000+FSpS!H35/1000+ESF!H35/1000</f>
        <v>2397</v>
      </c>
      <c r="R35" s="137">
        <f>LF!I35/1000+'FF'!I35/1000+PrF!I35/1000+FSS!I35/1000+PřF!I35/1000+'FI'!I35/1000+PdF!I35/1000+FSpS!I35/1000+ESF!I35/1000</f>
        <v>0</v>
      </c>
      <c r="S35" s="137">
        <f>LF!J35/1000+'FF'!J35/1000+PrF!J35/1000+FSS!J35/1000+PřF!J35/1000+'FI'!J35/1000+PdF!J35/1000+FSpS!J35/1000+ESF!J35/1000</f>
        <v>0</v>
      </c>
      <c r="T35" s="137">
        <f>LF!K35/1000+'FF'!K35/1000+PrF!K35/1000+FSS!K35/1000+PřF!K35/1000+'FI'!K35/1000+PdF!K35/1000+FSpS!K35/1000+ESF!K35/1000</f>
        <v>0</v>
      </c>
      <c r="U35" s="195">
        <f>LF!L35/1000+'FF'!L35/1000+PrF!L35/1000+FSS!L35/1000+PřF!L35/1000+'FI'!L35/1000+PdF!L35/1000+FSpS!L35/1000+ESF!L35/1000</f>
        <v>0</v>
      </c>
      <c r="V35" s="138">
        <f>LF!M35/1000+'FF'!M35/1000+PrF!M35/1000+FSS!M35/1000+PřF!M35/1000+'FI'!M35/1000+PdF!M35/1000+FSpS!M35/1000+ESF!M35/1000</f>
        <v>3394.59</v>
      </c>
    </row>
    <row r="36" spans="1:22" s="37" customFormat="1" ht="12">
      <c r="A36" s="28"/>
      <c r="B36" s="48" t="s">
        <v>39</v>
      </c>
      <c r="C36" s="48"/>
      <c r="D36" s="48"/>
      <c r="E36" s="331">
        <v>34</v>
      </c>
      <c r="F36" s="326">
        <f>LF!F36/1000</f>
        <v>0</v>
      </c>
      <c r="G36" s="239">
        <f>'FF'!F36/1000</f>
        <v>6194</v>
      </c>
      <c r="H36" s="239">
        <f>PrF!F36/1000</f>
        <v>0</v>
      </c>
      <c r="I36" s="239">
        <f>FSS!F36/1000</f>
        <v>6286.767</v>
      </c>
      <c r="J36" s="239">
        <f>PřF!F36/1000</f>
        <v>0</v>
      </c>
      <c r="K36" s="239">
        <f>'FI'!F36/1000</f>
        <v>0</v>
      </c>
      <c r="L36" s="239">
        <f>PdF!F36/1000</f>
        <v>6000</v>
      </c>
      <c r="M36" s="239">
        <f>FSpS!F36/1000</f>
        <v>0</v>
      </c>
      <c r="N36" s="239">
        <f>ESF!F36/1000</f>
        <v>0</v>
      </c>
      <c r="O36" s="138">
        <f t="shared" si="5"/>
        <v>18480.767</v>
      </c>
      <c r="P36" s="135"/>
      <c r="Q36" s="326">
        <f>LF!H36/1000+'FF'!H36/1000+PrF!H36/1000+FSS!H36/1000+PřF!H36/1000+'FI'!H36/1000+PdF!H36/1000+FSpS!H36/1000+ESF!H36/1000</f>
        <v>18194</v>
      </c>
      <c r="R36" s="137">
        <f>LF!I36/1000+'FF'!I36/1000+PrF!I36/1000+FSS!I36/1000+PřF!I36/1000+'FI'!I36/1000+PdF!I36/1000+FSpS!I36/1000+ESF!I36/1000</f>
        <v>0</v>
      </c>
      <c r="S36" s="137">
        <f>LF!J36/1000+'FF'!J36/1000+PrF!J36/1000+FSS!J36/1000+PřF!J36/1000+'FI'!J36/1000+PdF!J36/1000+FSpS!J36/1000+ESF!J36/1000</f>
        <v>286.767</v>
      </c>
      <c r="T36" s="137">
        <f>LF!K36/1000+'FF'!K36/1000+PrF!K36/1000+FSS!K36/1000+PřF!K36/1000+'FI'!K36/1000+PdF!K36/1000+FSpS!K36/1000+ESF!K36/1000</f>
        <v>0</v>
      </c>
      <c r="U36" s="195">
        <f>LF!L36/1000+'FF'!L36/1000+PrF!L36/1000+FSS!L36/1000+PřF!L36/1000+'FI'!L36/1000+PdF!L36/1000+FSpS!L36/1000+ESF!L36/1000</f>
        <v>0</v>
      </c>
      <c r="V36" s="138">
        <f>LF!M36/1000+'FF'!M36/1000+PrF!M36/1000+FSS!M36/1000+PřF!M36/1000+'FI'!M36/1000+PdF!M36/1000+FSpS!M36/1000+ESF!M36/1000</f>
        <v>21642.43866</v>
      </c>
    </row>
    <row r="37" spans="1:22" s="37" customFormat="1" ht="12">
      <c r="A37" s="28"/>
      <c r="B37" s="48" t="s">
        <v>57</v>
      </c>
      <c r="C37" s="48"/>
      <c r="D37" s="48"/>
      <c r="E37" s="331">
        <v>35</v>
      </c>
      <c r="F37" s="326">
        <f>LF!F37/1000</f>
        <v>0</v>
      </c>
      <c r="G37" s="239">
        <f>'FF'!F37/1000</f>
        <v>2111</v>
      </c>
      <c r="H37" s="239">
        <f>PrF!F37/1000</f>
        <v>0</v>
      </c>
      <c r="I37" s="239">
        <f>FSS!F37/1000</f>
        <v>0</v>
      </c>
      <c r="J37" s="239">
        <f>PřF!F37/1000</f>
        <v>2499.818</v>
      </c>
      <c r="K37" s="239">
        <f>'FI'!F37/1000</f>
        <v>0</v>
      </c>
      <c r="L37" s="239">
        <f>PdF!F37/1000</f>
        <v>2615.488</v>
      </c>
      <c r="M37" s="239">
        <f>FSpS!F37/1000</f>
        <v>3000</v>
      </c>
      <c r="N37" s="239">
        <f>ESF!F37/1000</f>
        <v>0</v>
      </c>
      <c r="O37" s="138">
        <f t="shared" si="5"/>
        <v>10226.306</v>
      </c>
      <c r="P37" s="135"/>
      <c r="Q37" s="326">
        <f>LF!H37/1000+'FF'!H37/1000+PrF!H37/1000+FSS!H37/1000+PřF!H37/1000+'FI'!H37/1000+PdF!H37/1000+FSpS!H37/1000+ESF!H37/1000</f>
        <v>8895.994999999999</v>
      </c>
      <c r="R37" s="137">
        <f>LF!I37/1000+'FF'!I37/1000+PrF!I37/1000+FSS!I37/1000+PřF!I37/1000+'FI'!I37/1000+PdF!I37/1000+FSpS!I37/1000+ESF!I37/1000</f>
        <v>0</v>
      </c>
      <c r="S37" s="137">
        <f>LF!J37/1000+'FF'!J37/1000+PrF!J37/1000+FSS!J37/1000+PřF!J37/1000+'FI'!J37/1000+PdF!J37/1000+FSpS!J37/1000+ESF!J37/1000</f>
        <v>1330.311</v>
      </c>
      <c r="T37" s="137">
        <f>LF!K37/1000+'FF'!K37/1000+PrF!K37/1000+FSS!K37/1000+PřF!K37/1000+'FI'!K37/1000+PdF!K37/1000+FSpS!K37/1000+ESF!K37/1000</f>
        <v>0</v>
      </c>
      <c r="U37" s="195">
        <f>LF!L37/1000+'FF'!L37/1000+PrF!L37/1000+FSS!L37/1000+PřF!L37/1000+'FI'!L37/1000+PdF!L37/1000+FSpS!L37/1000+ESF!L37/1000</f>
        <v>0</v>
      </c>
      <c r="V37" s="138">
        <f>LF!M37/1000+'FF'!M37/1000+PrF!M37/1000+FSS!M37/1000+PřF!M37/1000+'FI'!M37/1000+PdF!M37/1000+FSpS!M37/1000+ESF!M37/1000</f>
        <v>27857.62244</v>
      </c>
    </row>
    <row r="38" spans="1:22" s="37" customFormat="1" ht="12">
      <c r="A38" s="28"/>
      <c r="B38" s="48" t="s">
        <v>58</v>
      </c>
      <c r="C38" s="48"/>
      <c r="D38" s="48"/>
      <c r="E38" s="331">
        <v>36</v>
      </c>
      <c r="F38" s="326">
        <f>LF!F38/1000</f>
        <v>27207</v>
      </c>
      <c r="G38" s="239">
        <f>'FF'!F38/1000</f>
        <v>13192</v>
      </c>
      <c r="H38" s="239">
        <f>PrF!F38/1000</f>
        <v>2089</v>
      </c>
      <c r="I38" s="239">
        <f>FSS!F38/1000</f>
        <v>9669</v>
      </c>
      <c r="J38" s="239">
        <f>PřF!F38/1000</f>
        <v>51472</v>
      </c>
      <c r="K38" s="239">
        <f>'FI'!F38/1000</f>
        <v>7044</v>
      </c>
      <c r="L38" s="239">
        <f>PdF!F38/1000</f>
        <v>3766</v>
      </c>
      <c r="M38" s="239">
        <f>FSpS!F38/1000</f>
        <v>158</v>
      </c>
      <c r="N38" s="239">
        <f>ESF!F38/1000</f>
        <v>5362</v>
      </c>
      <c r="O38" s="138">
        <f t="shared" si="5"/>
        <v>119959</v>
      </c>
      <c r="P38" s="135"/>
      <c r="Q38" s="326">
        <f>LF!H38/1000+'FF'!H38/1000+PrF!H38/1000+FSS!H38/1000+PřF!H38/1000+'FI'!H38/1000+PdF!H38/1000+FSpS!H38/1000+ESF!H38/1000</f>
        <v>119959</v>
      </c>
      <c r="R38" s="137">
        <f>LF!I38/1000+'FF'!I38/1000+PrF!I38/1000+FSS!I38/1000+PřF!I38/1000+'FI'!I38/1000+PdF!I38/1000+FSpS!I38/1000+ESF!I38/1000</f>
        <v>0</v>
      </c>
      <c r="S38" s="137">
        <f>LF!J38/1000+'FF'!J38/1000+PrF!J38/1000+FSS!J38/1000+PřF!J38/1000+'FI'!J38/1000+PdF!J38/1000+FSpS!J38/1000+ESF!J38/1000</f>
        <v>0</v>
      </c>
      <c r="T38" s="137">
        <f>LF!K38/1000+'FF'!K38/1000+PrF!K38/1000+FSS!K38/1000+PřF!K38/1000+'FI'!K38/1000+PdF!K38/1000+FSpS!K38/1000+ESF!K38/1000</f>
        <v>0</v>
      </c>
      <c r="U38" s="195">
        <f>LF!L38/1000+'FF'!L38/1000+PrF!L38/1000+FSS!L38/1000+PřF!L38/1000+'FI'!L38/1000+PdF!L38/1000+FSpS!L38/1000+ESF!L38/1000</f>
        <v>0</v>
      </c>
      <c r="V38" s="138">
        <f>LF!M38/1000+'FF'!M38/1000+PrF!M38/1000+FSS!M38/1000+PřF!M38/1000+'FI'!M38/1000+PdF!M38/1000+FSpS!M38/1000+ESF!M38/1000</f>
        <v>130278.9415</v>
      </c>
    </row>
    <row r="39" spans="1:22" s="37" customFormat="1" ht="12">
      <c r="A39" s="28"/>
      <c r="B39" s="48" t="s">
        <v>60</v>
      </c>
      <c r="C39" s="48"/>
      <c r="D39" s="48"/>
      <c r="E39" s="331">
        <v>37</v>
      </c>
      <c r="F39" s="326">
        <f>LF!F39/1000</f>
        <v>54945</v>
      </c>
      <c r="G39" s="239">
        <f>'FF'!F39/1000</f>
        <v>30381</v>
      </c>
      <c r="H39" s="239">
        <f>PrF!F39/1000</f>
        <v>6474</v>
      </c>
      <c r="I39" s="239">
        <f>FSS!F39/1000</f>
        <v>27813.104</v>
      </c>
      <c r="J39" s="239">
        <f>PřF!F39/1000</f>
        <v>155515.173</v>
      </c>
      <c r="K39" s="239">
        <f>'FI'!F39/1000</f>
        <v>11773.438</v>
      </c>
      <c r="L39" s="239">
        <f>PdF!F39/1000</f>
        <v>19689</v>
      </c>
      <c r="M39" s="239">
        <f>FSpS!F39/1000</f>
        <v>0</v>
      </c>
      <c r="N39" s="239">
        <f>ESF!F39/1000</f>
        <v>400</v>
      </c>
      <c r="O39" s="138">
        <f t="shared" si="5"/>
        <v>306990.715</v>
      </c>
      <c r="P39" s="135"/>
      <c r="Q39" s="326">
        <f>LF!H39/1000+'FF'!H39/1000+PrF!H39/1000+FSS!H39/1000+PřF!H39/1000+'FI'!H39/1000+PdF!H39/1000+FSpS!H39/1000+ESF!H39/1000</f>
        <v>303135</v>
      </c>
      <c r="R39" s="137">
        <f>LF!I39/1000+'FF'!I39/1000+PrF!I39/1000+FSS!I39/1000+PřF!I39/1000+'FI'!I39/1000+PdF!I39/1000+FSpS!I39/1000+ESF!I39/1000</f>
        <v>0</v>
      </c>
      <c r="S39" s="137">
        <f>LF!J39/1000+'FF'!J39/1000+PrF!J39/1000+FSS!J39/1000+PřF!J39/1000+'FI'!J39/1000+PdF!J39/1000+FSpS!J39/1000+ESF!J39/1000</f>
        <v>3855.715</v>
      </c>
      <c r="T39" s="137">
        <f>LF!K39/1000+'FF'!K39/1000+PrF!K39/1000+FSS!K39/1000+PřF!K39/1000+'FI'!K39/1000+PdF!K39/1000+FSpS!K39/1000+ESF!K39/1000</f>
        <v>0</v>
      </c>
      <c r="U39" s="195">
        <f>LF!L39/1000+'FF'!L39/1000+PrF!L39/1000+FSS!L39/1000+PřF!L39/1000+'FI'!L39/1000+PdF!L39/1000+FSpS!L39/1000+ESF!L39/1000</f>
        <v>0</v>
      </c>
      <c r="V39" s="138">
        <f>LF!M39/1000+'FF'!M39/1000+PrF!M39/1000+FSS!M39/1000+PřF!M39/1000+'FI'!M39/1000+PdF!M39/1000+FSpS!M39/1000+ESF!M39/1000</f>
        <v>241718.89244000003</v>
      </c>
    </row>
    <row r="40" spans="1:22" s="37" customFormat="1" ht="12">
      <c r="A40" s="28"/>
      <c r="B40" s="48" t="s">
        <v>61</v>
      </c>
      <c r="C40" s="48"/>
      <c r="D40" s="48"/>
      <c r="E40" s="331">
        <v>38</v>
      </c>
      <c r="F40" s="326">
        <f>LF!F40/1000</f>
        <v>60440</v>
      </c>
      <c r="G40" s="239">
        <f>'FF'!F40/1000</f>
        <v>23697</v>
      </c>
      <c r="H40" s="239">
        <f>PrF!F40/1000</f>
        <v>850</v>
      </c>
      <c r="I40" s="239">
        <f>FSS!F40/1000</f>
        <v>10052.216</v>
      </c>
      <c r="J40" s="239">
        <f>PřF!F40/1000</f>
        <v>74784.454</v>
      </c>
      <c r="K40" s="239">
        <f>'FI'!F40/1000</f>
        <v>26270.112</v>
      </c>
      <c r="L40" s="239">
        <f>PdF!F40/1000</f>
        <v>5229</v>
      </c>
      <c r="M40" s="239">
        <f>FSpS!F40/1000</f>
        <v>0</v>
      </c>
      <c r="N40" s="239">
        <f>ESF!F40/1000</f>
        <v>21325</v>
      </c>
      <c r="O40" s="138">
        <f t="shared" si="5"/>
        <v>222647.78199999998</v>
      </c>
      <c r="P40" s="135"/>
      <c r="Q40" s="326">
        <f>LF!H40/1000+'FF'!H40/1000+PrF!H40/1000+FSS!H40/1000+PřF!H40/1000+'FI'!H40/1000+PdF!H40/1000+FSpS!H40/1000+ESF!H40/1000</f>
        <v>221619</v>
      </c>
      <c r="R40" s="137">
        <f>LF!I40/1000+'FF'!I40/1000+PrF!I40/1000+FSS!I40/1000+PřF!I40/1000+'FI'!I40/1000+PdF!I40/1000+FSpS!I40/1000+ESF!I40/1000</f>
        <v>0</v>
      </c>
      <c r="S40" s="137">
        <f>LF!J40/1000+'FF'!J40/1000+PrF!J40/1000+FSS!J40/1000+PřF!J40/1000+'FI'!J40/1000+PdF!J40/1000+FSpS!J40/1000+ESF!J40/1000</f>
        <v>1028.7820000000002</v>
      </c>
      <c r="T40" s="137">
        <f>LF!K40/1000+'FF'!K40/1000+PrF!K40/1000+FSS!K40/1000+PřF!K40/1000+'FI'!K40/1000+PdF!K40/1000+FSpS!K40/1000+ESF!K40/1000</f>
        <v>0</v>
      </c>
      <c r="U40" s="195">
        <f>LF!L40/1000+'FF'!L40/1000+PrF!L40/1000+FSS!L40/1000+PřF!L40/1000+'FI'!L40/1000+PdF!L40/1000+FSpS!L40/1000+ESF!L40/1000</f>
        <v>0</v>
      </c>
      <c r="V40" s="138">
        <f>LF!M40/1000+'FF'!M40/1000+PrF!M40/1000+FSS!M40/1000+PřF!M40/1000+'FI'!M40/1000+PdF!M40/1000+FSpS!M40/1000+ESF!M40/1000</f>
        <v>211507.74110999997</v>
      </c>
    </row>
    <row r="41" spans="1:22" s="37" customFormat="1" ht="12">
      <c r="A41" s="28"/>
      <c r="B41" s="48" t="s">
        <v>46</v>
      </c>
      <c r="C41" s="48"/>
      <c r="D41" s="48"/>
      <c r="E41" s="331">
        <v>39</v>
      </c>
      <c r="F41" s="326">
        <f>LF!F41/1000</f>
        <v>816</v>
      </c>
      <c r="G41" s="239">
        <f>'FF'!F41/1000</f>
        <v>15</v>
      </c>
      <c r="H41" s="239">
        <f>PrF!F41/1000</f>
        <v>0</v>
      </c>
      <c r="I41" s="239">
        <f>FSS!F41/1000</f>
        <v>4784.4</v>
      </c>
      <c r="J41" s="239">
        <f>PřF!F41/1000</f>
        <v>22999.565</v>
      </c>
      <c r="K41" s="239">
        <f>'FI'!F41/1000</f>
        <v>3340.237</v>
      </c>
      <c r="L41" s="239">
        <f>PdF!F41/1000</f>
        <v>0</v>
      </c>
      <c r="M41" s="239">
        <f>FSpS!F41/1000</f>
        <v>0</v>
      </c>
      <c r="N41" s="239">
        <f>ESF!F41/1000</f>
        <v>0</v>
      </c>
      <c r="O41" s="138">
        <f t="shared" si="5"/>
        <v>31955.201999999997</v>
      </c>
      <c r="P41" s="135"/>
      <c r="Q41" s="326">
        <f>LF!H41/1000+'FF'!H41/1000+PrF!H41/1000+FSS!H41/1000+PřF!H41/1000+'FI'!H41/1000+PdF!H41/1000+FSpS!H41/1000+ESF!H41/1000</f>
        <v>23744.739999999998</v>
      </c>
      <c r="R41" s="137">
        <f>LF!I41/1000+'FF'!I41/1000+PrF!I41/1000+FSS!I41/1000+PřF!I41/1000+'FI'!I41/1000+PdF!I41/1000+FSpS!I41/1000+ESF!I41/1000</f>
        <v>0</v>
      </c>
      <c r="S41" s="137">
        <f>LF!J41/1000+'FF'!J41/1000+PrF!J41/1000+FSS!J41/1000+PřF!J41/1000+'FI'!J41/1000+PdF!J41/1000+FSpS!J41/1000+ESF!J41/1000</f>
        <v>8210.462</v>
      </c>
      <c r="T41" s="137">
        <f>LF!K41/1000+'FF'!K41/1000+PrF!K41/1000+FSS!K41/1000+PřF!K41/1000+'FI'!K41/1000+PdF!K41/1000+FSpS!K41/1000+ESF!K41/1000</f>
        <v>0</v>
      </c>
      <c r="U41" s="195">
        <f>LF!L41/1000+'FF'!L41/1000+PrF!L41/1000+FSS!L41/1000+PřF!L41/1000+'FI'!L41/1000+PdF!L41/1000+FSpS!L41/1000+ESF!L41/1000</f>
        <v>0</v>
      </c>
      <c r="V41" s="138">
        <f>LF!M41/1000+'FF'!M41/1000+PrF!M41/1000+FSS!M41/1000+PřF!M41/1000+'FI'!M41/1000+PdF!M41/1000+FSpS!M41/1000+ESF!M41/1000</f>
        <v>30318.443</v>
      </c>
    </row>
    <row r="42" spans="1:22" s="37" customFormat="1" ht="12">
      <c r="A42" s="28"/>
      <c r="B42" s="48" t="s">
        <v>62</v>
      </c>
      <c r="C42" s="48"/>
      <c r="D42" s="48"/>
      <c r="E42" s="331">
        <v>40</v>
      </c>
      <c r="F42" s="326">
        <f>LF!F42/1000</f>
        <v>6466</v>
      </c>
      <c r="G42" s="239">
        <f>'FF'!F42/1000</f>
        <v>127</v>
      </c>
      <c r="H42" s="239">
        <f>PrF!F42/1000</f>
        <v>0</v>
      </c>
      <c r="I42" s="239">
        <f>FSS!F42/1000</f>
        <v>0</v>
      </c>
      <c r="J42" s="239">
        <f>PřF!F42/1000</f>
        <v>12393.097</v>
      </c>
      <c r="K42" s="239">
        <f>'FI'!F42/1000</f>
        <v>6265</v>
      </c>
      <c r="L42" s="239">
        <f>PdF!F42/1000</f>
        <v>0</v>
      </c>
      <c r="M42" s="239">
        <f>FSpS!F42/1000</f>
        <v>150</v>
      </c>
      <c r="N42" s="239">
        <f>ESF!F42/1000</f>
        <v>189</v>
      </c>
      <c r="O42" s="138">
        <f t="shared" si="5"/>
        <v>25590.097</v>
      </c>
      <c r="P42" s="135"/>
      <c r="Q42" s="326">
        <f>LF!H42/1000+'FF'!H42/1000+PrF!H42/1000+FSS!H42/1000+PřF!H42/1000+'FI'!H42/1000+PdF!H42/1000+FSpS!H42/1000+ESF!H42/1000</f>
        <v>25557</v>
      </c>
      <c r="R42" s="137">
        <f>LF!I42/1000+'FF'!I42/1000+PrF!I42/1000+FSS!I42/1000+PřF!I42/1000+'FI'!I42/1000+PdF!I42/1000+FSpS!I42/1000+ESF!I42/1000</f>
        <v>0</v>
      </c>
      <c r="S42" s="137">
        <f>LF!J42/1000+'FF'!J42/1000+PrF!J42/1000+FSS!J42/1000+PřF!J42/1000+'FI'!J42/1000+PdF!J42/1000+FSpS!J42/1000+ESF!J42/1000</f>
        <v>33.097</v>
      </c>
      <c r="T42" s="137">
        <f>LF!K42/1000+'FF'!K42/1000+PrF!K42/1000+FSS!K42/1000+PřF!K42/1000+'FI'!K42/1000+PdF!K42/1000+FSpS!K42/1000+ESF!K42/1000</f>
        <v>0</v>
      </c>
      <c r="U42" s="195">
        <f>LF!L42/1000+'FF'!L42/1000+PrF!L42/1000+FSS!L42/1000+PřF!L42/1000+'FI'!L42/1000+PdF!L42/1000+FSpS!L42/1000+ESF!L42/1000</f>
        <v>0</v>
      </c>
      <c r="V42" s="138">
        <f>LF!M42/1000+'FF'!M42/1000+PrF!M42/1000+FSS!M42/1000+PřF!M42/1000+'FI'!M42/1000+PdF!M42/1000+FSpS!M42/1000+ESF!M42/1000</f>
        <v>33235.439</v>
      </c>
    </row>
    <row r="43" spans="1:22" s="37" customFormat="1" ht="12">
      <c r="A43" s="28"/>
      <c r="B43" s="48" t="s">
        <v>63</v>
      </c>
      <c r="C43" s="48"/>
      <c r="D43" s="48"/>
      <c r="E43" s="331">
        <v>41</v>
      </c>
      <c r="F43" s="326">
        <f>LF!F43/1000</f>
        <v>60000</v>
      </c>
      <c r="G43" s="239">
        <f>'FF'!F43/1000</f>
        <v>22984.76</v>
      </c>
      <c r="H43" s="239">
        <f>PrF!F43/1000</f>
        <v>30983</v>
      </c>
      <c r="I43" s="239">
        <f>FSS!F43/1000</f>
        <v>13694.62</v>
      </c>
      <c r="J43" s="239">
        <f>PřF!F43/1000</f>
        <v>61123.369</v>
      </c>
      <c r="K43" s="239">
        <f>'FI'!F43/1000</f>
        <v>14548</v>
      </c>
      <c r="L43" s="239">
        <f>PdF!F43/1000</f>
        <v>22105.493</v>
      </c>
      <c r="M43" s="239">
        <f>FSpS!F43/1000</f>
        <v>7000</v>
      </c>
      <c r="N43" s="239">
        <f>ESF!F43/1000</f>
        <v>13095</v>
      </c>
      <c r="O43" s="138">
        <f t="shared" si="5"/>
        <v>245534.24199999997</v>
      </c>
      <c r="P43" s="135"/>
      <c r="Q43" s="326">
        <f>LF!H43/1000+'FF'!H43/1000+PrF!H43/1000+FSS!H43/1000+PřF!H43/1000+'FI'!H43/1000+PdF!H43/1000+FSpS!H43/1000+ESF!H43/1000</f>
        <v>245220.253</v>
      </c>
      <c r="R43" s="137">
        <f>LF!I43/1000+'FF'!I43/1000+PrF!I43/1000+FSS!I43/1000+PřF!I43/1000+'FI'!I43/1000+PdF!I43/1000+FSpS!I43/1000+ESF!I43/1000</f>
        <v>0</v>
      </c>
      <c r="S43" s="137">
        <f>LF!J43/1000+'FF'!J43/1000+PrF!J43/1000+FSS!J43/1000+PřF!J43/1000+'FI'!J43/1000+PdF!J43/1000+FSpS!J43/1000+ESF!J43/1000</f>
        <v>313.989</v>
      </c>
      <c r="T43" s="137">
        <f>LF!K43/1000+'FF'!K43/1000+PrF!K43/1000+FSS!K43/1000+PřF!K43/1000+'FI'!K43/1000+PdF!K43/1000+FSpS!K43/1000+ESF!K43/1000</f>
        <v>0</v>
      </c>
      <c r="U43" s="195">
        <f>LF!L43/1000+'FF'!L43/1000+PrF!L43/1000+FSS!L43/1000+PřF!L43/1000+'FI'!L43/1000+PdF!L43/1000+FSpS!L43/1000+ESF!L43/1000</f>
        <v>0</v>
      </c>
      <c r="V43" s="138">
        <f>LF!M43/1000+'FF'!M43/1000+PrF!M43/1000+FSS!M43/1000+PřF!M43/1000+'FI'!M43/1000+PdF!M43/1000+FSpS!M43/1000+ESF!M43/1000</f>
        <v>260472.0833</v>
      </c>
    </row>
    <row r="44" spans="1:22" s="37" customFormat="1" ht="12">
      <c r="A44" s="28"/>
      <c r="B44" s="48" t="s">
        <v>64</v>
      </c>
      <c r="C44" s="48"/>
      <c r="D44" s="48"/>
      <c r="E44" s="331">
        <v>42</v>
      </c>
      <c r="F44" s="326">
        <f>LF!F44/1000</f>
        <v>5500</v>
      </c>
      <c r="G44" s="239">
        <f>'FF'!F44/1000</f>
        <v>3060</v>
      </c>
      <c r="H44" s="239">
        <f>PrF!F44/1000</f>
        <v>3978</v>
      </c>
      <c r="I44" s="239">
        <f>FSS!F44/1000</f>
        <v>1800</v>
      </c>
      <c r="J44" s="239">
        <f>PřF!F44/1000</f>
        <v>1774</v>
      </c>
      <c r="K44" s="239">
        <f>'FI'!F44/1000</f>
        <v>16018.233</v>
      </c>
      <c r="L44" s="239">
        <f>PdF!F44/1000</f>
        <v>531.507</v>
      </c>
      <c r="M44" s="239">
        <f>FSpS!F44/1000</f>
        <v>1370</v>
      </c>
      <c r="N44" s="239">
        <f>ESF!F44/1000</f>
        <v>1000</v>
      </c>
      <c r="O44" s="138">
        <f t="shared" si="5"/>
        <v>35031.740000000005</v>
      </c>
      <c r="P44" s="135"/>
      <c r="Q44" s="326"/>
      <c r="R44" s="137">
        <f>LF!I44/1000+'FF'!I44/1000+PrF!I44/1000+FSS!I44/1000+PřF!I44/1000+'FI'!I44/1000+PdF!I44/1000+FSpS!I44/1000+ESF!I44/1000</f>
        <v>17396.233</v>
      </c>
      <c r="S44" s="137">
        <f>LF!J44/1000+'FF'!J44/1000+PrF!J44/1000+FSS!J44/1000+PřF!J44/1000+'FI'!J44/1000+PdF!J44/1000+FSpS!J44/1000+ESF!J44/1000</f>
        <v>0</v>
      </c>
      <c r="T44" s="137">
        <f>LF!K44/1000+'FF'!K44/1000+PrF!K44/1000+FSS!K44/1000+PřF!K44/1000+'FI'!K44/1000+PdF!K44/1000+FSpS!K44/1000+ESF!K44/1000</f>
        <v>5234</v>
      </c>
      <c r="U44" s="195">
        <f>LF!L44/1000+'FF'!L44/1000+PrF!L44/1000+FSS!L44/1000+PřF!L44/1000+'FI'!L44/1000+PdF!L44/1000+FSpS!L44/1000+ESF!L44/1000</f>
        <v>12401.507</v>
      </c>
      <c r="V44" s="138">
        <f>LF!M44/1000+'FF'!M44/1000+PrF!M44/1000+FSS!M44/1000+PřF!M44/1000+'FI'!M44/1000+PdF!M44/1000+FSpS!M44/1000+ESF!M44/1000</f>
        <v>11018.653</v>
      </c>
    </row>
    <row r="45" spans="1:22" s="37" customFormat="1" ht="12">
      <c r="A45" s="65"/>
      <c r="B45" s="66" t="s">
        <v>50</v>
      </c>
      <c r="C45" s="66"/>
      <c r="D45" s="66"/>
      <c r="E45" s="332">
        <v>43</v>
      </c>
      <c r="F45" s="370">
        <f>LF!F45/1000</f>
        <v>2300</v>
      </c>
      <c r="G45" s="358">
        <f>'FF'!F45/1000</f>
        <v>350</v>
      </c>
      <c r="H45" s="358">
        <f>PrF!F45/1000</f>
        <v>280</v>
      </c>
      <c r="I45" s="358">
        <f>FSS!F45/1000</f>
        <v>500</v>
      </c>
      <c r="J45" s="358">
        <f>PřF!F45/1000</f>
        <v>18000</v>
      </c>
      <c r="K45" s="358">
        <f>'FI'!F45/1000</f>
        <v>0</v>
      </c>
      <c r="L45" s="358">
        <f>PdF!F45/1000</f>
        <v>50</v>
      </c>
      <c r="M45" s="358">
        <f>FSpS!F45/1000</f>
        <v>1000</v>
      </c>
      <c r="N45" s="358">
        <f>ESF!F45/1000</f>
        <v>3978</v>
      </c>
      <c r="O45" s="144">
        <f t="shared" si="5"/>
        <v>26458</v>
      </c>
      <c r="P45" s="141"/>
      <c r="Q45" s="328">
        <f>LF!H45/1000+'FF'!H45/1000+PrF!H45/1000+FSS!H45/1000+PřF!H45/1000+'FI'!H45/1000+PdF!H45/1000+FSpS!H45/1000+ESF!H45/1000</f>
        <v>26458</v>
      </c>
      <c r="R45" s="143">
        <f>LF!I45/1000+'FF'!I45/1000+PrF!I45/1000+FSS!I45/1000+PřF!I45/1000+'FI'!I45/1000+PdF!I45/1000+FSpS!I45/1000+ESF!I45/1000</f>
        <v>0</v>
      </c>
      <c r="S45" s="143">
        <f>LF!J45/1000+'FF'!J45/1000+PrF!J45/1000+FSS!J45/1000+PřF!J45/1000+'FI'!J45/1000+PdF!J45/1000+FSpS!J45/1000+ESF!J45/1000</f>
        <v>0</v>
      </c>
      <c r="T45" s="143">
        <f>LF!K45/1000+'FF'!K45/1000+PrF!K45/1000+FSS!K45/1000+PřF!K45/1000+'FI'!K45/1000+PdF!K45/1000+FSpS!K45/1000+ESF!K45/1000</f>
        <v>0</v>
      </c>
      <c r="U45" s="337">
        <f>LF!L45/1000+'FF'!L45/1000+PrF!L45/1000+FSS!L45/1000+PřF!L45/1000+'FI'!L45/1000+PdF!L45/1000+FSpS!L45/1000+ESF!L45/1000</f>
        <v>0</v>
      </c>
      <c r="V45" s="144">
        <f>LF!M45/1000+'FF'!M45/1000+PrF!M45/1000+FSS!M45/1000+PřF!M45/1000+'FI'!M45/1000+PdF!M45/1000+FSpS!M45/1000+ESF!M45/1000</f>
        <v>30461.252259999994</v>
      </c>
    </row>
    <row r="46" spans="1:22" s="37" customFormat="1" ht="12.75" thickBot="1">
      <c r="A46" s="73" t="s">
        <v>66</v>
      </c>
      <c r="B46" s="74"/>
      <c r="C46" s="74"/>
      <c r="D46" s="74"/>
      <c r="E46" s="330">
        <v>44</v>
      </c>
      <c r="F46" s="343">
        <f aca="true" t="shared" si="6" ref="F46:O46">F29+F34+F38+F43+F44+F45-F4-F27</f>
        <v>2370</v>
      </c>
      <c r="G46" s="359">
        <f t="shared" si="6"/>
        <v>1856.7600000000093</v>
      </c>
      <c r="H46" s="359">
        <f t="shared" si="6"/>
        <v>1623</v>
      </c>
      <c r="I46" s="359">
        <f t="shared" si="6"/>
        <v>961.0796436617966</v>
      </c>
      <c r="J46" s="359">
        <f t="shared" si="6"/>
        <v>900</v>
      </c>
      <c r="K46" s="359">
        <f t="shared" si="6"/>
        <v>220</v>
      </c>
      <c r="L46" s="359">
        <f t="shared" si="6"/>
        <v>1500</v>
      </c>
      <c r="M46" s="359">
        <f t="shared" si="6"/>
        <v>0</v>
      </c>
      <c r="N46" s="359">
        <f t="shared" si="6"/>
        <v>1015</v>
      </c>
      <c r="O46" s="147">
        <f t="shared" si="6"/>
        <v>10445.839643662097</v>
      </c>
      <c r="P46" s="146">
        <f>P29+P34+P38+P43+P44+P45+-P4-P27</f>
        <v>0</v>
      </c>
      <c r="Q46" s="146">
        <f>Q29+Q34+Q38+Q43+Q45-Q4-Q27</f>
        <v>10445.839818662032</v>
      </c>
      <c r="R46" s="146">
        <f>R29+R34+R38+R43+R44+R45-R4-R27</f>
        <v>-0.00017500000103609636</v>
      </c>
      <c r="S46" s="146">
        <f>S29+S34+S38+S43+S44+S45-S4-S27</f>
        <v>-5.684341886080802E-14</v>
      </c>
      <c r="T46" s="146">
        <f>T29+T34+T38+T43+T44+T45-T4-T27</f>
        <v>0</v>
      </c>
      <c r="U46" s="146">
        <f>U29+U34+U38+U43+U44+U45-U4-U27</f>
        <v>0</v>
      </c>
      <c r="V46" s="147">
        <f>V29+V34+V38+V43+V44+V45-V4-V27</f>
        <v>51650.48888999963</v>
      </c>
    </row>
    <row r="47" spans="1:22" ht="13.5" thickBot="1">
      <c r="A47" s="54" t="s">
        <v>67</v>
      </c>
      <c r="B47" s="55"/>
      <c r="C47" s="55"/>
      <c r="D47" s="55"/>
      <c r="E47" s="333">
        <v>45</v>
      </c>
      <c r="F47" s="340">
        <f aca="true" t="shared" si="7" ref="F47:V47">F28-F3</f>
        <v>2370</v>
      </c>
      <c r="G47" s="354">
        <f t="shared" si="7"/>
        <v>2956.7600000000093</v>
      </c>
      <c r="H47" s="354">
        <f t="shared" si="7"/>
        <v>1623</v>
      </c>
      <c r="I47" s="354">
        <f t="shared" si="7"/>
        <v>961.079923661775</v>
      </c>
      <c r="J47" s="354">
        <f t="shared" si="7"/>
        <v>900.0003999999026</v>
      </c>
      <c r="K47" s="354">
        <f t="shared" si="7"/>
        <v>220.0000000000291</v>
      </c>
      <c r="L47" s="354">
        <f t="shared" si="7"/>
        <v>1500</v>
      </c>
      <c r="M47" s="354">
        <f t="shared" si="7"/>
        <v>0</v>
      </c>
      <c r="N47" s="354">
        <f t="shared" si="7"/>
        <v>1015</v>
      </c>
      <c r="O47" s="161">
        <f t="shared" si="7"/>
        <v>11545.840323662385</v>
      </c>
      <c r="P47" s="114">
        <f t="shared" si="7"/>
        <v>0</v>
      </c>
      <c r="Q47" s="115">
        <f t="shared" si="7"/>
        <v>11545.839818661567</v>
      </c>
      <c r="R47" s="116">
        <f t="shared" si="7"/>
        <v>-0.00017500000103609636</v>
      </c>
      <c r="S47" s="116">
        <f t="shared" si="7"/>
        <v>0.0006800000010116491</v>
      </c>
      <c r="T47" s="116">
        <f t="shared" si="7"/>
        <v>0</v>
      </c>
      <c r="U47" s="115">
        <f t="shared" si="7"/>
        <v>0</v>
      </c>
      <c r="V47" s="117">
        <f t="shared" si="7"/>
        <v>34661.26097999932</v>
      </c>
    </row>
    <row r="48" spans="1:5" ht="7.5" customHeight="1">
      <c r="A48" s="80"/>
      <c r="B48" s="80"/>
      <c r="C48" s="80"/>
      <c r="D48" s="80"/>
      <c r="E48" s="81"/>
    </row>
    <row r="49" spans="1:22" s="80" customFormat="1" ht="11.25">
      <c r="A49" s="84" t="s">
        <v>100</v>
      </c>
      <c r="E49" s="81"/>
      <c r="F49" s="92"/>
      <c r="G49" s="92"/>
      <c r="H49" s="92"/>
      <c r="I49" s="92"/>
      <c r="J49" s="92"/>
      <c r="K49" s="92"/>
      <c r="L49" s="92"/>
      <c r="M49" s="92"/>
      <c r="N49" s="92"/>
      <c r="O49" s="156">
        <f>fak!J50/1000</f>
        <v>7500</v>
      </c>
      <c r="Q49" s="92"/>
      <c r="S49" s="92"/>
      <c r="U49" s="92"/>
      <c r="V49" s="413"/>
    </row>
    <row r="50" spans="1:22" s="80" customFormat="1" ht="11.25">
      <c r="A50" s="84"/>
      <c r="B50" s="84"/>
      <c r="C50" s="84"/>
      <c r="D50" s="84"/>
      <c r="E50" s="81"/>
      <c r="F50" s="92"/>
      <c r="G50" s="92"/>
      <c r="H50" s="92"/>
      <c r="I50" s="92"/>
      <c r="J50" s="92"/>
      <c r="K50" s="92"/>
      <c r="L50" s="92"/>
      <c r="M50" s="92"/>
      <c r="N50" s="92"/>
      <c r="O50" s="92"/>
      <c r="Q50" s="92"/>
      <c r="R50" s="92"/>
      <c r="S50" s="92"/>
      <c r="T50" s="92"/>
      <c r="U50" s="92"/>
      <c r="V50" s="92"/>
    </row>
    <row r="51" spans="1:5" s="92" customFormat="1" ht="11.25">
      <c r="A51" s="84"/>
      <c r="B51" s="84"/>
      <c r="C51" s="84"/>
      <c r="D51" s="84"/>
      <c r="E51" s="90"/>
    </row>
    <row r="52" spans="1:5" s="92" customFormat="1" ht="11.25">
      <c r="A52" s="84"/>
      <c r="B52" s="84"/>
      <c r="C52" s="84"/>
      <c r="D52" s="84"/>
      <c r="E52" s="90"/>
    </row>
    <row r="53" spans="1:5" s="92" customFormat="1" ht="11.25">
      <c r="A53" s="84"/>
      <c r="B53" s="84"/>
      <c r="C53" s="84"/>
      <c r="D53" s="84"/>
      <c r="E53" s="90"/>
    </row>
  </sheetData>
  <mergeCells count="3">
    <mergeCell ref="A1:D1"/>
    <mergeCell ref="R1:U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9"/>
  <sheetViews>
    <sheetView workbookViewId="0" topLeftCell="A39">
      <selection activeCell="H74" sqref="H7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15" width="7.25390625" style="92" customWidth="1"/>
    <col min="16" max="16" width="7.75390625" style="92" customWidth="1"/>
    <col min="17" max="17" width="5.125" style="0" hidden="1" customWidth="1"/>
    <col min="18" max="18" width="8.00390625" style="92" customWidth="1"/>
    <col min="19" max="19" width="6.875" style="92" customWidth="1"/>
    <col min="20" max="20" width="5.75390625" style="92" bestFit="1" customWidth="1"/>
    <col min="21" max="21" width="5.375" style="92" bestFit="1" customWidth="1"/>
    <col min="22" max="22" width="4.25390625" style="92" bestFit="1" customWidth="1"/>
    <col min="23" max="23" width="8.875" style="92" customWidth="1"/>
  </cols>
  <sheetData>
    <row r="1" spans="1:23" ht="15.75" customHeight="1">
      <c r="A1" s="425" t="s">
        <v>118</v>
      </c>
      <c r="B1" s="426"/>
      <c r="C1" s="426"/>
      <c r="D1" s="427"/>
      <c r="E1" s="1"/>
      <c r="F1" s="338" t="s">
        <v>117</v>
      </c>
      <c r="G1" s="352" t="s">
        <v>119</v>
      </c>
      <c r="H1" s="352" t="s">
        <v>120</v>
      </c>
      <c r="I1" s="352" t="s">
        <v>121</v>
      </c>
      <c r="J1" s="352" t="s">
        <v>122</v>
      </c>
      <c r="K1" s="352" t="s">
        <v>123</v>
      </c>
      <c r="L1" s="352" t="s">
        <v>124</v>
      </c>
      <c r="M1" s="352" t="s">
        <v>125</v>
      </c>
      <c r="N1" s="352" t="s">
        <v>126</v>
      </c>
      <c r="O1" s="344" t="s">
        <v>127</v>
      </c>
      <c r="P1" s="102" t="s">
        <v>8</v>
      </c>
      <c r="Q1" s="4" t="s">
        <v>2</v>
      </c>
      <c r="R1" s="101" t="s">
        <v>3</v>
      </c>
      <c r="S1" s="428" t="s">
        <v>4</v>
      </c>
      <c r="T1" s="429"/>
      <c r="U1" s="429"/>
      <c r="V1" s="430"/>
      <c r="W1" s="102" t="s">
        <v>5</v>
      </c>
    </row>
    <row r="2" spans="1:23" s="18" customFormat="1" ht="13.5" thickBot="1">
      <c r="A2" s="7" t="s">
        <v>76</v>
      </c>
      <c r="B2" s="8"/>
      <c r="C2" s="431" t="s">
        <v>140</v>
      </c>
      <c r="D2" s="432"/>
      <c r="E2" s="10" t="s">
        <v>6</v>
      </c>
      <c r="F2" s="339">
        <v>81</v>
      </c>
      <c r="G2" s="353">
        <v>82</v>
      </c>
      <c r="H2" s="353">
        <v>83</v>
      </c>
      <c r="I2" s="353">
        <v>84</v>
      </c>
      <c r="J2" s="353">
        <v>85</v>
      </c>
      <c r="K2" s="353">
        <v>92</v>
      </c>
      <c r="L2" s="353">
        <v>94</v>
      </c>
      <c r="M2" s="353">
        <v>96</v>
      </c>
      <c r="N2" s="353">
        <v>97</v>
      </c>
      <c r="O2" s="345">
        <v>99</v>
      </c>
      <c r="P2" s="106" t="s">
        <v>128</v>
      </c>
      <c r="Q2" s="13" t="s">
        <v>8</v>
      </c>
      <c r="R2" s="103" t="s">
        <v>9</v>
      </c>
      <c r="S2" s="104" t="s">
        <v>10</v>
      </c>
      <c r="T2" s="105" t="s">
        <v>11</v>
      </c>
      <c r="U2" s="105" t="s">
        <v>12</v>
      </c>
      <c r="V2" s="105" t="s">
        <v>13</v>
      </c>
      <c r="W2" s="106">
        <v>2006</v>
      </c>
    </row>
    <row r="3" spans="1:23" ht="13.5" thickBot="1">
      <c r="A3" s="19" t="s">
        <v>14</v>
      </c>
      <c r="B3" s="20"/>
      <c r="C3" s="20"/>
      <c r="D3" s="20"/>
      <c r="E3" s="21">
        <v>1</v>
      </c>
      <c r="F3" s="340">
        <f>SUM(F5:F27)</f>
        <v>167560</v>
      </c>
      <c r="G3" s="354">
        <f>SUM(G5:G27)</f>
        <v>30062</v>
      </c>
      <c r="H3" s="354">
        <f aca="true" t="shared" si="0" ref="H3:O3">SUM(H5:H27)</f>
        <v>4928</v>
      </c>
      <c r="I3" s="354">
        <f t="shared" si="0"/>
        <v>24240</v>
      </c>
      <c r="J3" s="354">
        <f t="shared" si="0"/>
        <v>23160</v>
      </c>
      <c r="K3" s="354">
        <f t="shared" si="0"/>
        <v>177459.621</v>
      </c>
      <c r="L3" s="354">
        <f t="shared" si="0"/>
        <v>2761</v>
      </c>
      <c r="M3" s="354">
        <f t="shared" si="0"/>
        <v>30029</v>
      </c>
      <c r="N3" s="354">
        <f t="shared" si="0"/>
        <v>62535.273</v>
      </c>
      <c r="O3" s="346">
        <f t="shared" si="0"/>
        <v>441963.73699999996</v>
      </c>
      <c r="P3" s="161">
        <f>SUM(P5:P27)</f>
        <v>964698.631</v>
      </c>
      <c r="Q3" s="114">
        <f aca="true" t="shared" si="1" ref="Q3:W3">SUM(Q5:Q27)</f>
        <v>0</v>
      </c>
      <c r="R3" s="115">
        <f t="shared" si="1"/>
        <v>877004.34418</v>
      </c>
      <c r="S3" s="116">
        <f t="shared" si="1"/>
        <v>62819.364</v>
      </c>
      <c r="T3" s="116">
        <f t="shared" si="1"/>
        <v>19344.92282</v>
      </c>
      <c r="U3" s="116">
        <f t="shared" si="1"/>
        <v>5530</v>
      </c>
      <c r="V3" s="115">
        <f t="shared" si="1"/>
        <v>0</v>
      </c>
      <c r="W3" s="117">
        <f t="shared" si="1"/>
        <v>840213.6872099999</v>
      </c>
    </row>
    <row r="4" spans="1:23" s="37" customFormat="1" ht="12">
      <c r="A4" s="28" t="s">
        <v>15</v>
      </c>
      <c r="B4" s="29" t="s">
        <v>16</v>
      </c>
      <c r="C4" s="29"/>
      <c r="D4" s="29"/>
      <c r="E4" s="30">
        <v>2</v>
      </c>
      <c r="F4" s="341">
        <f aca="true" t="shared" si="2" ref="F4:P4">SUM(F5:F15)</f>
        <v>131210</v>
      </c>
      <c r="G4" s="355">
        <f t="shared" si="2"/>
        <v>30062</v>
      </c>
      <c r="H4" s="355">
        <f t="shared" si="2"/>
        <v>4928</v>
      </c>
      <c r="I4" s="355">
        <f t="shared" si="2"/>
        <v>3475</v>
      </c>
      <c r="J4" s="355">
        <f t="shared" si="2"/>
        <v>8960</v>
      </c>
      <c r="K4" s="355">
        <f t="shared" si="2"/>
        <v>147621</v>
      </c>
      <c r="L4" s="355">
        <f t="shared" si="2"/>
        <v>2761</v>
      </c>
      <c r="M4" s="355">
        <f t="shared" si="2"/>
        <v>26978</v>
      </c>
      <c r="N4" s="355">
        <f t="shared" si="2"/>
        <v>12935.273</v>
      </c>
      <c r="O4" s="347">
        <f t="shared" si="2"/>
        <v>397026.29099999997</v>
      </c>
      <c r="P4" s="162">
        <f t="shared" si="2"/>
        <v>765956.564</v>
      </c>
      <c r="Q4" s="119">
        <f aca="true" t="shared" si="3" ref="Q4:W4">SUM(Q5:Q15)</f>
        <v>0</v>
      </c>
      <c r="R4" s="120">
        <f t="shared" si="3"/>
        <v>688619.74</v>
      </c>
      <c r="S4" s="121">
        <f t="shared" si="3"/>
        <v>62819.364</v>
      </c>
      <c r="T4" s="121">
        <f t="shared" si="3"/>
        <v>8987.46</v>
      </c>
      <c r="U4" s="121">
        <f t="shared" si="3"/>
        <v>5530</v>
      </c>
      <c r="V4" s="120">
        <f t="shared" si="3"/>
        <v>0</v>
      </c>
      <c r="W4" s="122">
        <f t="shared" si="3"/>
        <v>671234.7366099999</v>
      </c>
    </row>
    <row r="5" spans="1:23" s="98" customFormat="1" ht="12">
      <c r="A5" s="94"/>
      <c r="B5" s="95"/>
      <c r="C5" s="95" t="s">
        <v>17</v>
      </c>
      <c r="D5" s="96" t="s">
        <v>18</v>
      </c>
      <c r="E5" s="97">
        <v>3</v>
      </c>
      <c r="F5" s="323">
        <f>SKM!F5/1000</f>
        <v>30000</v>
      </c>
      <c r="G5" s="356">
        <f>SUKB!F6/1000</f>
        <v>0</v>
      </c>
      <c r="H5" s="356">
        <f>UCT!F5/1000</f>
        <v>1330</v>
      </c>
      <c r="I5" s="356">
        <f>SPSSN!F5/1000</f>
        <v>800</v>
      </c>
      <c r="J5" s="356">
        <f>IBA!F5/1000</f>
        <v>2900</v>
      </c>
      <c r="K5" s="356">
        <f>ÚVT!F5/1000</f>
        <v>41000</v>
      </c>
      <c r="L5" s="356">
        <f>VMU!F5/1000</f>
        <v>840</v>
      </c>
      <c r="M5" s="356">
        <f>CJV!F5/1000</f>
        <v>17535</v>
      </c>
      <c r="N5" s="356">
        <f>CZS!F5/1000</f>
        <v>4122</v>
      </c>
      <c r="O5" s="348">
        <f>RMU!F5/1000</f>
        <v>54908.506</v>
      </c>
      <c r="P5" s="325">
        <f>SUM(F5:O5)</f>
        <v>153435.506</v>
      </c>
      <c r="Q5" s="124"/>
      <c r="R5" s="323">
        <f>SKM!H5/1000+SUKB!H6/1000+UCT!H5/1000+SPSSN!H5/1000+IBA!H5/1000+ÚVT!H5/1000+VMU!H5/1000+CJV!H5/1000+CZS!H5/1000+RMU!H5/1000</f>
        <v>144972.936</v>
      </c>
      <c r="S5" s="187">
        <f>SKM!I5/1000+SUKB!I6/1000+UCT!I5/1000+SPSSN!I5/1000+IBA!I5/1000+ÚVT!I5/1000+VMU!I5/1000+CJV!I5/1000+CZS!I5/1000+RMU!I5/1000</f>
        <v>1458.496</v>
      </c>
      <c r="T5" s="187">
        <f>SKM!J5/1000+SUKB!J6/1000+UCT!J5/1000+SPSSN!J5/1000+IBA!J5/1000+ÚVT!J5/1000+VMU!J5/1000+CJV!J5/1000+CZS!J5/1000+RMU!J5/1000</f>
        <v>2900</v>
      </c>
      <c r="U5" s="187">
        <f>SKM!K5/1000+SUKB!K6/1000+UCT!K5/1000+SPSSN!K5/1000+IBA!K5/1000+ÚVT!K5/1000+VMU!K5/1000+CJV!K5/1000+CZS!K5/1000+RMU!K5/1000</f>
        <v>4104.0740000000005</v>
      </c>
      <c r="V5" s="324">
        <f>SKM!L5/1000+SUKB!L6/1000+UCT!L5/1000+SPSSN!L5/1000+IBA!L5/1000+ÚVT!L5/1000+VMU!L5/1000+CJV!L5/1000+CZS!L5/1000+RMU!L5/1000</f>
        <v>0</v>
      </c>
      <c r="W5" s="325">
        <f>SKM!M5/1000+SUKB!M6/1000+UCT!M5/1000+SPSSN!M5/1000+IBA!M5/1000+ÚVT!M5/1000+VMU!M5/1000+CJV!M5/1000+CZS!M5/1000+RMU!M5/1000</f>
        <v>152852.54499999998</v>
      </c>
    </row>
    <row r="6" spans="1:23" s="98" customFormat="1" ht="12">
      <c r="A6" s="94"/>
      <c r="B6" s="95"/>
      <c r="C6" s="95"/>
      <c r="D6" s="96" t="s">
        <v>19</v>
      </c>
      <c r="E6" s="97">
        <v>4</v>
      </c>
      <c r="F6" s="323">
        <f>SKM!F6/1000</f>
        <v>500</v>
      </c>
      <c r="G6" s="356">
        <f>SUKB!F7/1000</f>
        <v>0</v>
      </c>
      <c r="H6" s="356">
        <f>UCT!F6/1000</f>
        <v>175</v>
      </c>
      <c r="I6" s="356">
        <f>SPSSN!F6/1000</f>
        <v>350</v>
      </c>
      <c r="J6" s="356">
        <f>IBA!F6/1000</f>
        <v>4200</v>
      </c>
      <c r="K6" s="356">
        <f>ÚVT!F6/1000</f>
        <v>2000</v>
      </c>
      <c r="L6" s="356">
        <f>VMU!F6/1000</f>
        <v>51</v>
      </c>
      <c r="M6" s="356">
        <f>CJV!F6/1000</f>
        <v>766</v>
      </c>
      <c r="N6" s="356">
        <f>CZS!F6/1000</f>
        <v>570</v>
      </c>
      <c r="O6" s="348">
        <f>RMU!F6/1000</f>
        <v>1600</v>
      </c>
      <c r="P6" s="325">
        <f aca="true" t="shared" si="4" ref="P6:P45">SUM(F6:O6)</f>
        <v>10212</v>
      </c>
      <c r="Q6" s="124"/>
      <c r="R6" s="323">
        <f>SKM!H6/1000+SUKB!H7/1000+UCT!H6/1000+SPSSN!H6/1000+IBA!H6/1000+ÚVT!H6/1000+VMU!H6/1000+CJV!H6/1000+CZS!H6/1000+RMU!H6/1000</f>
        <v>6012</v>
      </c>
      <c r="S6" s="187">
        <f>SKM!I6/1000+SUKB!I7/1000+UCT!I6/1000+SPSSN!I6/1000+IBA!I6/1000+ÚVT!I6/1000+VMU!I6/1000+CJV!I6/1000+CZS!I6/1000+RMU!I6/1000</f>
        <v>0</v>
      </c>
      <c r="T6" s="187">
        <f>SKM!J6/1000+SUKB!J7/1000+UCT!J6/1000+SPSSN!J6/1000+IBA!J6/1000+ÚVT!J6/1000+VMU!J6/1000+CJV!J6/1000+CZS!J6/1000+RMU!J6/1000</f>
        <v>4200</v>
      </c>
      <c r="U6" s="187">
        <f>SKM!K6/1000+SUKB!K7/1000+UCT!K6/1000+SPSSN!K6/1000+IBA!K6/1000+ÚVT!K6/1000+VMU!K6/1000+CJV!K6/1000+CZS!K6/1000+RMU!K6/1000</f>
        <v>0</v>
      </c>
      <c r="V6" s="324">
        <f>SKM!L6/1000+SUKB!L7/1000+UCT!L6/1000+SPSSN!L6/1000+IBA!L6/1000+ÚVT!L6/1000+VMU!L6/1000+CJV!L6/1000+CZS!L6/1000+RMU!L6/1000</f>
        <v>0</v>
      </c>
      <c r="W6" s="325">
        <f>SKM!M6/1000+SUKB!M7/1000+UCT!M6/1000+SPSSN!M6/1000+IBA!M6/1000+ÚVT!M6/1000+VMU!M6/1000+CJV!M6/1000+CZS!M6/1000+RMU!M6/1000</f>
        <v>9933.461</v>
      </c>
    </row>
    <row r="7" spans="1:23" s="98" customFormat="1" ht="12">
      <c r="A7" s="94"/>
      <c r="B7" s="95"/>
      <c r="C7" s="95"/>
      <c r="D7" s="96" t="s">
        <v>20</v>
      </c>
      <c r="E7" s="97">
        <v>5</v>
      </c>
      <c r="F7" s="323">
        <f>SKM!F7/1000</f>
        <v>11100</v>
      </c>
      <c r="G7" s="356">
        <f>SUKB!F8/1000</f>
        <v>0</v>
      </c>
      <c r="H7" s="356">
        <f>UCT!F7/1000</f>
        <v>543</v>
      </c>
      <c r="I7" s="356">
        <f>SPSSN!F7/1000</f>
        <v>181</v>
      </c>
      <c r="J7" s="356">
        <f>IBA!F7/1000</f>
        <v>1015</v>
      </c>
      <c r="K7" s="356">
        <f>ÚVT!F7/1000</f>
        <v>15900</v>
      </c>
      <c r="L7" s="356">
        <f>VMU!F7/1000</f>
        <v>320</v>
      </c>
      <c r="M7" s="356">
        <f>CJV!F7/1000</f>
        <v>6733</v>
      </c>
      <c r="N7" s="356">
        <f>CZS!F7/1000</f>
        <v>1495</v>
      </c>
      <c r="O7" s="348">
        <f>RMU!F7/1000</f>
        <v>20945.881</v>
      </c>
      <c r="P7" s="325">
        <f t="shared" si="4"/>
        <v>58232.881</v>
      </c>
      <c r="Q7" s="124"/>
      <c r="R7" s="323">
        <f>SKM!H7/1000+SUKB!H8/1000+UCT!H7/1000+SPSSN!H7/1000+IBA!H7/1000+ÚVT!H7/1000+VMU!H7/1000+CJV!H7/1000+CZS!H7/1000+RMU!H7/1000</f>
        <v>55281.481</v>
      </c>
      <c r="S7" s="187">
        <f>SKM!I7/1000+SUKB!I8/1000+UCT!I7/1000+SPSSN!I7/1000+IBA!I7/1000+ÚVT!I7/1000+VMU!I7/1000+CJV!I7/1000+CZS!I7/1000+RMU!I7/1000</f>
        <v>510.474</v>
      </c>
      <c r="T7" s="187">
        <f>SKM!J7/1000+SUKB!J8/1000+UCT!J7/1000+SPSSN!J7/1000+IBA!J7/1000+ÚVT!J7/1000+VMU!J7/1000+CJV!J7/1000+CZS!J7/1000+RMU!J7/1000</f>
        <v>1015</v>
      </c>
      <c r="U7" s="187">
        <f>SKM!K7/1000+SUKB!K8/1000+UCT!K7/1000+SPSSN!K7/1000+IBA!K7/1000+ÚVT!K7/1000+VMU!K7/1000+CJV!K7/1000+CZS!K7/1000+RMU!K7/1000</f>
        <v>1425.926</v>
      </c>
      <c r="V7" s="324">
        <f>SKM!L7/1000+SUKB!L8/1000+UCT!L7/1000+SPSSN!L7/1000+IBA!L7/1000+ÚVT!L7/1000+VMU!L7/1000+CJV!L7/1000+CZS!L7/1000+RMU!L7/1000</f>
        <v>0</v>
      </c>
      <c r="W7" s="325">
        <f>SKM!M7/1000+SUKB!M8/1000+UCT!M7/1000+SPSSN!M7/1000+IBA!M7/1000+ÚVT!M7/1000+VMU!M7/1000+CJV!M7/1000+CZS!M7/1000+RMU!M7/1000</f>
        <v>55397.24</v>
      </c>
    </row>
    <row r="8" spans="1:23" s="98" customFormat="1" ht="12">
      <c r="A8" s="94"/>
      <c r="B8" s="95"/>
      <c r="C8" s="95"/>
      <c r="D8" s="96" t="s">
        <v>21</v>
      </c>
      <c r="E8" s="97">
        <v>6</v>
      </c>
      <c r="F8" s="323">
        <f>SKM!F8/1000</f>
        <v>29600</v>
      </c>
      <c r="G8" s="356">
        <f>SUKB!F9/1000</f>
        <v>0</v>
      </c>
      <c r="H8" s="356">
        <f>UCT!F8/1000</f>
        <v>1050</v>
      </c>
      <c r="I8" s="356">
        <f>SPSSN!F8/1000</f>
        <v>50</v>
      </c>
      <c r="J8" s="356">
        <f>IBA!F8/1000</f>
        <v>20</v>
      </c>
      <c r="K8" s="356">
        <f>ÚVT!F8/1000</f>
        <v>5000</v>
      </c>
      <c r="L8" s="356">
        <f>VMU!F8/1000</f>
        <v>120</v>
      </c>
      <c r="M8" s="356">
        <f>CJV!F8/1000</f>
        <v>80</v>
      </c>
      <c r="N8" s="356">
        <f>CZS!F8/1000</f>
        <v>90</v>
      </c>
      <c r="O8" s="348">
        <f>RMU!F8/1000</f>
        <v>2270</v>
      </c>
      <c r="P8" s="325">
        <f t="shared" si="4"/>
        <v>38280</v>
      </c>
      <c r="Q8" s="124"/>
      <c r="R8" s="323">
        <f>SKM!H8/1000+SUKB!H9/1000+UCT!H8/1000+SPSSN!H8/1000+IBA!H8/1000+ÚVT!H8/1000+VMU!H8/1000+CJV!H8/1000+CZS!H8/1000+RMU!H8/1000</f>
        <v>38260</v>
      </c>
      <c r="S8" s="187">
        <f>SKM!I8/1000+SUKB!I9/1000+UCT!I8/1000+SPSSN!I8/1000+IBA!I8/1000+ÚVT!I8/1000+VMU!I8/1000+CJV!I8/1000+CZS!I8/1000+RMU!I8/1000</f>
        <v>0</v>
      </c>
      <c r="T8" s="187">
        <f>SKM!J8/1000+SUKB!J9/1000+UCT!J8/1000+SPSSN!J8/1000+IBA!J8/1000+ÚVT!J8/1000+VMU!J8/1000+CJV!J8/1000+CZS!J8/1000+RMU!J8/1000</f>
        <v>20</v>
      </c>
      <c r="U8" s="187">
        <f>SKM!K8/1000+SUKB!K9/1000+UCT!K8/1000+SPSSN!K8/1000+IBA!K8/1000+ÚVT!K8/1000+VMU!K8/1000+CJV!K8/1000+CZS!K8/1000+RMU!K8/1000</f>
        <v>0</v>
      </c>
      <c r="V8" s="324">
        <f>SKM!L8/1000+SUKB!L9/1000+UCT!L8/1000+SPSSN!L8/1000+IBA!L8/1000+ÚVT!L8/1000+VMU!L8/1000+CJV!L8/1000+CZS!L8/1000+RMU!L8/1000</f>
        <v>0</v>
      </c>
      <c r="W8" s="325">
        <f>SKM!M8/1000+SUKB!M9/1000+UCT!M8/1000+SPSSN!M8/1000+IBA!M8/1000+ÚVT!M8/1000+VMU!M8/1000+CJV!M8/1000+CZS!M8/1000+RMU!M8/1000</f>
        <v>36328.371</v>
      </c>
    </row>
    <row r="9" spans="1:23" s="98" customFormat="1" ht="12">
      <c r="A9" s="94"/>
      <c r="B9" s="95"/>
      <c r="C9" s="95"/>
      <c r="D9" s="96" t="s">
        <v>22</v>
      </c>
      <c r="E9" s="97">
        <v>7</v>
      </c>
      <c r="F9" s="323">
        <f>SKM!F9/1000</f>
        <v>13000</v>
      </c>
      <c r="G9" s="356">
        <f>SUKB!F10/1000</f>
        <v>0</v>
      </c>
      <c r="H9" s="356">
        <f>UCT!F9/1000</f>
        <v>524</v>
      </c>
      <c r="I9" s="356">
        <f>SPSSN!F9/1000</f>
        <v>50</v>
      </c>
      <c r="J9" s="356">
        <f>IBA!F9/1000</f>
        <v>25</v>
      </c>
      <c r="K9" s="356">
        <f>ÚVT!F9/1000</f>
        <v>4500</v>
      </c>
      <c r="L9" s="356">
        <f>VMU!F9/1000</f>
        <v>150</v>
      </c>
      <c r="M9" s="356">
        <f>CJV!F9/1000</f>
        <v>55</v>
      </c>
      <c r="N9" s="356">
        <f>CZS!F9/1000</f>
        <v>20</v>
      </c>
      <c r="O9" s="348">
        <f>RMU!F9/1000</f>
        <v>19145.52</v>
      </c>
      <c r="P9" s="325">
        <f t="shared" si="4"/>
        <v>37469.520000000004</v>
      </c>
      <c r="Q9" s="124"/>
      <c r="R9" s="323">
        <f>SKM!H9/1000+SUKB!H10/1000+UCT!H9/1000+SPSSN!H9/1000+IBA!H9/1000+ÚVT!H9/1000+VMU!H9/1000+CJV!H9/1000+CZS!H9/1000+RMU!H9/1000</f>
        <v>37320.520000000004</v>
      </c>
      <c r="S9" s="187">
        <f>SKM!I9/1000+SUKB!I10/1000+UCT!I9/1000+SPSSN!I9/1000+IBA!I9/1000+ÚVT!I9/1000+VMU!I9/1000+CJV!I9/1000+CZS!I9/1000+RMU!I9/1000</f>
        <v>124</v>
      </c>
      <c r="T9" s="187">
        <f>SKM!J9/1000+SUKB!J10/1000+UCT!J9/1000+SPSSN!J9/1000+IBA!J9/1000+ÚVT!J9/1000+VMU!J9/1000+CJV!J9/1000+CZS!J9/1000+RMU!J9/1000</f>
        <v>25</v>
      </c>
      <c r="U9" s="187">
        <f>SKM!K9/1000+SUKB!K10/1000+UCT!K9/1000+SPSSN!K9/1000+IBA!K9/1000+ÚVT!K9/1000+VMU!K9/1000+CJV!K9/1000+CZS!K9/1000+RMU!K9/1000</f>
        <v>0</v>
      </c>
      <c r="V9" s="324">
        <f>SKM!L9/1000+SUKB!L10/1000+UCT!L9/1000+SPSSN!L9/1000+IBA!L9/1000+ÚVT!L9/1000+VMU!L9/1000+CJV!L9/1000+CZS!L9/1000+RMU!L9/1000</f>
        <v>0</v>
      </c>
      <c r="W9" s="325">
        <f>SKM!M9/1000+SUKB!M10/1000+UCT!M9/1000+SPSSN!M9/1000+IBA!M9/1000+ÚVT!M9/1000+VMU!M9/1000+CJV!M9/1000+CZS!M9/1000+RMU!M9/1000</f>
        <v>30713.9461</v>
      </c>
    </row>
    <row r="10" spans="1:23" s="98" customFormat="1" ht="12">
      <c r="A10" s="94"/>
      <c r="B10" s="95"/>
      <c r="C10" s="95"/>
      <c r="D10" s="96" t="s">
        <v>23</v>
      </c>
      <c r="E10" s="97">
        <v>8</v>
      </c>
      <c r="F10" s="323">
        <f>SKM!F10/1000</f>
        <v>20000</v>
      </c>
      <c r="G10" s="356">
        <f>SUKB!F11/1000</f>
        <v>62</v>
      </c>
      <c r="H10" s="356">
        <f>UCT!F10/1000</f>
        <v>587</v>
      </c>
      <c r="I10" s="356">
        <f>SPSSN!F10/1000</f>
        <v>200</v>
      </c>
      <c r="J10" s="356">
        <f>IBA!F10/1000</f>
        <v>5</v>
      </c>
      <c r="K10" s="356">
        <f>ÚVT!F10/1000</f>
        <v>15352</v>
      </c>
      <c r="L10" s="356">
        <f>VMU!F10/1000</f>
        <v>500</v>
      </c>
      <c r="M10" s="356">
        <f>CJV!F10/1000</f>
        <v>956</v>
      </c>
      <c r="N10" s="356">
        <f>CZS!F10/1000</f>
        <v>897</v>
      </c>
      <c r="O10" s="348">
        <f>RMU!F10/1000</f>
        <v>87245.828</v>
      </c>
      <c r="P10" s="325">
        <f t="shared" si="4"/>
        <v>125804.828</v>
      </c>
      <c r="Q10" s="124"/>
      <c r="R10" s="323">
        <f>SKM!H10/1000+SUKB!H11/1000+UCT!H10/1000+SPSSN!H10/1000+IBA!H10/1000+ÚVT!H10/1000+VMU!H10/1000+CJV!H10/1000+CZS!H10/1000+RMU!H10/1000</f>
        <v>66160.04699999999</v>
      </c>
      <c r="S10" s="187">
        <f>SKM!I10/1000+SUKB!I11/1000+UCT!I10/1000+SPSSN!I10/1000+IBA!I10/1000+ÚVT!I10/1000+VMU!I10/1000+CJV!I10/1000+CZS!I10/1000+RMU!I10/1000</f>
        <v>59639.781</v>
      </c>
      <c r="T10" s="187">
        <f>SKM!J10/1000+SUKB!J11/1000+UCT!J10/1000+SPSSN!J10/1000+IBA!J10/1000+ÚVT!J10/1000+VMU!J10/1000+CJV!J10/1000+CZS!J10/1000+RMU!J10/1000</f>
        <v>5</v>
      </c>
      <c r="U10" s="187">
        <f>SKM!K10/1000+SUKB!K11/1000+UCT!K10/1000+SPSSN!K10/1000+IBA!K10/1000+ÚVT!K10/1000+VMU!K10/1000+CJV!K10/1000+CZS!K10/1000+RMU!K10/1000</f>
        <v>0</v>
      </c>
      <c r="V10" s="324">
        <f>SKM!L10/1000+SUKB!L11/1000+UCT!L10/1000+SPSSN!L10/1000+IBA!L10/1000+ÚVT!L10/1000+VMU!L10/1000+CJV!L10/1000+CZS!L10/1000+RMU!L10/1000</f>
        <v>0</v>
      </c>
      <c r="W10" s="325">
        <f>SKM!M10/1000+SUKB!M11/1000+UCT!M10/1000+SPSSN!M10/1000+IBA!M10/1000+ÚVT!M10/1000+VMU!M10/1000+CJV!M10/1000+CZS!M10/1000+RMU!M10/1000</f>
        <v>50317.01547</v>
      </c>
    </row>
    <row r="11" spans="1:23" s="98" customFormat="1" ht="12">
      <c r="A11" s="94"/>
      <c r="B11" s="95"/>
      <c r="C11" s="95"/>
      <c r="D11" s="96" t="s">
        <v>24</v>
      </c>
      <c r="E11" s="97">
        <v>9</v>
      </c>
      <c r="F11" s="323">
        <f>SKM!F11/1000</f>
        <v>22000</v>
      </c>
      <c r="G11" s="356">
        <f>SUKB!F12/1000</f>
        <v>0</v>
      </c>
      <c r="H11" s="356">
        <f>UCT!F11/1000</f>
        <v>200</v>
      </c>
      <c r="I11" s="356">
        <f>SPSSN!F11/1000</f>
        <v>1200</v>
      </c>
      <c r="J11" s="356">
        <f>IBA!F11/1000</f>
        <v>130</v>
      </c>
      <c r="K11" s="356">
        <f>ÚVT!F11/1000</f>
        <v>23100</v>
      </c>
      <c r="L11" s="356">
        <f>VMU!F11/1000</f>
        <v>580</v>
      </c>
      <c r="M11" s="356">
        <f>CJV!F11/1000</f>
        <v>110</v>
      </c>
      <c r="N11" s="356">
        <f>CZS!F11/1000</f>
        <v>1502</v>
      </c>
      <c r="O11" s="348">
        <f>RMU!F11/1000</f>
        <v>57612.213</v>
      </c>
      <c r="P11" s="325">
        <f t="shared" si="4"/>
        <v>106434.213</v>
      </c>
      <c r="Q11" s="124"/>
      <c r="R11" s="323">
        <f>SKM!H11/1000+SUKB!H12/1000+UCT!H11/1000+SPSSN!H11/1000+IBA!H11/1000+ÚVT!H11/1000+VMU!H11/1000+CJV!H11/1000+CZS!H11/1000+RMU!H11/1000</f>
        <v>105304.213</v>
      </c>
      <c r="S11" s="187">
        <f>SKM!I11/1000+SUKB!I12/1000+UCT!I11/1000+SPSSN!I11/1000+IBA!I11/1000+ÚVT!I11/1000+VMU!I11/1000+CJV!I11/1000+CZS!I11/1000+RMU!I11/1000</f>
        <v>1000</v>
      </c>
      <c r="T11" s="187">
        <f>SKM!J11/1000+SUKB!J12/1000+UCT!J11/1000+SPSSN!J11/1000+IBA!J11/1000+ÚVT!J11/1000+VMU!J11/1000+CJV!J11/1000+CZS!J11/1000+RMU!J11/1000</f>
        <v>130</v>
      </c>
      <c r="U11" s="187">
        <f>SKM!K11/1000+SUKB!K12/1000+UCT!K11/1000+SPSSN!K11/1000+IBA!K11/1000+ÚVT!K11/1000+VMU!K11/1000+CJV!K11/1000+CZS!K11/1000+RMU!K11/1000</f>
        <v>0</v>
      </c>
      <c r="V11" s="324">
        <f>SKM!L11/1000+SUKB!L12/1000+UCT!L11/1000+SPSSN!L11/1000+IBA!L11/1000+ÚVT!L11/1000+VMU!L11/1000+CJV!L11/1000+CZS!L11/1000+RMU!L11/1000</f>
        <v>0</v>
      </c>
      <c r="W11" s="325">
        <f>SKM!M11/1000+SUKB!M12/1000+UCT!M11/1000+SPSSN!M11/1000+IBA!M11/1000+ÚVT!M11/1000+VMU!M11/1000+CJV!M11/1000+CZS!M11/1000+RMU!M11/1000</f>
        <v>69733.39789000001</v>
      </c>
    </row>
    <row r="12" spans="1:23" s="98" customFormat="1" ht="12">
      <c r="A12" s="94"/>
      <c r="B12" s="95"/>
      <c r="C12" s="95"/>
      <c r="D12" s="96" t="s">
        <v>25</v>
      </c>
      <c r="E12" s="97">
        <v>10</v>
      </c>
      <c r="F12" s="323">
        <f>SKM!F12/1000</f>
        <v>110</v>
      </c>
      <c r="G12" s="356">
        <f>SUKB!F13/1000</f>
        <v>0</v>
      </c>
      <c r="H12" s="356">
        <f>UCT!F12/1000</f>
        <v>40</v>
      </c>
      <c r="I12" s="356">
        <f>SPSSN!F12/1000</f>
        <v>20</v>
      </c>
      <c r="J12" s="356">
        <f>IBA!F12/1000</f>
        <v>300</v>
      </c>
      <c r="K12" s="356">
        <f>ÚVT!F12/1000</f>
        <v>1000</v>
      </c>
      <c r="L12" s="356">
        <f>VMU!F12/1000</f>
        <v>0</v>
      </c>
      <c r="M12" s="356">
        <f>CJV!F12/1000</f>
        <v>110</v>
      </c>
      <c r="N12" s="356">
        <f>CZS!F12/1000</f>
        <v>770</v>
      </c>
      <c r="O12" s="348">
        <f>RMU!F12/1000</f>
        <v>1691.128</v>
      </c>
      <c r="P12" s="325">
        <f t="shared" si="4"/>
        <v>4041.1279999999997</v>
      </c>
      <c r="Q12" s="124"/>
      <c r="R12" s="323">
        <f>SKM!H12/1000+SUKB!H13/1000+UCT!H12/1000+SPSSN!H12/1000+IBA!H12/1000+ÚVT!H12/1000+VMU!H12/1000+CJV!H12/1000+CZS!H12/1000+RMU!H12/1000</f>
        <v>3741.1279999999997</v>
      </c>
      <c r="S12" s="187">
        <f>SKM!I12/1000+SUKB!I13/1000+UCT!I12/1000+SPSSN!I12/1000+IBA!I12/1000+ÚVT!I12/1000+VMU!I12/1000+CJV!I12/1000+CZS!I12/1000+RMU!I12/1000</f>
        <v>0</v>
      </c>
      <c r="T12" s="187">
        <f>SKM!J12/1000+SUKB!J13/1000+UCT!J12/1000+SPSSN!J12/1000+IBA!J12/1000+ÚVT!J12/1000+VMU!J12/1000+CJV!J12/1000+CZS!J12/1000+RMU!J12/1000</f>
        <v>300</v>
      </c>
      <c r="U12" s="187">
        <f>SKM!K12/1000+SUKB!K13/1000+UCT!K12/1000+SPSSN!K12/1000+IBA!K12/1000+ÚVT!K12/1000+VMU!K12/1000+CJV!K12/1000+CZS!K12/1000+RMU!K12/1000</f>
        <v>0</v>
      </c>
      <c r="V12" s="324">
        <f>SKM!L12/1000+SUKB!L13/1000+UCT!L12/1000+SPSSN!L12/1000+IBA!L12/1000+ÚVT!L12/1000+VMU!L12/1000+CJV!L12/1000+CZS!L12/1000+RMU!L12/1000</f>
        <v>0</v>
      </c>
      <c r="W12" s="325">
        <f>SKM!M12/1000+SUKB!M13/1000+UCT!M12/1000+SPSSN!M12/1000+IBA!M12/1000+ÚVT!M12/1000+VMU!M12/1000+CJV!M12/1000+CZS!M12/1000+RMU!M12/1000</f>
        <v>4080.6737599999997</v>
      </c>
    </row>
    <row r="13" spans="1:23" s="98" customFormat="1" ht="12">
      <c r="A13" s="94"/>
      <c r="B13" s="95"/>
      <c r="C13" s="95"/>
      <c r="D13" s="96" t="s">
        <v>26</v>
      </c>
      <c r="E13" s="97">
        <v>11</v>
      </c>
      <c r="F13" s="323">
        <f>SKM!F13/1000</f>
        <v>10900</v>
      </c>
      <c r="G13" s="356">
        <f>SUKB!F14/1000</f>
        <v>30000</v>
      </c>
      <c r="H13" s="356">
        <f>UCT!F13/1000</f>
        <v>399</v>
      </c>
      <c r="I13" s="356">
        <f>SPSSN!F13/1000</f>
        <v>379</v>
      </c>
      <c r="J13" s="356">
        <f>IBA!F13/1000</f>
        <v>300</v>
      </c>
      <c r="K13" s="356">
        <f>ÚVT!F13/1000</f>
        <v>35479</v>
      </c>
      <c r="L13" s="356">
        <f>VMU!F13/1000</f>
        <v>180</v>
      </c>
      <c r="M13" s="356">
        <f>CJV!F13/1000</f>
        <v>59</v>
      </c>
      <c r="N13" s="356">
        <f>CZS!F13/1000</f>
        <v>81</v>
      </c>
      <c r="O13" s="348">
        <f>RMU!F13/1000</f>
        <v>4126</v>
      </c>
      <c r="P13" s="325">
        <f t="shared" si="4"/>
        <v>81903</v>
      </c>
      <c r="Q13" s="124"/>
      <c r="R13" s="323">
        <f>SKM!H13/1000+SUKB!H14/1000+UCT!H13/1000+SPSSN!H13/1000+IBA!H13/1000+ÚVT!H13/1000+VMU!H13/1000+CJV!H13/1000+CZS!H13/1000+RMU!H13/1000</f>
        <v>81603</v>
      </c>
      <c r="S13" s="187">
        <f>SKM!I13/1000+SUKB!I14/1000+UCT!I13/1000+SPSSN!I13/1000+IBA!I13/1000+ÚVT!I13/1000+VMU!I13/1000+CJV!I13/1000+CZS!I13/1000+RMU!I13/1000</f>
        <v>0</v>
      </c>
      <c r="T13" s="187">
        <f>SKM!J13/1000+SUKB!J14/1000+UCT!J13/1000+SPSSN!J13/1000+IBA!J13/1000+ÚVT!J13/1000+VMU!J13/1000+CJV!J13/1000+CZS!J13/1000+RMU!J13/1000</f>
        <v>300</v>
      </c>
      <c r="U13" s="187">
        <f>SKM!K13/1000+SUKB!K14/1000+UCT!K13/1000+SPSSN!K13/1000+IBA!K13/1000+ÚVT!K13/1000+VMU!K13/1000+CJV!K13/1000+CZS!K13/1000+RMU!K13/1000</f>
        <v>0</v>
      </c>
      <c r="V13" s="324">
        <f>SKM!L13/1000+SUKB!L14/1000+UCT!L13/1000+SPSSN!L13/1000+IBA!L13/1000+ÚVT!L13/1000+VMU!L13/1000+CJV!L13/1000+CZS!L13/1000+RMU!L13/1000</f>
        <v>0</v>
      </c>
      <c r="W13" s="325">
        <f>SKM!M13/1000+SUKB!M14/1000+UCT!M13/1000+SPSSN!M13/1000+IBA!M13/1000+ÚVT!M13/1000+VMU!M13/1000+CJV!M13/1000+CZS!M13/1000+RMU!M13/1000</f>
        <v>65086.65565</v>
      </c>
    </row>
    <row r="14" spans="1:23" s="98" customFormat="1" ht="12">
      <c r="A14" s="94"/>
      <c r="B14" s="95"/>
      <c r="C14" s="95"/>
      <c r="D14" s="96" t="s">
        <v>27</v>
      </c>
      <c r="E14" s="97">
        <v>12</v>
      </c>
      <c r="F14" s="323">
        <f>SKM!F14/1000</f>
        <v>0</v>
      </c>
      <c r="G14" s="356">
        <f>SUKB!F15/1000</f>
        <v>0</v>
      </c>
      <c r="H14" s="356">
        <f>UCT!F14/1000</f>
        <v>0</v>
      </c>
      <c r="I14" s="356">
        <f>SPSSN!F14/1000</f>
        <v>0</v>
      </c>
      <c r="J14" s="356">
        <f>IBA!F14/1000</f>
        <v>0</v>
      </c>
      <c r="K14" s="356">
        <f>ÚVT!F14/1000</f>
        <v>0</v>
      </c>
      <c r="L14" s="356">
        <f>VMU!F14/1000</f>
        <v>0</v>
      </c>
      <c r="M14" s="356">
        <f>CJV!F14/1000</f>
        <v>0</v>
      </c>
      <c r="N14" s="356">
        <f>CZS!F14/1000</f>
        <v>1380</v>
      </c>
      <c r="O14" s="348">
        <f>RMU!F14/1000</f>
        <v>109217.34</v>
      </c>
      <c r="P14" s="325">
        <f t="shared" si="4"/>
        <v>110597.34</v>
      </c>
      <c r="Q14" s="124"/>
      <c r="R14" s="323">
        <f>SKM!H14/1000+SUKB!H15/1000+UCT!H14/1000+SPSSN!H14/1000+IBA!H14/1000+ÚVT!H14/1000+VMU!H14/1000+CJV!H14/1000+CZS!H14/1000+RMU!H14/1000</f>
        <v>110553.54</v>
      </c>
      <c r="S14" s="187">
        <f>SKM!I14/1000+SUKB!I15/1000+UCT!I14/1000+SPSSN!I14/1000+IBA!I14/1000+ÚVT!I14/1000+VMU!I14/1000+CJV!I14/1000+CZS!I14/1000+RMU!I14/1000</f>
        <v>16.34</v>
      </c>
      <c r="T14" s="187">
        <f>SKM!J14/1000+SUKB!J15/1000+UCT!J14/1000+SPSSN!J14/1000+IBA!J14/1000+ÚVT!J14/1000+VMU!J14/1000+CJV!J14/1000+CZS!J14/1000+RMU!J14/1000</f>
        <v>27.46</v>
      </c>
      <c r="U14" s="187">
        <f>SKM!K14/1000+SUKB!K15/1000+UCT!K14/1000+SPSSN!K14/1000+IBA!K14/1000+ÚVT!K14/1000+VMU!K14/1000+CJV!K14/1000+CZS!K14/1000+RMU!K14/1000</f>
        <v>0</v>
      </c>
      <c r="V14" s="324">
        <f>SKM!L14/1000+SUKB!L15/1000+UCT!L14/1000+SPSSN!L14/1000+IBA!L14/1000+ÚVT!L14/1000+VMU!L14/1000+CJV!L14/1000+CZS!L14/1000+RMU!L14/1000</f>
        <v>0</v>
      </c>
      <c r="W14" s="325">
        <f>SKM!M14/1000+SUKB!M15/1000+UCT!M14/1000+SPSSN!M14/1000+IBA!M14/1000+ÚVT!M14/1000+VMU!M14/1000+CJV!M14/1000+CZS!M14/1000+RMU!M14/1000</f>
        <v>2379.934</v>
      </c>
    </row>
    <row r="15" spans="1:23" s="98" customFormat="1" ht="12">
      <c r="A15" s="94"/>
      <c r="B15" s="95"/>
      <c r="C15" s="96"/>
      <c r="D15" s="96" t="s">
        <v>28</v>
      </c>
      <c r="E15" s="97">
        <v>13</v>
      </c>
      <c r="F15" s="323">
        <f>SKM!F15/1000</f>
        <v>-6000</v>
      </c>
      <c r="G15" s="356">
        <f>SUKB!F16/1000</f>
        <v>0</v>
      </c>
      <c r="H15" s="356">
        <f>UCT!F15/1000</f>
        <v>80</v>
      </c>
      <c r="I15" s="356">
        <f>SPSSN!F15/1000</f>
        <v>245</v>
      </c>
      <c r="J15" s="356">
        <f>IBA!F15/1000</f>
        <v>65</v>
      </c>
      <c r="K15" s="356">
        <f>ÚVT!F15/1000</f>
        <v>4290</v>
      </c>
      <c r="L15" s="356">
        <f>VMU!F15/1000</f>
        <v>20</v>
      </c>
      <c r="M15" s="356">
        <f>CJV!F15/1000</f>
        <v>574</v>
      </c>
      <c r="N15" s="356">
        <f>CZS!F15/1000</f>
        <v>2008.273</v>
      </c>
      <c r="O15" s="348">
        <f>RMU!F15/1000</f>
        <v>38263.875</v>
      </c>
      <c r="P15" s="325">
        <f t="shared" si="4"/>
        <v>39546.148</v>
      </c>
      <c r="Q15" s="124"/>
      <c r="R15" s="326">
        <f>SKM!H15/1000+SUKB!H16/1000+UCT!H15/1000+SPSSN!H15/1000+IBA!H15/1000+ÚVT!H15/1000+VMU!H15/1000+CJV!H15/1000+CZS!H15/1000+RMU!H15/1000</f>
        <v>39410.875</v>
      </c>
      <c r="S15" s="137">
        <f>SKM!I15/1000+SUKB!I16/1000+UCT!I15/1000+SPSSN!I15/1000+IBA!I15/1000+ÚVT!I15/1000+VMU!I15/1000+CJV!I15/1000+CZS!I15/1000+RMU!I15/1000</f>
        <v>70.273</v>
      </c>
      <c r="T15" s="137">
        <f>SKM!J15/1000+SUKB!J16/1000+UCT!J15/1000+SPSSN!J15/1000+IBA!J15/1000+ÚVT!J15/1000+VMU!J15/1000+CJV!J15/1000+CZS!J15/1000+RMU!J15/1000</f>
        <v>65</v>
      </c>
      <c r="U15" s="137">
        <f>SKM!K15/1000+SUKB!K16/1000+UCT!K15/1000+SPSSN!K15/1000+IBA!K15/1000+ÚVT!K15/1000+VMU!K15/1000+CJV!K15/1000+CZS!K15/1000+RMU!K15/1000</f>
        <v>0</v>
      </c>
      <c r="V15" s="195">
        <f>SKM!L15/1000+SUKB!L16/1000+UCT!L15/1000+SPSSN!L15/1000+IBA!L15/1000+ÚVT!L15/1000+VMU!L15/1000+CJV!L15/1000+CZS!L15/1000+RMU!L15/1000</f>
        <v>0</v>
      </c>
      <c r="W15" s="138">
        <f>SKM!M15/1000+SUKB!M16/1000+UCT!M15/1000+SPSSN!M15/1000+IBA!M15/1000+ÚVT!M15/1000+VMU!M15/1000+CJV!M15/1000+CZS!M15/1000+RMU!M15/1000</f>
        <v>194411.49673999997</v>
      </c>
    </row>
    <row r="16" spans="1:23" s="37" customFormat="1" ht="12">
      <c r="A16" s="28"/>
      <c r="B16" s="47" t="s">
        <v>29</v>
      </c>
      <c r="C16" s="39"/>
      <c r="D16" s="39"/>
      <c r="E16" s="40">
        <v>14</v>
      </c>
      <c r="F16" s="326">
        <f>SKM!F16/1000</f>
        <v>0</v>
      </c>
      <c r="G16" s="239">
        <f>SUKB!F17/1000</f>
        <v>0</v>
      </c>
      <c r="H16" s="239">
        <f>UCT!F16/1000</f>
        <v>0</v>
      </c>
      <c r="I16" s="239">
        <f>SPSSN!F16/1000</f>
        <v>0</v>
      </c>
      <c r="J16" s="239">
        <f>IBA!F16/1000</f>
        <v>0</v>
      </c>
      <c r="K16" s="239">
        <f>ÚVT!F16/1000</f>
        <v>0</v>
      </c>
      <c r="L16" s="239">
        <f>VMU!F16/1000</f>
        <v>0</v>
      </c>
      <c r="M16" s="239">
        <f>CJV!F16/1000</f>
        <v>0</v>
      </c>
      <c r="N16" s="239">
        <f>CZS!F16/1000</f>
        <v>0</v>
      </c>
      <c r="O16" s="349">
        <f>RMU!F16/1000</f>
        <v>0</v>
      </c>
      <c r="P16" s="138">
        <f t="shared" si="4"/>
        <v>0</v>
      </c>
      <c r="Q16" s="130"/>
      <c r="R16" s="326">
        <f>SKM!H16/1000+SUKB!H17/1000+UCT!H16/1000+SPSSN!H16/1000+IBA!H16/1000+ÚVT!H16/1000+VMU!H16/1000+CJV!H16/1000+CZS!H16/1000+RMU!H16/1000</f>
        <v>0</v>
      </c>
      <c r="S16" s="137">
        <f>SKM!I16/1000+SUKB!I17/1000+UCT!I16/1000+SPSSN!I16/1000+IBA!I16/1000+ÚVT!I16/1000+VMU!I16/1000+CJV!I16/1000+CZS!I16/1000+RMU!I16/1000</f>
        <v>0</v>
      </c>
      <c r="T16" s="137">
        <f>SKM!J16/1000+SUKB!J17/1000+UCT!J16/1000+SPSSN!J16/1000+IBA!J16/1000+ÚVT!J16/1000+VMU!J16/1000+CJV!J16/1000+CZS!J16/1000+RMU!J16/1000</f>
        <v>0</v>
      </c>
      <c r="U16" s="137">
        <f>SKM!K16/1000+SUKB!K17/1000+UCT!K16/1000+SPSSN!K16/1000+IBA!K16/1000+ÚVT!K16/1000+VMU!K16/1000+CJV!K16/1000+CZS!K16/1000+RMU!K16/1000</f>
        <v>0</v>
      </c>
      <c r="V16" s="195">
        <f>SKM!L16/1000+SUKB!L17/1000+UCT!L16/1000+SPSSN!L16/1000+IBA!L16/1000+ÚVT!L16/1000+VMU!L16/1000+CJV!L16/1000+CZS!L16/1000+RMU!L16/1000</f>
        <v>0</v>
      </c>
      <c r="W16" s="138">
        <f>SKM!M16/1000+SUKB!M17/1000+UCT!M16/1000+SPSSN!M16/1000+IBA!M16/1000+ÚVT!M16/1000+VMU!M16/1000+CJV!M16/1000+CZS!M16/1000+RMU!M16/1000</f>
        <v>0</v>
      </c>
    </row>
    <row r="17" spans="1:23" s="37" customFormat="1" ht="12">
      <c r="A17" s="28"/>
      <c r="B17" s="47" t="s">
        <v>31</v>
      </c>
      <c r="C17" s="39"/>
      <c r="D17" s="39"/>
      <c r="E17" s="40">
        <v>15</v>
      </c>
      <c r="F17" s="326">
        <f>SKM!F17/1000</f>
        <v>0</v>
      </c>
      <c r="G17" s="239">
        <f>SUKB!F18/1000</f>
        <v>0</v>
      </c>
      <c r="H17" s="239">
        <f>UCT!F17/1000</f>
        <v>0</v>
      </c>
      <c r="I17" s="239">
        <f>SPSSN!F17/1000</f>
        <v>0</v>
      </c>
      <c r="J17" s="239">
        <f>IBA!F17/1000</f>
        <v>0</v>
      </c>
      <c r="K17" s="239">
        <f>ÚVT!F17/1000</f>
        <v>0</v>
      </c>
      <c r="L17" s="239">
        <f>VMU!F17/1000</f>
        <v>0</v>
      </c>
      <c r="M17" s="239">
        <f>CJV!F17/1000</f>
        <v>0</v>
      </c>
      <c r="N17" s="239">
        <f>CZS!F17/1000</f>
        <v>26000</v>
      </c>
      <c r="O17" s="349">
        <f>RMU!F17/1000</f>
        <v>0</v>
      </c>
      <c r="P17" s="138">
        <f t="shared" si="4"/>
        <v>26000</v>
      </c>
      <c r="Q17" s="130"/>
      <c r="R17" s="326">
        <f>SKM!H17/1000+SUKB!H18/1000+UCT!H17/1000+SPSSN!H17/1000+IBA!H17/1000+ÚVT!H17/1000+VMU!H17/1000+CJV!H17/1000+CZS!H17/1000+RMU!H17/1000</f>
        <v>25319</v>
      </c>
      <c r="S17" s="137">
        <f>SKM!I17/1000+SUKB!I18/1000+UCT!I17/1000+SPSSN!I17/1000+IBA!I17/1000+ÚVT!I17/1000+VMU!I17/1000+CJV!I17/1000+CZS!I17/1000+RMU!I17/1000</f>
        <v>0</v>
      </c>
      <c r="T17" s="137">
        <f>SKM!J17/1000+SUKB!J18/1000+UCT!J17/1000+SPSSN!J17/1000+IBA!J17/1000+ÚVT!J17/1000+VMU!J17/1000+CJV!J17/1000+CZS!J17/1000+RMU!J17/1000</f>
        <v>681</v>
      </c>
      <c r="U17" s="137">
        <f>SKM!K17/1000+SUKB!K18/1000+UCT!K17/1000+SPSSN!K17/1000+IBA!K17/1000+ÚVT!K17/1000+VMU!K17/1000+CJV!K17/1000+CZS!K17/1000+RMU!K17/1000</f>
        <v>0</v>
      </c>
      <c r="V17" s="195">
        <f>SKM!L17/1000+SUKB!L18/1000+UCT!L17/1000+SPSSN!L17/1000+IBA!L17/1000+ÚVT!L17/1000+VMU!L17/1000+CJV!L17/1000+CZS!L17/1000+RMU!L17/1000</f>
        <v>0</v>
      </c>
      <c r="W17" s="138">
        <f>SKM!M17/1000+SUKB!M18/1000+UCT!M17/1000+SPSSN!M17/1000+IBA!M17/1000+ÚVT!M17/1000+VMU!M17/1000+CJV!M17/1000+CZS!M17/1000+RMU!M17/1000</f>
        <v>25857.891760000002</v>
      </c>
    </row>
    <row r="18" spans="1:23" s="37" customFormat="1" ht="12">
      <c r="A18" s="28"/>
      <c r="B18" s="48" t="s">
        <v>33</v>
      </c>
      <c r="C18" s="49"/>
      <c r="D18" s="49"/>
      <c r="E18" s="50">
        <v>16</v>
      </c>
      <c r="F18" s="326">
        <f>SKM!F18/1000</f>
        <v>0</v>
      </c>
      <c r="G18" s="239">
        <f>SUKB!F19/1000</f>
        <v>0</v>
      </c>
      <c r="H18" s="239">
        <f>UCT!F18/1000</f>
        <v>0</v>
      </c>
      <c r="I18" s="239">
        <f>SPSSN!F18/1000</f>
        <v>12550</v>
      </c>
      <c r="J18" s="239">
        <f>IBA!F18/1000</f>
        <v>0</v>
      </c>
      <c r="K18" s="239">
        <f>ÚVT!F18/1000</f>
        <v>4287</v>
      </c>
      <c r="L18" s="239">
        <f>VMU!F18/1000</f>
        <v>0</v>
      </c>
      <c r="M18" s="239">
        <f>CJV!F18/1000</f>
        <v>0</v>
      </c>
      <c r="N18" s="239">
        <f>CZS!F18/1000</f>
        <v>5600</v>
      </c>
      <c r="O18" s="349">
        <f>RMU!F18/1000</f>
        <v>31890</v>
      </c>
      <c r="P18" s="138">
        <f t="shared" si="4"/>
        <v>54327</v>
      </c>
      <c r="Q18" s="130"/>
      <c r="R18" s="326">
        <f>SKM!H18/1000+SUKB!H19/1000+UCT!H18/1000+SPSSN!H18/1000+IBA!H18/1000+ÚVT!H18/1000+VMU!H18/1000+CJV!H18/1000+CZS!H18/1000+RMU!H18/1000</f>
        <v>54327</v>
      </c>
      <c r="S18" s="137">
        <f>SKM!I18/1000+SUKB!I19/1000+UCT!I18/1000+SPSSN!I18/1000+IBA!I18/1000+ÚVT!I18/1000+VMU!I18/1000+CJV!I18/1000+CZS!I18/1000+RMU!I18/1000</f>
        <v>0</v>
      </c>
      <c r="T18" s="137">
        <f>SKM!J18/1000+SUKB!J19/1000+UCT!J18/1000+SPSSN!J18/1000+IBA!J18/1000+ÚVT!J18/1000+VMU!J18/1000+CJV!J18/1000+CZS!J18/1000+RMU!J18/1000</f>
        <v>0</v>
      </c>
      <c r="U18" s="137">
        <f>SKM!K18/1000+SUKB!K19/1000+UCT!K18/1000+SPSSN!K18/1000+IBA!K18/1000+ÚVT!K18/1000+VMU!K18/1000+CJV!K18/1000+CZS!K18/1000+RMU!K18/1000</f>
        <v>0</v>
      </c>
      <c r="V18" s="195">
        <f>SKM!L18/1000+SUKB!L19/1000+UCT!L18/1000+SPSSN!L18/1000+IBA!L18/1000+ÚVT!L18/1000+VMU!L18/1000+CJV!L18/1000+CZS!L18/1000+RMU!L18/1000</f>
        <v>0</v>
      </c>
      <c r="W18" s="138">
        <f>SKM!M18/1000+SUKB!M19/1000+UCT!M18/1000+SPSSN!M18/1000+IBA!M18/1000+ÚVT!M18/1000+VMU!M18/1000+CJV!M18/1000+CZS!M18/1000+RMU!M18/1000</f>
        <v>41664.204</v>
      </c>
    </row>
    <row r="19" spans="1:23" s="37" customFormat="1" ht="12">
      <c r="A19" s="28"/>
      <c r="B19" s="48" t="s">
        <v>35</v>
      </c>
      <c r="C19" s="49"/>
      <c r="D19" s="49"/>
      <c r="E19" s="50">
        <v>17</v>
      </c>
      <c r="F19" s="326">
        <f>SKM!F19/1000</f>
        <v>0</v>
      </c>
      <c r="G19" s="239">
        <f>SUKB!F20/1000</f>
        <v>0</v>
      </c>
      <c r="H19" s="239">
        <f>UCT!F19/1000</f>
        <v>0</v>
      </c>
      <c r="I19" s="239">
        <f>SPSSN!F19/1000</f>
        <v>0</v>
      </c>
      <c r="J19" s="239">
        <f>IBA!F19/1000</f>
        <v>0</v>
      </c>
      <c r="K19" s="239">
        <f>ÚVT!F19/1000</f>
        <v>0</v>
      </c>
      <c r="L19" s="239">
        <f>VMU!F19/1000</f>
        <v>0</v>
      </c>
      <c r="M19" s="239">
        <f>CJV!F19/1000</f>
        <v>0</v>
      </c>
      <c r="N19" s="239">
        <f>CZS!F19/1000</f>
        <v>0</v>
      </c>
      <c r="O19" s="349">
        <f>RMU!F19/1000</f>
        <v>0</v>
      </c>
      <c r="P19" s="138">
        <f t="shared" si="4"/>
        <v>0</v>
      </c>
      <c r="Q19" s="130"/>
      <c r="R19" s="326">
        <f>SKM!H19/1000+SUKB!H20/1000+UCT!H19/1000+SPSSN!H19/1000+IBA!H19/1000+ÚVT!H19/1000+VMU!H19/1000+CJV!H19/1000+CZS!H19/1000+RMU!H19/1000</f>
        <v>0</v>
      </c>
      <c r="S19" s="137">
        <f>SKM!I19/1000+SUKB!I20/1000+UCT!I19/1000+SPSSN!I19/1000+IBA!I19/1000+ÚVT!I19/1000+VMU!I19/1000+CJV!I19/1000+CZS!I19/1000+RMU!I19/1000</f>
        <v>0</v>
      </c>
      <c r="T19" s="137">
        <f>SKM!J19/1000+SUKB!J20/1000+UCT!J19/1000+SPSSN!J19/1000+IBA!J19/1000+ÚVT!J19/1000+VMU!J19/1000+CJV!J19/1000+CZS!J19/1000+RMU!J19/1000</f>
        <v>0</v>
      </c>
      <c r="U19" s="137">
        <f>SKM!K19/1000+SUKB!K20/1000+UCT!K19/1000+SPSSN!K19/1000+IBA!K19/1000+ÚVT!K19/1000+VMU!K19/1000+CJV!K19/1000+CZS!K19/1000+RMU!K19/1000</f>
        <v>0</v>
      </c>
      <c r="V19" s="195">
        <f>SKM!L19/1000+SUKB!L20/1000+UCT!L19/1000+SPSSN!L19/1000+IBA!L19/1000+ÚVT!L19/1000+VMU!L19/1000+CJV!L19/1000+CZS!L19/1000+RMU!L19/1000</f>
        <v>0</v>
      </c>
      <c r="W19" s="138">
        <f>SKM!M19/1000+SUKB!M20/1000+UCT!M19/1000+SPSSN!M19/1000+IBA!M19/1000+ÚVT!M19/1000+VMU!M19/1000+CJV!M19/1000+CZS!M19/1000+RMU!M19/1000</f>
        <v>0</v>
      </c>
    </row>
    <row r="20" spans="1:23" s="37" customFormat="1" ht="12">
      <c r="A20" s="28"/>
      <c r="B20" s="48" t="s">
        <v>37</v>
      </c>
      <c r="C20" s="48"/>
      <c r="D20" s="48"/>
      <c r="E20" s="50">
        <v>18</v>
      </c>
      <c r="F20" s="326">
        <f>SKM!F20/1000</f>
        <v>0</v>
      </c>
      <c r="G20" s="239">
        <f>SUKB!F21/1000</f>
        <v>0</v>
      </c>
      <c r="H20" s="239">
        <f>UCT!F20/1000</f>
        <v>0</v>
      </c>
      <c r="I20" s="239">
        <f>SPSSN!F20/1000</f>
        <v>0</v>
      </c>
      <c r="J20" s="239">
        <f>IBA!F20/1000</f>
        <v>0</v>
      </c>
      <c r="K20" s="239">
        <f>ÚVT!F20/1000</f>
        <v>0</v>
      </c>
      <c r="L20" s="239">
        <f>VMU!F20/1000</f>
        <v>0</v>
      </c>
      <c r="M20" s="239">
        <f>CJV!F20/1000</f>
        <v>0</v>
      </c>
      <c r="N20" s="239">
        <f>CZS!F20/1000</f>
        <v>0</v>
      </c>
      <c r="O20" s="349">
        <f>RMU!F20/1000</f>
        <v>1000</v>
      </c>
      <c r="P20" s="138">
        <f t="shared" si="4"/>
        <v>1000</v>
      </c>
      <c r="Q20" s="130"/>
      <c r="R20" s="326">
        <f>SKM!H20/1000+SUKB!H21/1000+UCT!H20/1000+SPSSN!H20/1000+IBA!H20/1000+ÚVT!H20/1000+VMU!H20/1000+CJV!H20/1000+CZS!H20/1000+RMU!H20/1000</f>
        <v>1000</v>
      </c>
      <c r="S20" s="137">
        <f>SKM!I20/1000+SUKB!I21/1000+UCT!I20/1000+SPSSN!I20/1000+IBA!I20/1000+ÚVT!I20/1000+VMU!I20/1000+CJV!I20/1000+CZS!I20/1000+RMU!I20/1000</f>
        <v>0</v>
      </c>
      <c r="T20" s="137">
        <f>SKM!J20/1000+SUKB!J21/1000+UCT!J20/1000+SPSSN!J20/1000+IBA!J20/1000+ÚVT!J20/1000+VMU!J20/1000+CJV!J20/1000+CZS!J20/1000+RMU!J20/1000</f>
        <v>0</v>
      </c>
      <c r="U20" s="137">
        <f>SKM!K20/1000+SUKB!K21/1000+UCT!K20/1000+SPSSN!K20/1000+IBA!K20/1000+ÚVT!K20/1000+VMU!K20/1000+CJV!K20/1000+CZS!K20/1000+RMU!K20/1000</f>
        <v>0</v>
      </c>
      <c r="V20" s="195">
        <f>SKM!L20/1000+SUKB!L21/1000+UCT!L20/1000+SPSSN!L20/1000+IBA!L20/1000+ÚVT!L20/1000+VMU!L20/1000+CJV!L20/1000+CZS!L20/1000+RMU!L20/1000</f>
        <v>0</v>
      </c>
      <c r="W20" s="138">
        <f>SKM!M20/1000+SUKB!M21/1000+UCT!M20/1000+SPSSN!M20/1000+IBA!M20/1000+ÚVT!M20/1000+VMU!M20/1000+CJV!M20/1000+CZS!M20/1000+RMU!M20/1000</f>
        <v>4523.549</v>
      </c>
    </row>
    <row r="21" spans="1:23" s="37" customFormat="1" ht="12">
      <c r="A21" s="28"/>
      <c r="B21" s="48" t="s">
        <v>39</v>
      </c>
      <c r="C21" s="48"/>
      <c r="D21" s="48"/>
      <c r="E21" s="50">
        <v>19</v>
      </c>
      <c r="F21" s="326">
        <f>SKM!F21/1000</f>
        <v>0</v>
      </c>
      <c r="G21" s="239">
        <f>SUKB!F22/1000</f>
        <v>0</v>
      </c>
      <c r="H21" s="239">
        <f>UCT!F21/1000</f>
        <v>0</v>
      </c>
      <c r="I21" s="239">
        <f>SPSSN!F21/1000</f>
        <v>8215</v>
      </c>
      <c r="J21" s="239">
        <f>IBA!F21/1000</f>
        <v>0</v>
      </c>
      <c r="K21" s="239">
        <f>ÚVT!F21/1000</f>
        <v>0</v>
      </c>
      <c r="L21" s="239">
        <f>VMU!F21/1000</f>
        <v>0</v>
      </c>
      <c r="M21" s="239">
        <f>CJV!F21/1000</f>
        <v>0</v>
      </c>
      <c r="N21" s="239">
        <f>CZS!F21/1000</f>
        <v>0</v>
      </c>
      <c r="O21" s="349">
        <f>RMU!F21/1000</f>
        <v>10794.546</v>
      </c>
      <c r="P21" s="138">
        <f t="shared" si="4"/>
        <v>19009.546000000002</v>
      </c>
      <c r="Q21" s="130"/>
      <c r="R21" s="326">
        <f>SKM!H21/1000+SUKB!H22/1000+UCT!H21/1000+SPSSN!H21/1000+IBA!H21/1000+ÚVT!H21/1000+VMU!H21/1000+CJV!H21/1000+CZS!H21/1000+RMU!H21/1000</f>
        <v>19009.546000000002</v>
      </c>
      <c r="S21" s="137">
        <f>SKM!I21/1000+SUKB!I22/1000+UCT!I21/1000+SPSSN!I21/1000+IBA!I21/1000+ÚVT!I21/1000+VMU!I21/1000+CJV!I21/1000+CZS!I21/1000+RMU!I21/1000</f>
        <v>0</v>
      </c>
      <c r="T21" s="137">
        <f>SKM!J21/1000+SUKB!J22/1000+UCT!J21/1000+SPSSN!J21/1000+IBA!J21/1000+ÚVT!J21/1000+VMU!J21/1000+CJV!J21/1000+CZS!J21/1000+RMU!J21/1000</f>
        <v>0</v>
      </c>
      <c r="U21" s="137">
        <f>SKM!K21/1000+SUKB!K22/1000+UCT!K21/1000+SPSSN!K21/1000+IBA!K21/1000+ÚVT!K21/1000+VMU!K21/1000+CJV!K21/1000+CZS!K21/1000+RMU!K21/1000</f>
        <v>0</v>
      </c>
      <c r="V21" s="195">
        <f>SKM!L21/1000+SUKB!L22/1000+UCT!L21/1000+SPSSN!L21/1000+IBA!L21/1000+ÚVT!L21/1000+VMU!L21/1000+CJV!L21/1000+CZS!L21/1000+RMU!L21/1000</f>
        <v>0</v>
      </c>
      <c r="W21" s="138">
        <f>SKM!M21/1000+SUKB!M22/1000+UCT!M21/1000+SPSSN!M21/1000+IBA!M21/1000+ÚVT!M21/1000+VMU!M21/1000+CJV!M21/1000+CZS!M21/1000+RMU!M21/1000</f>
        <v>7749.2699999999995</v>
      </c>
    </row>
    <row r="22" spans="1:23" s="37" customFormat="1" ht="12">
      <c r="A22" s="28"/>
      <c r="B22" s="48" t="s">
        <v>41</v>
      </c>
      <c r="C22" s="48"/>
      <c r="D22" s="48"/>
      <c r="E22" s="50">
        <v>20</v>
      </c>
      <c r="F22" s="326">
        <f>SKM!F22/1000</f>
        <v>0</v>
      </c>
      <c r="G22" s="239">
        <f>SUKB!F23/1000</f>
        <v>0</v>
      </c>
      <c r="H22" s="239">
        <f>UCT!F22/1000</f>
        <v>0</v>
      </c>
      <c r="I22" s="239">
        <f>SPSSN!F22/1000</f>
        <v>0</v>
      </c>
      <c r="J22" s="239">
        <f>IBA!F22/1000</f>
        <v>6000</v>
      </c>
      <c r="K22" s="239">
        <f>ÚVT!F22/1000</f>
        <v>2644.44</v>
      </c>
      <c r="L22" s="239">
        <f>VMU!F22/1000</f>
        <v>0</v>
      </c>
      <c r="M22" s="239">
        <f>CJV!F22/1000</f>
        <v>3051</v>
      </c>
      <c r="N22" s="239">
        <f>CZS!F22/1000</f>
        <v>18000</v>
      </c>
      <c r="O22" s="349">
        <f>RMU!F22/1000</f>
        <v>0</v>
      </c>
      <c r="P22" s="138">
        <f t="shared" si="4"/>
        <v>29695.440000000002</v>
      </c>
      <c r="Q22" s="130"/>
      <c r="R22" s="326">
        <f>SKM!H22/1000+SUKB!H23/1000+UCT!H22/1000+SPSSN!H22/1000+IBA!H22/1000+ÚVT!H22/1000+VMU!H22/1000+CJV!H22/1000+CZS!H22/1000+RMU!H22/1000</f>
        <v>21962.15818</v>
      </c>
      <c r="S22" s="137">
        <f>SKM!I22/1000+SUKB!I23/1000+UCT!I22/1000+SPSSN!I22/1000+IBA!I22/1000+ÚVT!I22/1000+VMU!I22/1000+CJV!I22/1000+CZS!I22/1000+RMU!I22/1000</f>
        <v>0</v>
      </c>
      <c r="T22" s="137">
        <f>SKM!J22/1000+SUKB!J23/1000+UCT!J22/1000+SPSSN!J22/1000+IBA!J22/1000+ÚVT!J22/1000+VMU!J22/1000+CJV!J22/1000+CZS!J22/1000+RMU!J22/1000</f>
        <v>7733.28182</v>
      </c>
      <c r="U22" s="137">
        <f>SKM!K22/1000+SUKB!K23/1000+UCT!K22/1000+SPSSN!K22/1000+IBA!K22/1000+ÚVT!K22/1000+VMU!K22/1000+CJV!K22/1000+CZS!K22/1000+RMU!K22/1000</f>
        <v>0</v>
      </c>
      <c r="V22" s="195">
        <f>SKM!L22/1000+SUKB!L23/1000+UCT!L22/1000+SPSSN!L22/1000+IBA!L22/1000+ÚVT!L22/1000+VMU!L22/1000+CJV!L22/1000+CZS!L22/1000+RMU!L22/1000</f>
        <v>0</v>
      </c>
      <c r="W22" s="138">
        <f>SKM!M22/1000+SUKB!M23/1000+UCT!M22/1000+SPSSN!M22/1000+IBA!M22/1000+ÚVT!M22/1000+VMU!M22/1000+CJV!M22/1000+CZS!M22/1000+RMU!M22/1000</f>
        <v>20672.628839999998</v>
      </c>
    </row>
    <row r="23" spans="1:23" s="37" customFormat="1" ht="12">
      <c r="A23" s="28"/>
      <c r="B23" s="48" t="s">
        <v>43</v>
      </c>
      <c r="C23" s="48"/>
      <c r="D23" s="48"/>
      <c r="E23" s="50">
        <v>21</v>
      </c>
      <c r="F23" s="326">
        <f>SKM!F23/1000</f>
        <v>0</v>
      </c>
      <c r="G23" s="239">
        <f>SUKB!F24/1000</f>
        <v>0</v>
      </c>
      <c r="H23" s="239">
        <f>UCT!F23/1000</f>
        <v>0</v>
      </c>
      <c r="I23" s="239">
        <f>SPSSN!F23/1000</f>
        <v>0</v>
      </c>
      <c r="J23" s="239">
        <f>IBA!F23/1000</f>
        <v>0</v>
      </c>
      <c r="K23" s="239">
        <f>ÚVT!F23/1000</f>
        <v>0</v>
      </c>
      <c r="L23" s="239">
        <f>VMU!F23/1000</f>
        <v>0</v>
      </c>
      <c r="M23" s="239">
        <f>CJV!F23/1000</f>
        <v>0</v>
      </c>
      <c r="N23" s="239">
        <f>CZS!F23/1000</f>
        <v>0</v>
      </c>
      <c r="O23" s="349">
        <f>RMU!F23/1000</f>
        <v>0</v>
      </c>
      <c r="P23" s="138">
        <f t="shared" si="4"/>
        <v>0</v>
      </c>
      <c r="Q23" s="130"/>
      <c r="R23" s="326">
        <f>SKM!H23/1000+SUKB!H24/1000+UCT!H23/1000+SPSSN!H23/1000+IBA!H23/1000+ÚVT!H23/1000+VMU!H23/1000+CJV!H23/1000+CZS!H23/1000+RMU!H23/1000</f>
        <v>0</v>
      </c>
      <c r="S23" s="137">
        <f>SKM!I23/1000+SUKB!I24/1000+UCT!I23/1000+SPSSN!I23/1000+IBA!I23/1000+ÚVT!I23/1000+VMU!I23/1000+CJV!I23/1000+CZS!I23/1000+RMU!I23/1000</f>
        <v>0</v>
      </c>
      <c r="T23" s="137">
        <f>SKM!J23/1000+SUKB!J24/1000+UCT!J23/1000+SPSSN!J23/1000+IBA!J23/1000+ÚVT!J23/1000+VMU!J23/1000+CJV!J23/1000+CZS!J23/1000+RMU!J23/1000</f>
        <v>0</v>
      </c>
      <c r="U23" s="137">
        <f>SKM!K23/1000+SUKB!K24/1000+UCT!K23/1000+SPSSN!K23/1000+IBA!K23/1000+ÚVT!K23/1000+VMU!K23/1000+CJV!K23/1000+CZS!K23/1000+RMU!K23/1000</f>
        <v>0</v>
      </c>
      <c r="V23" s="195">
        <f>SKM!L23/1000+SUKB!L24/1000+UCT!L23/1000+SPSSN!L23/1000+IBA!L23/1000+ÚVT!L23/1000+VMU!L23/1000+CJV!L23/1000+CZS!L23/1000+RMU!L23/1000</f>
        <v>0</v>
      </c>
      <c r="W23" s="138">
        <f>SKM!M23/1000+SUKB!M24/1000+UCT!M23/1000+SPSSN!M23/1000+IBA!M23/1000+ÚVT!M23/1000+VMU!M23/1000+CJV!M23/1000+CZS!M23/1000+RMU!M23/1000</f>
        <v>1111.137</v>
      </c>
    </row>
    <row r="24" spans="1:23" s="37" customFormat="1" ht="12">
      <c r="A24" s="28"/>
      <c r="B24" s="48" t="s">
        <v>45</v>
      </c>
      <c r="C24" s="48"/>
      <c r="D24" s="48"/>
      <c r="E24" s="50">
        <v>22</v>
      </c>
      <c r="F24" s="326">
        <f>SKM!F24/1000</f>
        <v>0</v>
      </c>
      <c r="G24" s="239">
        <f>SUKB!F25/1000</f>
        <v>0</v>
      </c>
      <c r="H24" s="239">
        <f>UCT!F24/1000</f>
        <v>0</v>
      </c>
      <c r="I24" s="239">
        <f>SPSSN!F24/1000</f>
        <v>0</v>
      </c>
      <c r="J24" s="239">
        <f>IBA!F24/1000</f>
        <v>2500</v>
      </c>
      <c r="K24" s="239">
        <f>ÚVT!F24/1000</f>
        <v>8454</v>
      </c>
      <c r="L24" s="239">
        <f>VMU!F24/1000</f>
        <v>0</v>
      </c>
      <c r="M24" s="239">
        <f>CJV!F24/1000</f>
        <v>0</v>
      </c>
      <c r="N24" s="239">
        <f>CZS!F24/1000</f>
        <v>0</v>
      </c>
      <c r="O24" s="349">
        <f>RMU!F24/1000</f>
        <v>0</v>
      </c>
      <c r="P24" s="138">
        <f t="shared" si="4"/>
        <v>10954</v>
      </c>
      <c r="Q24" s="130"/>
      <c r="R24" s="326">
        <f>SKM!H24/1000+SUKB!H25/1000+UCT!H24/1000+SPSSN!H24/1000+IBA!H24/1000+ÚVT!H24/1000+VMU!H24/1000+CJV!H24/1000+CZS!H24/1000+RMU!H24/1000</f>
        <v>10954</v>
      </c>
      <c r="S24" s="137">
        <f>SKM!I24/1000+SUKB!I25/1000+UCT!I24/1000+SPSSN!I24/1000+IBA!I24/1000+ÚVT!I24/1000+VMU!I24/1000+CJV!I24/1000+CZS!I24/1000+RMU!I24/1000</f>
        <v>0</v>
      </c>
      <c r="T24" s="137">
        <f>SKM!J24/1000+SUKB!J25/1000+UCT!J24/1000+SPSSN!J24/1000+IBA!J24/1000+ÚVT!J24/1000+VMU!J24/1000+CJV!J24/1000+CZS!J24/1000+RMU!J24/1000</f>
        <v>0</v>
      </c>
      <c r="U24" s="137">
        <f>SKM!K24/1000+SUKB!K25/1000+UCT!K24/1000+SPSSN!K24/1000+IBA!K24/1000+ÚVT!K24/1000+VMU!K24/1000+CJV!K24/1000+CZS!K24/1000+RMU!K24/1000</f>
        <v>0</v>
      </c>
      <c r="V24" s="195">
        <f>SKM!L24/1000+SUKB!L25/1000+UCT!L24/1000+SPSSN!L24/1000+IBA!L24/1000+ÚVT!L24/1000+VMU!L24/1000+CJV!L24/1000+CZS!L24/1000+RMU!L24/1000</f>
        <v>0</v>
      </c>
      <c r="W24" s="138">
        <f>SKM!M24/1000+SUKB!M25/1000+UCT!M24/1000+SPSSN!M24/1000+IBA!M24/1000+ÚVT!M24/1000+VMU!M24/1000+CJV!M24/1000+CZS!M24/1000+RMU!M24/1000</f>
        <v>12178.087</v>
      </c>
    </row>
    <row r="25" spans="1:23" s="37" customFormat="1" ht="12">
      <c r="A25" s="28"/>
      <c r="B25" s="48" t="s">
        <v>46</v>
      </c>
      <c r="C25" s="48"/>
      <c r="D25" s="48"/>
      <c r="E25" s="50">
        <v>23</v>
      </c>
      <c r="F25" s="326">
        <f>SKM!F25/1000</f>
        <v>0</v>
      </c>
      <c r="G25" s="239">
        <f>SUKB!F26/1000</f>
        <v>0</v>
      </c>
      <c r="H25" s="239">
        <f>UCT!F25/1000</f>
        <v>0</v>
      </c>
      <c r="I25" s="239">
        <f>SPSSN!F25/1000</f>
        <v>0</v>
      </c>
      <c r="J25" s="239">
        <f>IBA!F25/1000</f>
        <v>0</v>
      </c>
      <c r="K25" s="239">
        <f>ÚVT!F25/1000</f>
        <v>3943.181</v>
      </c>
      <c r="L25" s="239">
        <f>VMU!F25/1000</f>
        <v>0</v>
      </c>
      <c r="M25" s="239">
        <f>CJV!F25/1000</f>
        <v>0</v>
      </c>
      <c r="N25" s="239">
        <f>CZS!F25/1000</f>
        <v>0</v>
      </c>
      <c r="O25" s="349">
        <f>RMU!F25/1000</f>
        <v>0</v>
      </c>
      <c r="P25" s="138">
        <f t="shared" si="4"/>
        <v>3943.181</v>
      </c>
      <c r="Q25" s="130"/>
      <c r="R25" s="326">
        <f>SKM!H25/1000+SUKB!H26/1000+UCT!H25/1000+SPSSN!H25/1000+IBA!H25/1000+ÚVT!H25/1000+VMU!H25/1000+CJV!H25/1000+CZS!H25/1000+RMU!H25/1000</f>
        <v>2000</v>
      </c>
      <c r="S25" s="137">
        <f>SKM!I25/1000+SUKB!I26/1000+UCT!I25/1000+SPSSN!I25/1000+IBA!I25/1000+ÚVT!I25/1000+VMU!I25/1000+CJV!I25/1000+CZS!I25/1000+RMU!I25/1000</f>
        <v>0</v>
      </c>
      <c r="T25" s="137">
        <f>SKM!J25/1000+SUKB!J26/1000+UCT!J25/1000+SPSSN!J25/1000+IBA!J25/1000+ÚVT!J25/1000+VMU!J25/1000+CJV!J25/1000+CZS!J25/1000+RMU!J25/1000</f>
        <v>1943.181</v>
      </c>
      <c r="U25" s="137">
        <f>SKM!K25/1000+SUKB!K26/1000+UCT!K25/1000+SPSSN!K25/1000+IBA!K25/1000+ÚVT!K25/1000+VMU!K25/1000+CJV!K25/1000+CZS!K25/1000+RMU!K25/1000</f>
        <v>0</v>
      </c>
      <c r="V25" s="195">
        <f>SKM!L25/1000+SUKB!L26/1000+UCT!L25/1000+SPSSN!L25/1000+IBA!L25/1000+ÚVT!L25/1000+VMU!L25/1000+CJV!L25/1000+CZS!L25/1000+RMU!L25/1000</f>
        <v>0</v>
      </c>
      <c r="W25" s="138">
        <f>SKM!M25/1000+SUKB!M26/1000+UCT!M25/1000+SPSSN!M25/1000+IBA!M25/1000+ÚVT!M25/1000+VMU!M25/1000+CJV!M25/1000+CZS!M25/1000+RMU!M25/1000</f>
        <v>4094.961</v>
      </c>
    </row>
    <row r="26" spans="1:23" s="37" customFormat="1" ht="12">
      <c r="A26" s="28"/>
      <c r="B26" s="48" t="s">
        <v>48</v>
      </c>
      <c r="C26" s="48"/>
      <c r="D26" s="48"/>
      <c r="E26" s="50">
        <v>24</v>
      </c>
      <c r="F26" s="326">
        <f>SKM!F26/1000</f>
        <v>0</v>
      </c>
      <c r="G26" s="239">
        <f>SUKB!F27/1000</f>
        <v>0</v>
      </c>
      <c r="H26" s="239">
        <f>UCT!F26/1000</f>
        <v>0</v>
      </c>
      <c r="I26" s="239">
        <f>SPSSN!F26/1000</f>
        <v>0</v>
      </c>
      <c r="J26" s="239">
        <f>IBA!F26/1000</f>
        <v>0</v>
      </c>
      <c r="K26" s="239">
        <f>ÚVT!F26/1000</f>
        <v>1510</v>
      </c>
      <c r="L26" s="239">
        <f>VMU!F26/1000</f>
        <v>0</v>
      </c>
      <c r="M26" s="239">
        <f>CJV!F26/1000</f>
        <v>0</v>
      </c>
      <c r="N26" s="239">
        <f>CZS!F26/1000</f>
        <v>0</v>
      </c>
      <c r="O26" s="349">
        <f>RMU!F26/1000</f>
        <v>0</v>
      </c>
      <c r="P26" s="138">
        <f t="shared" si="4"/>
        <v>1510</v>
      </c>
      <c r="Q26" s="130"/>
      <c r="R26" s="326">
        <f>SKM!H26/1000+SUKB!H27/1000+UCT!H26/1000+SPSSN!H26/1000+IBA!H26/1000+ÚVT!H26/1000+VMU!H26/1000+CJV!H26/1000+CZS!H26/1000+RMU!H26/1000</f>
        <v>1510</v>
      </c>
      <c r="S26" s="137">
        <f>SKM!I26/1000+SUKB!I27/1000+UCT!I26/1000+SPSSN!I26/1000+IBA!I26/1000+ÚVT!I26/1000+VMU!I26/1000+CJV!I26/1000+CZS!I26/1000+RMU!I26/1000</f>
        <v>0</v>
      </c>
      <c r="T26" s="137">
        <f>SKM!J26/1000+SUKB!J27/1000+UCT!J26/1000+SPSSN!J26/1000+IBA!J26/1000+ÚVT!J26/1000+VMU!J26/1000+CJV!J26/1000+CZS!J26/1000+RMU!J26/1000</f>
        <v>0</v>
      </c>
      <c r="U26" s="137">
        <f>SKM!K26/1000+SUKB!K27/1000+UCT!K26/1000+SPSSN!K26/1000+IBA!K26/1000+ÚVT!K26/1000+VMU!K26/1000+CJV!K26/1000+CZS!K26/1000+RMU!K26/1000</f>
        <v>0</v>
      </c>
      <c r="V26" s="195">
        <f>SKM!L26/1000+SUKB!L27/1000+UCT!L26/1000+SPSSN!L26/1000+IBA!L26/1000+ÚVT!L26/1000+VMU!L26/1000+CJV!L26/1000+CZS!L26/1000+RMU!L26/1000</f>
        <v>0</v>
      </c>
      <c r="W26" s="138">
        <f>SKM!M26/1000+SUKB!M27/1000+UCT!M26/1000+SPSSN!M26/1000+IBA!M26/1000+ÚVT!M26/1000+VMU!M26/1000+CJV!M26/1000+CZS!M26/1000+RMU!M26/1000</f>
        <v>0</v>
      </c>
    </row>
    <row r="27" spans="1:23" s="37" customFormat="1" ht="12.75" thickBot="1">
      <c r="A27" s="28"/>
      <c r="B27" s="47" t="s">
        <v>50</v>
      </c>
      <c r="C27" s="47"/>
      <c r="D27" s="47"/>
      <c r="E27" s="40">
        <v>25</v>
      </c>
      <c r="F27" s="326">
        <f>SKM!F27/1000</f>
        <v>36350</v>
      </c>
      <c r="G27" s="239">
        <f>SUKB!F28/1000</f>
        <v>0</v>
      </c>
      <c r="H27" s="239">
        <f>UCT!F27/1000</f>
        <v>0</v>
      </c>
      <c r="I27" s="239">
        <f>SPSSN!F27/1000</f>
        <v>0</v>
      </c>
      <c r="J27" s="239">
        <f>IBA!F27/1000</f>
        <v>5700</v>
      </c>
      <c r="K27" s="239">
        <f>ÚVT!F27/1000</f>
        <v>9000</v>
      </c>
      <c r="L27" s="239">
        <f>VMU!F27/1000</f>
        <v>0</v>
      </c>
      <c r="M27" s="239">
        <f>CJV!F27/1000</f>
        <v>0</v>
      </c>
      <c r="N27" s="239">
        <f>CZS!F27/1000</f>
        <v>0</v>
      </c>
      <c r="O27" s="349">
        <f>RMU!F27/1000</f>
        <v>1252.9</v>
      </c>
      <c r="P27" s="138">
        <f t="shared" si="4"/>
        <v>52302.9</v>
      </c>
      <c r="Q27" s="130"/>
      <c r="R27" s="326">
        <f>SKM!H27/1000+SUKB!H28/1000+UCT!H27/1000+SPSSN!H27/1000+IBA!H27/1000+ÚVT!H27/1000+VMU!H27/1000+CJV!H27/1000+CZS!H27/1000+RMU!H27/1000</f>
        <v>52302.9</v>
      </c>
      <c r="S27" s="137">
        <f>SKM!I27/1000+SUKB!I28/1000+UCT!I27/1000+SPSSN!I27/1000+IBA!I27/1000+ÚVT!I27/1000+VMU!I27/1000+CJV!I27/1000+CZS!I27/1000+RMU!I27/1000</f>
        <v>0</v>
      </c>
      <c r="T27" s="137">
        <f>SKM!J27/1000+SUKB!J28/1000+UCT!J27/1000+SPSSN!J27/1000+IBA!J27/1000+ÚVT!J27/1000+VMU!J27/1000+CJV!J27/1000+CZS!J27/1000+RMU!J27/1000</f>
        <v>0</v>
      </c>
      <c r="U27" s="137">
        <f>SKM!K27/1000+SUKB!K28/1000+UCT!K27/1000+SPSSN!K27/1000+IBA!K27/1000+ÚVT!K27/1000+VMU!K27/1000+CJV!K27/1000+CZS!K27/1000+RMU!K27/1000</f>
        <v>0</v>
      </c>
      <c r="V27" s="195">
        <f>SKM!L27/1000+SUKB!L28/1000+UCT!L27/1000+SPSSN!L27/1000+IBA!L27/1000+ÚVT!L27/1000+VMU!L27/1000+CJV!L27/1000+CZS!L27/1000+RMU!L27/1000</f>
        <v>0</v>
      </c>
      <c r="W27" s="138">
        <f>SKM!M27/1000+SUKB!M28/1000+UCT!M27/1000+SPSSN!M27/1000+IBA!M27/1000+ÚVT!M27/1000+VMU!M27/1000+CJV!M27/1000+CZS!M27/1000+RMU!M27/1000</f>
        <v>51127.222</v>
      </c>
    </row>
    <row r="28" spans="1:23" ht="13.5" thickBot="1">
      <c r="A28" s="54" t="s">
        <v>52</v>
      </c>
      <c r="B28" s="55"/>
      <c r="C28" s="55"/>
      <c r="D28" s="55"/>
      <c r="E28" s="21">
        <v>26</v>
      </c>
      <c r="F28" s="342">
        <f aca="true" t="shared" si="5" ref="F28:W28">SUM(F29:F45)</f>
        <v>170601</v>
      </c>
      <c r="G28" s="357">
        <f t="shared" si="5"/>
        <v>30062</v>
      </c>
      <c r="H28" s="357">
        <f t="shared" si="5"/>
        <v>5178</v>
      </c>
      <c r="I28" s="357">
        <f t="shared" si="5"/>
        <v>24390</v>
      </c>
      <c r="J28" s="357">
        <f t="shared" si="5"/>
        <v>23460</v>
      </c>
      <c r="K28" s="357">
        <f t="shared" si="5"/>
        <v>178228.621</v>
      </c>
      <c r="L28" s="357">
        <f t="shared" si="5"/>
        <v>2561</v>
      </c>
      <c r="M28" s="357">
        <f t="shared" si="5"/>
        <v>30069</v>
      </c>
      <c r="N28" s="357">
        <f t="shared" si="5"/>
        <v>63400.273</v>
      </c>
      <c r="O28" s="350">
        <f t="shared" si="5"/>
        <v>451068.137</v>
      </c>
      <c r="P28" s="334">
        <f t="shared" si="5"/>
        <v>979018.0310000001</v>
      </c>
      <c r="Q28" s="161">
        <f t="shared" si="5"/>
        <v>0</v>
      </c>
      <c r="R28" s="115">
        <f t="shared" si="5"/>
        <v>891323.74418</v>
      </c>
      <c r="S28" s="116">
        <f t="shared" si="5"/>
        <v>62819.364</v>
      </c>
      <c r="T28" s="116">
        <f t="shared" si="5"/>
        <v>19344.92282</v>
      </c>
      <c r="U28" s="116">
        <f t="shared" si="5"/>
        <v>5530</v>
      </c>
      <c r="V28" s="115">
        <f t="shared" si="5"/>
        <v>0</v>
      </c>
      <c r="W28" s="117">
        <f t="shared" si="5"/>
        <v>865568.25223</v>
      </c>
    </row>
    <row r="29" spans="1:23" s="37" customFormat="1" ht="12">
      <c r="A29" s="28" t="s">
        <v>15</v>
      </c>
      <c r="B29" s="39" t="s">
        <v>53</v>
      </c>
      <c r="C29" s="39"/>
      <c r="D29" s="39"/>
      <c r="E29" s="330">
        <v>27</v>
      </c>
      <c r="F29" s="326">
        <f>SKM!F29/1000</f>
        <v>0</v>
      </c>
      <c r="G29" s="239">
        <f>SUKB!F30/1000</f>
        <v>0</v>
      </c>
      <c r="H29" s="239">
        <f>UCT!F29/1000</f>
        <v>4071</v>
      </c>
      <c r="I29" s="239">
        <f>SPSSN!F29/1000</f>
        <v>3110</v>
      </c>
      <c r="J29" s="239">
        <f>IBA!F29/1000</f>
        <v>0</v>
      </c>
      <c r="K29" s="239">
        <f>ÚVT!F29/1000</f>
        <v>129897</v>
      </c>
      <c r="L29" s="239">
        <f>VMU!F29/1000</f>
        <v>0</v>
      </c>
      <c r="M29" s="239">
        <f>CJV!F29/1000</f>
        <v>26667</v>
      </c>
      <c r="N29" s="239">
        <f>CZS!F29/1000</f>
        <v>7890.273</v>
      </c>
      <c r="O29" s="349">
        <f>RMU!F29/1000</f>
        <v>205042</v>
      </c>
      <c r="P29" s="138">
        <f t="shared" si="4"/>
        <v>376677.273</v>
      </c>
      <c r="Q29" s="119"/>
      <c r="R29" s="326">
        <f>SKM!H29/1000+SUKB!H30/1000+UCT!H29/1000+SPSSN!H29/1000+IBA!H29/1000+ÚVT!H29/1000+VMU!H29/1000+CJV!H29/1000+CZS!H29/1000+RMU!H29/1000</f>
        <v>375255</v>
      </c>
      <c r="S29" s="137">
        <f>SKM!I29/1000+SUKB!I30/1000+UCT!I29/1000+SPSSN!I29/1000+IBA!I29/1000+ÚVT!I29/1000+VMU!I29/1000+CJV!I29/1000+CZS!I29/1000+RMU!I29/1000</f>
        <v>1422.273</v>
      </c>
      <c r="T29" s="137">
        <f>SKM!J29/1000+SUKB!J30/1000+UCT!J29/1000+SPSSN!J29/1000+IBA!J29/1000+ÚVT!J29/1000+VMU!J29/1000+CJV!J29/1000+CZS!J29/1000+RMU!J29/1000</f>
        <v>0</v>
      </c>
      <c r="U29" s="137">
        <f>SKM!K29/1000+SUKB!K30/1000+UCT!K29/1000+SPSSN!K29/1000+IBA!K29/1000+ÚVT!K29/1000+VMU!K29/1000+CJV!K29/1000+CZS!K29/1000+RMU!K29/1000</f>
        <v>0</v>
      </c>
      <c r="V29" s="195">
        <f>SKM!L29/1000+SUKB!L30/1000+UCT!L29/1000+SPSSN!L29/1000+IBA!L29/1000+ÚVT!L29/1000+VMU!L29/1000+CJV!L29/1000+CZS!L29/1000+RMU!L29/1000</f>
        <v>0</v>
      </c>
      <c r="W29" s="138">
        <f>SKM!M29/1000+SUKB!M30/1000+UCT!M29/1000+SPSSN!M29/1000+IBA!M29/1000+ÚVT!M29/1000+VMU!M29/1000+CJV!M29/1000+CZS!M29/1000+RMU!M29/1000</f>
        <v>350215.66500000004</v>
      </c>
    </row>
    <row r="30" spans="1:23" s="37" customFormat="1" ht="12">
      <c r="A30" s="28"/>
      <c r="B30" s="47" t="s">
        <v>29</v>
      </c>
      <c r="C30" s="47"/>
      <c r="D30" s="47"/>
      <c r="E30" s="330">
        <v>28</v>
      </c>
      <c r="F30" s="326">
        <f>SKM!F30/1000</f>
        <v>0</v>
      </c>
      <c r="G30" s="239">
        <f>SUKB!F31/1000</f>
        <v>0</v>
      </c>
      <c r="H30" s="239">
        <f>UCT!F30/1000</f>
        <v>0</v>
      </c>
      <c r="I30" s="239">
        <f>SPSSN!F30/1000</f>
        <v>0</v>
      </c>
      <c r="J30" s="239">
        <f>IBA!F30/1000</f>
        <v>0</v>
      </c>
      <c r="K30" s="239">
        <f>ÚVT!F30/1000</f>
        <v>0</v>
      </c>
      <c r="L30" s="239">
        <f>VMU!F30/1000</f>
        <v>0</v>
      </c>
      <c r="M30" s="239">
        <f>CJV!F30/1000</f>
        <v>0</v>
      </c>
      <c r="N30" s="239">
        <f>CZS!F30/1000</f>
        <v>0</v>
      </c>
      <c r="O30" s="349">
        <f>RMU!F30/1000</f>
        <v>0</v>
      </c>
      <c r="P30" s="138">
        <f t="shared" si="4"/>
        <v>0</v>
      </c>
      <c r="Q30" s="135"/>
      <c r="R30" s="326">
        <f>SKM!H30/1000+SUKB!H31/1000+UCT!H30/1000+SPSSN!H30/1000+IBA!H30/1000+ÚVT!H30/1000+VMU!H30/1000+CJV!H30/1000+CZS!H30/1000+RMU!H30/1000</f>
        <v>0</v>
      </c>
      <c r="S30" s="137">
        <f>SKM!I30/1000+SUKB!I31/1000+UCT!I30/1000+SPSSN!I30/1000+IBA!I30/1000+ÚVT!I30/1000+VMU!I30/1000+CJV!I30/1000+CZS!I30/1000+RMU!I30/1000</f>
        <v>0</v>
      </c>
      <c r="T30" s="137">
        <f>SKM!J30/1000+SUKB!J31/1000+UCT!J30/1000+SPSSN!J30/1000+IBA!J30/1000+ÚVT!J30/1000+VMU!J30/1000+CJV!J30/1000+CZS!J30/1000+RMU!J30/1000</f>
        <v>0</v>
      </c>
      <c r="U30" s="137">
        <f>SKM!K30/1000+SUKB!K31/1000+UCT!K30/1000+SPSSN!K30/1000+IBA!K30/1000+ÚVT!K30/1000+VMU!K30/1000+CJV!K30/1000+CZS!K30/1000+RMU!K30/1000</f>
        <v>0</v>
      </c>
      <c r="V30" s="195">
        <f>SKM!L30/1000+SUKB!L31/1000+UCT!L30/1000+SPSSN!L30/1000+IBA!L30/1000+ÚVT!L30/1000+VMU!L30/1000+CJV!L30/1000+CZS!L30/1000+RMU!L30/1000</f>
        <v>0</v>
      </c>
      <c r="W30" s="138">
        <f>SKM!M30/1000+SUKB!M31/1000+UCT!M30/1000+SPSSN!M30/1000+IBA!M30/1000+ÚVT!M30/1000+VMU!M30/1000+CJV!M30/1000+CZS!M30/1000+RMU!M30/1000</f>
        <v>0</v>
      </c>
    </row>
    <row r="31" spans="1:23" s="37" customFormat="1" ht="12">
      <c r="A31" s="28"/>
      <c r="B31" s="47" t="s">
        <v>31</v>
      </c>
      <c r="C31" s="47"/>
      <c r="D31" s="47"/>
      <c r="E31" s="330">
        <v>29</v>
      </c>
      <c r="F31" s="326">
        <f>SKM!F31/1000</f>
        <v>0</v>
      </c>
      <c r="G31" s="239">
        <f>SUKB!F32/1000</f>
        <v>0</v>
      </c>
      <c r="H31" s="239">
        <f>UCT!F31/1000</f>
        <v>0</v>
      </c>
      <c r="I31" s="239">
        <f>SPSSN!F31/1000</f>
        <v>0</v>
      </c>
      <c r="J31" s="239">
        <f>IBA!F31/1000</f>
        <v>0</v>
      </c>
      <c r="K31" s="239">
        <f>ÚVT!F31/1000</f>
        <v>0</v>
      </c>
      <c r="L31" s="239">
        <f>VMU!F31/1000</f>
        <v>0</v>
      </c>
      <c r="M31" s="239">
        <f>CJV!F31/1000</f>
        <v>0</v>
      </c>
      <c r="N31" s="239">
        <f>CZS!F31/1000</f>
        <v>26000</v>
      </c>
      <c r="O31" s="349">
        <f>RMU!F31/1000</f>
        <v>0</v>
      </c>
      <c r="P31" s="138">
        <f t="shared" si="4"/>
        <v>26000</v>
      </c>
      <c r="Q31" s="135"/>
      <c r="R31" s="326">
        <f>SKM!H31/1000+SUKB!H32/1000+UCT!H31/1000+SPSSN!H31/1000+IBA!H31/1000+ÚVT!H31/1000+VMU!H31/1000+CJV!H31/1000+CZS!H31/1000+RMU!H31/1000</f>
        <v>25319</v>
      </c>
      <c r="S31" s="137">
        <f>SKM!I31/1000+SUKB!I32/1000+UCT!I31/1000+SPSSN!I31/1000+IBA!I31/1000+ÚVT!I31/1000+VMU!I31/1000+CJV!I31/1000+CZS!I31/1000+RMU!I31/1000</f>
        <v>0</v>
      </c>
      <c r="T31" s="137">
        <f>SKM!J31/1000+SUKB!J32/1000+UCT!J31/1000+SPSSN!J31/1000+IBA!J31/1000+ÚVT!J31/1000+VMU!J31/1000+CJV!J31/1000+CZS!J31/1000+RMU!J31/1000</f>
        <v>681</v>
      </c>
      <c r="U31" s="137">
        <f>SKM!K31/1000+SUKB!K32/1000+UCT!K31/1000+SPSSN!K31/1000+IBA!K31/1000+ÚVT!K31/1000+VMU!K31/1000+CJV!K31/1000+CZS!K31/1000+RMU!K31/1000</f>
        <v>0</v>
      </c>
      <c r="V31" s="195">
        <f>SKM!L31/1000+SUKB!L32/1000+UCT!L31/1000+SPSSN!L31/1000+IBA!L31/1000+ÚVT!L31/1000+VMU!L31/1000+CJV!L31/1000+CZS!L31/1000+RMU!L31/1000</f>
        <v>0</v>
      </c>
      <c r="W31" s="138">
        <f>SKM!M31/1000+SUKB!M32/1000+UCT!M31/1000+SPSSN!M31/1000+IBA!M31/1000+ÚVT!M31/1000+VMU!M31/1000+CJV!M31/1000+CZS!M31/1000+RMU!M31/1000</f>
        <v>25857.890760000002</v>
      </c>
    </row>
    <row r="32" spans="1:23" s="37" customFormat="1" ht="12">
      <c r="A32" s="28"/>
      <c r="B32" s="48" t="s">
        <v>33</v>
      </c>
      <c r="C32" s="49"/>
      <c r="D32" s="49"/>
      <c r="E32" s="331">
        <v>30</v>
      </c>
      <c r="F32" s="326">
        <f>SKM!F32/1000</f>
        <v>0</v>
      </c>
      <c r="G32" s="239">
        <f>SUKB!F33/1000</f>
        <v>0</v>
      </c>
      <c r="H32" s="239">
        <f>UCT!F32/1000</f>
        <v>0</v>
      </c>
      <c r="I32" s="239">
        <f>SPSSN!F32/1000</f>
        <v>12550</v>
      </c>
      <c r="J32" s="239">
        <f>IBA!F32/1000</f>
        <v>0</v>
      </c>
      <c r="K32" s="239">
        <f>ÚVT!F32/1000</f>
        <v>4287</v>
      </c>
      <c r="L32" s="239">
        <f>VMU!F32/1000</f>
        <v>0</v>
      </c>
      <c r="M32" s="239">
        <f>CJV!F32/1000</f>
        <v>0</v>
      </c>
      <c r="N32" s="239">
        <f>CZS!F32/1000</f>
        <v>5600</v>
      </c>
      <c r="O32" s="349">
        <f>RMU!F32/1000</f>
        <v>31890</v>
      </c>
      <c r="P32" s="138">
        <f t="shared" si="4"/>
        <v>54327</v>
      </c>
      <c r="Q32" s="135"/>
      <c r="R32" s="326">
        <f>SKM!H32/1000+SUKB!H33/1000+UCT!H32/1000+SPSSN!H32/1000+IBA!H32/1000+ÚVT!H32/1000+VMU!H32/1000+CJV!H32/1000+CZS!H32/1000+RMU!H32/1000</f>
        <v>54327</v>
      </c>
      <c r="S32" s="137">
        <f>SKM!I32/1000+SUKB!I33/1000+UCT!I32/1000+SPSSN!I32/1000+IBA!I32/1000+ÚVT!I32/1000+VMU!I32/1000+CJV!I32/1000+CZS!I32/1000+RMU!I32/1000</f>
        <v>0</v>
      </c>
      <c r="T32" s="137">
        <f>SKM!J32/1000+SUKB!J33/1000+UCT!J32/1000+SPSSN!J32/1000+IBA!J32/1000+ÚVT!J32/1000+VMU!J32/1000+CJV!J32/1000+CZS!J32/1000+RMU!J32/1000</f>
        <v>0</v>
      </c>
      <c r="U32" s="137">
        <f>SKM!K32/1000+SUKB!K33/1000+UCT!K32/1000+SPSSN!K32/1000+IBA!K32/1000+ÚVT!K32/1000+VMU!K32/1000+CJV!K32/1000+CZS!K32/1000+RMU!K32/1000</f>
        <v>0</v>
      </c>
      <c r="V32" s="195">
        <f>SKM!L32/1000+SUKB!L33/1000+UCT!L32/1000+SPSSN!L32/1000+IBA!L32/1000+ÚVT!L32/1000+VMU!L32/1000+CJV!L32/1000+CZS!L32/1000+RMU!L32/1000</f>
        <v>0</v>
      </c>
      <c r="W32" s="138">
        <f>SKM!M32/1000+SUKB!M33/1000+UCT!M32/1000+SPSSN!M32/1000+IBA!M32/1000+ÚVT!M32/1000+VMU!M32/1000+CJV!M32/1000+CZS!M32/1000+RMU!M32/1000</f>
        <v>41664.204</v>
      </c>
    </row>
    <row r="33" spans="1:23" s="37" customFormat="1" ht="12">
      <c r="A33" s="28"/>
      <c r="B33" s="48" t="s">
        <v>35</v>
      </c>
      <c r="C33" s="48"/>
      <c r="D33" s="48"/>
      <c r="E33" s="331">
        <v>31</v>
      </c>
      <c r="F33" s="326">
        <f>SKM!F33/1000</f>
        <v>0</v>
      </c>
      <c r="G33" s="239">
        <f>SUKB!F34/1000</f>
        <v>0</v>
      </c>
      <c r="H33" s="239">
        <f>UCT!F33/1000</f>
        <v>0</v>
      </c>
      <c r="I33" s="239">
        <f>SPSSN!F33/1000</f>
        <v>0</v>
      </c>
      <c r="J33" s="239">
        <f>IBA!F33/1000</f>
        <v>0</v>
      </c>
      <c r="K33" s="239">
        <f>ÚVT!F33/1000</f>
        <v>0</v>
      </c>
      <c r="L33" s="239">
        <f>VMU!F33/1000</f>
        <v>0</v>
      </c>
      <c r="M33" s="239">
        <f>CJV!F33/1000</f>
        <v>0</v>
      </c>
      <c r="N33" s="239">
        <f>CZS!F33/1000</f>
        <v>0</v>
      </c>
      <c r="O33" s="349">
        <f>RMU!F33/1000</f>
        <v>0</v>
      </c>
      <c r="P33" s="138">
        <f t="shared" si="4"/>
        <v>0</v>
      </c>
      <c r="Q33" s="135"/>
      <c r="R33" s="326">
        <f>SKM!H33/1000+SUKB!H34/1000+UCT!H33/1000+SPSSN!H33/1000+IBA!H33/1000+ÚVT!H33/1000+VMU!H33/1000+CJV!H33/1000+CZS!H33/1000+RMU!H33/1000</f>
        <v>0</v>
      </c>
      <c r="S33" s="137">
        <f>SKM!I33/1000+SUKB!I34/1000+UCT!I33/1000+SPSSN!I33/1000+IBA!I33/1000+ÚVT!I33/1000+VMU!I33/1000+CJV!I33/1000+CZS!I33/1000+RMU!I33/1000</f>
        <v>0</v>
      </c>
      <c r="T33" s="137">
        <f>SKM!J33/1000+SUKB!J34/1000+UCT!J33/1000+SPSSN!J33/1000+IBA!J33/1000+ÚVT!J33/1000+VMU!J33/1000+CJV!J33/1000+CZS!J33/1000+RMU!J33/1000</f>
        <v>0</v>
      </c>
      <c r="U33" s="137">
        <f>SKM!K33/1000+SUKB!K34/1000+UCT!K33/1000+SPSSN!K33/1000+IBA!K33/1000+ÚVT!K33/1000+VMU!K33/1000+CJV!K33/1000+CZS!K33/1000+RMU!K33/1000</f>
        <v>0</v>
      </c>
      <c r="V33" s="195">
        <f>SKM!L33/1000+SUKB!L34/1000+UCT!L33/1000+SPSSN!L33/1000+IBA!L33/1000+ÚVT!L33/1000+VMU!L33/1000+CJV!L33/1000+CZS!L33/1000+RMU!L33/1000</f>
        <v>0</v>
      </c>
      <c r="W33" s="138">
        <f>SKM!M33/1000+SUKB!M34/1000+UCT!M33/1000+SPSSN!M33/1000+IBA!M33/1000+ÚVT!M33/1000+VMU!M33/1000+CJV!M33/1000+CZS!M33/1000+RMU!M33/1000</f>
        <v>0</v>
      </c>
    </row>
    <row r="34" spans="1:23" s="37" customFormat="1" ht="12">
      <c r="A34" s="28"/>
      <c r="B34" s="48" t="s">
        <v>55</v>
      </c>
      <c r="C34" s="48"/>
      <c r="D34" s="48"/>
      <c r="E34" s="331">
        <v>32</v>
      </c>
      <c r="F34" s="326">
        <f>SKM!F34/1000</f>
        <v>16708</v>
      </c>
      <c r="G34" s="239">
        <f>SUKB!F35/1000</f>
        <v>0</v>
      </c>
      <c r="H34" s="239">
        <f>UCT!F34/1000</f>
        <v>0</v>
      </c>
      <c r="I34" s="239">
        <f>SPSSN!F34/1000</f>
        <v>0</v>
      </c>
      <c r="J34" s="239">
        <f>IBA!F34/1000</f>
        <v>0</v>
      </c>
      <c r="K34" s="239">
        <f>ÚVT!F34/1000</f>
        <v>0</v>
      </c>
      <c r="L34" s="239">
        <f>VMU!F34/1000</f>
        <v>0</v>
      </c>
      <c r="M34" s="239">
        <f>CJV!F34/1000</f>
        <v>0</v>
      </c>
      <c r="N34" s="239">
        <f>CZS!F34/1000</f>
        <v>0</v>
      </c>
      <c r="O34" s="349">
        <f>RMU!F34/1000</f>
        <v>107126</v>
      </c>
      <c r="P34" s="138">
        <f t="shared" si="4"/>
        <v>123834</v>
      </c>
      <c r="Q34" s="135"/>
      <c r="R34" s="326">
        <f>SKM!H34/1000+SUKB!H35/1000+UCT!H34/1000+SPSSN!H34/1000+IBA!H34/1000+ÚVT!H34/1000+VMU!H34/1000+CJV!H34/1000+CZS!H34/1000+RMU!H34/1000</f>
        <v>123834</v>
      </c>
      <c r="S34" s="137">
        <f>SKM!I34/1000+SUKB!I35/1000+UCT!I34/1000+SPSSN!I34/1000+IBA!I34/1000+ÚVT!I34/1000+VMU!I34/1000+CJV!I34/1000+CZS!I34/1000+RMU!I34/1000</f>
        <v>0</v>
      </c>
      <c r="T34" s="137">
        <f>SKM!J34/1000+SUKB!J35/1000+UCT!J34/1000+SPSSN!J34/1000+IBA!J34/1000+ÚVT!J34/1000+VMU!J34/1000+CJV!J34/1000+CZS!J34/1000+RMU!J34/1000</f>
        <v>0</v>
      </c>
      <c r="U34" s="137">
        <f>SKM!K34/1000+SUKB!K35/1000+UCT!K34/1000+SPSSN!K34/1000+IBA!K34/1000+ÚVT!K34/1000+VMU!K34/1000+CJV!K34/1000+CZS!K34/1000+RMU!K34/1000</f>
        <v>0</v>
      </c>
      <c r="V34" s="195">
        <f>SKM!L34/1000+SUKB!L35/1000+UCT!L34/1000+SPSSN!L34/1000+IBA!L34/1000+ÚVT!L34/1000+VMU!L34/1000+CJV!L34/1000+CZS!L34/1000+RMU!L34/1000</f>
        <v>0</v>
      </c>
      <c r="W34" s="138">
        <f>SKM!M34/1000+SUKB!M35/1000+UCT!M34/1000+SPSSN!M34/1000+IBA!M34/1000+ÚVT!M34/1000+VMU!M34/1000+CJV!M34/1000+CZS!M34/1000+RMU!M34/1000</f>
        <v>103207.037</v>
      </c>
    </row>
    <row r="35" spans="1:23" s="37" customFormat="1" ht="12">
      <c r="A35" s="28"/>
      <c r="B35" s="48" t="s">
        <v>37</v>
      </c>
      <c r="C35" s="48"/>
      <c r="D35" s="48"/>
      <c r="E35" s="331">
        <v>33</v>
      </c>
      <c r="F35" s="326">
        <f>SKM!F35/1000</f>
        <v>0</v>
      </c>
      <c r="G35" s="239">
        <f>SUKB!F36/1000</f>
        <v>0</v>
      </c>
      <c r="H35" s="239">
        <f>UCT!F35/1000</f>
        <v>0</v>
      </c>
      <c r="I35" s="239">
        <f>SPSSN!F35/1000</f>
        <v>0</v>
      </c>
      <c r="J35" s="239">
        <f>IBA!F35/1000</f>
        <v>0</v>
      </c>
      <c r="K35" s="239">
        <f>ÚVT!F35/1000</f>
        <v>0</v>
      </c>
      <c r="L35" s="239">
        <f>VMU!F35/1000</f>
        <v>0</v>
      </c>
      <c r="M35" s="239">
        <f>CJV!F35/1000</f>
        <v>0</v>
      </c>
      <c r="N35" s="239">
        <f>CZS!F35/1000</f>
        <v>0</v>
      </c>
      <c r="O35" s="349">
        <f>RMU!F35/1000</f>
        <v>1000</v>
      </c>
      <c r="P35" s="138">
        <f t="shared" si="4"/>
        <v>1000</v>
      </c>
      <c r="Q35" s="135"/>
      <c r="R35" s="326">
        <f>SKM!H35/1000+SUKB!H36/1000+UCT!H35/1000+SPSSN!H35/1000+IBA!H35/1000+ÚVT!H35/1000+VMU!H35/1000+CJV!H35/1000+CZS!H35/1000+RMU!H35/1000</f>
        <v>1000</v>
      </c>
      <c r="S35" s="137">
        <f>SKM!I35/1000+SUKB!I36/1000+UCT!I35/1000+SPSSN!I35/1000+IBA!I35/1000+ÚVT!I35/1000+VMU!I35/1000+CJV!I35/1000+CZS!I35/1000+RMU!I35/1000</f>
        <v>0</v>
      </c>
      <c r="T35" s="137">
        <f>SKM!J35/1000+SUKB!J36/1000+UCT!J35/1000+SPSSN!J35/1000+IBA!J35/1000+ÚVT!J35/1000+VMU!J35/1000+CJV!J35/1000+CZS!J35/1000+RMU!J35/1000</f>
        <v>0</v>
      </c>
      <c r="U35" s="137">
        <f>SKM!K35/1000+SUKB!K36/1000+UCT!K35/1000+SPSSN!K35/1000+IBA!K35/1000+ÚVT!K35/1000+VMU!K35/1000+CJV!K35/1000+CZS!K35/1000+RMU!K35/1000</f>
        <v>0</v>
      </c>
      <c r="V35" s="195">
        <f>SKM!L35/1000+SUKB!L36/1000+UCT!L35/1000+SPSSN!L35/1000+IBA!L35/1000+ÚVT!L35/1000+VMU!L35/1000+CJV!L35/1000+CZS!L35/1000+RMU!L35/1000</f>
        <v>0</v>
      </c>
      <c r="W35" s="138">
        <f>SKM!M35/1000+SUKB!M36/1000+UCT!M35/1000+SPSSN!M35/1000+IBA!M35/1000+ÚVT!M35/1000+VMU!M35/1000+CJV!M35/1000+CZS!M35/1000+RMU!M35/1000</f>
        <v>4523.549</v>
      </c>
    </row>
    <row r="36" spans="1:23" s="37" customFormat="1" ht="12">
      <c r="A36" s="28"/>
      <c r="B36" s="48" t="s">
        <v>39</v>
      </c>
      <c r="C36" s="48"/>
      <c r="D36" s="48"/>
      <c r="E36" s="331">
        <v>34</v>
      </c>
      <c r="F36" s="326">
        <f>SKM!F36/1000</f>
        <v>0</v>
      </c>
      <c r="G36" s="239">
        <f>SUKB!F37/1000</f>
        <v>0</v>
      </c>
      <c r="H36" s="239">
        <f>UCT!F36/1000</f>
        <v>0</v>
      </c>
      <c r="I36" s="239">
        <f>SPSSN!F36/1000</f>
        <v>8215</v>
      </c>
      <c r="J36" s="239">
        <f>IBA!F36/1000</f>
        <v>0</v>
      </c>
      <c r="K36" s="239">
        <f>ÚVT!F36/1000</f>
        <v>0</v>
      </c>
      <c r="L36" s="239">
        <f>VMU!F36/1000</f>
        <v>0</v>
      </c>
      <c r="M36" s="239">
        <f>CJV!F36/1000</f>
        <v>0</v>
      </c>
      <c r="N36" s="239">
        <f>CZS!F36/1000</f>
        <v>0</v>
      </c>
      <c r="O36" s="349">
        <f>RMU!F36/1000</f>
        <v>10794.546</v>
      </c>
      <c r="P36" s="138">
        <f t="shared" si="4"/>
        <v>19009.546000000002</v>
      </c>
      <c r="Q36" s="135"/>
      <c r="R36" s="326">
        <f>SKM!H36/1000+SUKB!H37/1000+UCT!H36/1000+SPSSN!H36/1000+IBA!H36/1000+ÚVT!H36/1000+VMU!H36/1000+CJV!H36/1000+CZS!H36/1000+RMU!H36/1000</f>
        <v>19009.546000000002</v>
      </c>
      <c r="S36" s="137">
        <f>SKM!I36/1000+SUKB!I37/1000+UCT!I36/1000+SPSSN!I36/1000+IBA!I36/1000+ÚVT!I36/1000+VMU!I36/1000+CJV!I36/1000+CZS!I36/1000+RMU!I36/1000</f>
        <v>0</v>
      </c>
      <c r="T36" s="137">
        <f>SKM!J36/1000+SUKB!J37/1000+UCT!J36/1000+SPSSN!J36/1000+IBA!J36/1000+ÚVT!J36/1000+VMU!J36/1000+CJV!J36/1000+CZS!J36/1000+RMU!J36/1000</f>
        <v>0</v>
      </c>
      <c r="U36" s="137">
        <f>SKM!K36/1000+SUKB!K37/1000+UCT!K36/1000+SPSSN!K36/1000+IBA!K36/1000+ÚVT!K36/1000+VMU!K36/1000+CJV!K36/1000+CZS!K36/1000+RMU!K36/1000</f>
        <v>0</v>
      </c>
      <c r="V36" s="195">
        <f>SKM!L36/1000+SUKB!L37/1000+UCT!L36/1000+SPSSN!L36/1000+IBA!L36/1000+ÚVT!L36/1000+VMU!L36/1000+CJV!L36/1000+CZS!L36/1000+RMU!L36/1000</f>
        <v>0</v>
      </c>
      <c r="W36" s="138">
        <f>SKM!M36/1000+SUKB!M37/1000+UCT!M36/1000+SPSSN!M36/1000+IBA!M36/1000+ÚVT!M36/1000+VMU!M36/1000+CJV!M36/1000+CZS!M36/1000+RMU!M36/1000</f>
        <v>7749.2699999999995</v>
      </c>
    </row>
    <row r="37" spans="1:23" s="37" customFormat="1" ht="12">
      <c r="A37" s="28"/>
      <c r="B37" s="48" t="s">
        <v>57</v>
      </c>
      <c r="C37" s="48"/>
      <c r="D37" s="48"/>
      <c r="E37" s="331">
        <v>35</v>
      </c>
      <c r="F37" s="326">
        <f>SKM!F37/1000</f>
        <v>0</v>
      </c>
      <c r="G37" s="239">
        <f>SUKB!F38/1000</f>
        <v>0</v>
      </c>
      <c r="H37" s="239">
        <f>UCT!F37/1000</f>
        <v>0</v>
      </c>
      <c r="I37" s="239">
        <f>SPSSN!F37/1000</f>
        <v>0</v>
      </c>
      <c r="J37" s="239">
        <f>IBA!F37/1000</f>
        <v>0</v>
      </c>
      <c r="K37" s="239">
        <f>ÚVT!F37/1000</f>
        <v>2644.44</v>
      </c>
      <c r="L37" s="239">
        <f>VMU!F37/1000</f>
        <v>0</v>
      </c>
      <c r="M37" s="239">
        <f>CJV!F37/1000</f>
        <v>3051</v>
      </c>
      <c r="N37" s="239">
        <f>CZS!F37/1000</f>
        <v>18000</v>
      </c>
      <c r="O37" s="349">
        <f>RMU!F37/1000</f>
        <v>0</v>
      </c>
      <c r="P37" s="138">
        <f t="shared" si="4"/>
        <v>23695.440000000002</v>
      </c>
      <c r="Q37" s="135"/>
      <c r="R37" s="326">
        <f>SKM!H37/1000+SUKB!H38/1000+UCT!H37/1000+SPSSN!H37/1000+IBA!H37/1000+ÚVT!H37/1000+VMU!H37/1000+CJV!H37/1000+CZS!H37/1000+RMU!H37/1000</f>
        <v>15962.158179999999</v>
      </c>
      <c r="S37" s="137">
        <f>SKM!I37/1000+SUKB!I38/1000+UCT!I37/1000+SPSSN!I37/1000+IBA!I37/1000+ÚVT!I37/1000+VMU!I37/1000+CJV!I37/1000+CZS!I37/1000+RMU!I37/1000</f>
        <v>0</v>
      </c>
      <c r="T37" s="137">
        <f>SKM!J37/1000+SUKB!J38/1000+UCT!J37/1000+SPSSN!J37/1000+IBA!J37/1000+ÚVT!J37/1000+VMU!J37/1000+CJV!J37/1000+CZS!J37/1000+RMU!J37/1000</f>
        <v>7733.28182</v>
      </c>
      <c r="U37" s="137">
        <f>SKM!K37/1000+SUKB!K38/1000+UCT!K37/1000+SPSSN!K37/1000+IBA!K37/1000+ÚVT!K37/1000+VMU!K37/1000+CJV!K37/1000+CZS!K37/1000+RMU!K37/1000</f>
        <v>0</v>
      </c>
      <c r="V37" s="195">
        <f>SKM!L37/1000+SUKB!L38/1000+UCT!L37/1000+SPSSN!L37/1000+IBA!L37/1000+ÚVT!L37/1000+VMU!L37/1000+CJV!L37/1000+CZS!L37/1000+RMU!L37/1000</f>
        <v>0</v>
      </c>
      <c r="W37" s="138">
        <f>SKM!M37/1000+SUKB!M38/1000+UCT!M37/1000+SPSSN!M37/1000+IBA!M37/1000+ÚVT!M37/1000+VMU!M37/1000+CJV!M37/1000+CZS!M37/1000+RMU!M37/1000</f>
        <v>20672.628839999998</v>
      </c>
    </row>
    <row r="38" spans="1:23" s="37" customFormat="1" ht="12">
      <c r="A38" s="28"/>
      <c r="B38" s="48" t="s">
        <v>58</v>
      </c>
      <c r="C38" s="48"/>
      <c r="D38" s="48"/>
      <c r="E38" s="331">
        <v>36</v>
      </c>
      <c r="F38" s="326">
        <f>SKM!F38/1000</f>
        <v>0</v>
      </c>
      <c r="G38" s="239">
        <f>SUKB!F39/1000</f>
        <v>0</v>
      </c>
      <c r="H38" s="239">
        <f>UCT!F38/1000</f>
        <v>0</v>
      </c>
      <c r="I38" s="239">
        <f>SPSSN!F38/1000</f>
        <v>0</v>
      </c>
      <c r="J38" s="239">
        <f>IBA!F38/1000</f>
        <v>0</v>
      </c>
      <c r="K38" s="239">
        <f>ÚVT!F38/1000</f>
        <v>0</v>
      </c>
      <c r="L38" s="239">
        <f>VMU!F38/1000</f>
        <v>0</v>
      </c>
      <c r="M38" s="239">
        <f>CJV!F38/1000</f>
        <v>0</v>
      </c>
      <c r="N38" s="239">
        <f>CZS!F38/1000</f>
        <v>0</v>
      </c>
      <c r="O38" s="349">
        <f>RMU!F38/1000</f>
        <v>0</v>
      </c>
      <c r="P38" s="138">
        <f t="shared" si="4"/>
        <v>0</v>
      </c>
      <c r="Q38" s="135"/>
      <c r="R38" s="326">
        <f>SKM!H38/1000+SUKB!H39/1000+UCT!H38/1000+SPSSN!H38/1000+IBA!H38/1000+ÚVT!H38/1000+VMU!H38/1000+CJV!H38/1000+CZS!H38/1000+RMU!H38/1000</f>
        <v>0</v>
      </c>
      <c r="S38" s="137">
        <f>SKM!I38/1000+SUKB!I39/1000+UCT!I38/1000+SPSSN!I38/1000+IBA!I38/1000+ÚVT!I38/1000+VMU!I38/1000+CJV!I38/1000+CZS!I38/1000+RMU!I38/1000</f>
        <v>0</v>
      </c>
      <c r="T38" s="137">
        <f>SKM!J38/1000+SUKB!J39/1000+UCT!J38/1000+SPSSN!J38/1000+IBA!J38/1000+ÚVT!J38/1000+VMU!J38/1000+CJV!J38/1000+CZS!J38/1000+RMU!J38/1000</f>
        <v>0</v>
      </c>
      <c r="U38" s="137">
        <f>SKM!K38/1000+SUKB!K39/1000+UCT!K38/1000+SPSSN!K38/1000+IBA!K38/1000+ÚVT!K38/1000+VMU!K38/1000+CJV!K38/1000+CZS!K38/1000+RMU!K38/1000</f>
        <v>0</v>
      </c>
      <c r="V38" s="195">
        <f>SKM!L38/1000+SUKB!L39/1000+UCT!L38/1000+SPSSN!L38/1000+IBA!L38/1000+ÚVT!L38/1000+VMU!L38/1000+CJV!L38/1000+CZS!L38/1000+RMU!L38/1000</f>
        <v>0</v>
      </c>
      <c r="W38" s="138">
        <f>SKM!M38/1000+SUKB!M39/1000+UCT!M38/1000+SPSSN!M38/1000+IBA!M38/1000+ÚVT!M38/1000+VMU!M38/1000+CJV!M38/1000+CZS!M38/1000+RMU!M38/1000</f>
        <v>0</v>
      </c>
    </row>
    <row r="39" spans="1:23" s="37" customFormat="1" ht="12">
      <c r="A39" s="28"/>
      <c r="B39" s="48" t="s">
        <v>60</v>
      </c>
      <c r="C39" s="48"/>
      <c r="D39" s="48"/>
      <c r="E39" s="331">
        <v>37</v>
      </c>
      <c r="F39" s="326">
        <f>SKM!F39/1000</f>
        <v>0</v>
      </c>
      <c r="G39" s="239">
        <f>SUKB!F40/1000</f>
        <v>0</v>
      </c>
      <c r="H39" s="239">
        <f>UCT!F39/1000</f>
        <v>0</v>
      </c>
      <c r="I39" s="239">
        <f>SPSSN!F39/1000</f>
        <v>0</v>
      </c>
      <c r="J39" s="239">
        <f>IBA!F39/1000</f>
        <v>0</v>
      </c>
      <c r="K39" s="239">
        <f>ÚVT!F39/1000</f>
        <v>0</v>
      </c>
      <c r="L39" s="239">
        <f>VMU!F39/1000</f>
        <v>0</v>
      </c>
      <c r="M39" s="239">
        <f>CJV!F39/1000</f>
        <v>0</v>
      </c>
      <c r="N39" s="239">
        <f>CZS!F39/1000</f>
        <v>0</v>
      </c>
      <c r="O39" s="349">
        <f>RMU!F39/1000</f>
        <v>0</v>
      </c>
      <c r="P39" s="138">
        <f t="shared" si="4"/>
        <v>0</v>
      </c>
      <c r="Q39" s="135"/>
      <c r="R39" s="326">
        <f>SKM!H39/1000+SUKB!H40/1000+UCT!H39/1000+SPSSN!H39/1000+IBA!H39/1000+ÚVT!H39/1000+VMU!H39/1000+CJV!H39/1000+CZS!H39/1000+RMU!H39/1000</f>
        <v>0</v>
      </c>
      <c r="S39" s="137">
        <f>SKM!I39/1000+SUKB!I40/1000+UCT!I39/1000+SPSSN!I39/1000+IBA!I39/1000+ÚVT!I39/1000+VMU!I39/1000+CJV!I39/1000+CZS!I39/1000+RMU!I39/1000</f>
        <v>0</v>
      </c>
      <c r="T39" s="137">
        <f>SKM!J39/1000+SUKB!J40/1000+UCT!J39/1000+SPSSN!J39/1000+IBA!J39/1000+ÚVT!J39/1000+VMU!J39/1000+CJV!J39/1000+CZS!J39/1000+RMU!J39/1000</f>
        <v>0</v>
      </c>
      <c r="U39" s="137">
        <f>SKM!K39/1000+SUKB!K40/1000+UCT!K39/1000+SPSSN!K39/1000+IBA!K39/1000+ÚVT!K39/1000+VMU!K39/1000+CJV!K39/1000+CZS!K39/1000+RMU!K39/1000</f>
        <v>0</v>
      </c>
      <c r="V39" s="195">
        <f>SKM!L39/1000+SUKB!L40/1000+UCT!L39/1000+SPSSN!L39/1000+IBA!L39/1000+ÚVT!L39/1000+VMU!L39/1000+CJV!L39/1000+CZS!L39/1000+RMU!L39/1000</f>
        <v>0</v>
      </c>
      <c r="W39" s="138">
        <f>SKM!M39/1000+SUKB!M40/1000+UCT!M39/1000+SPSSN!M39/1000+IBA!M39/1000+ÚVT!M39/1000+VMU!M39/1000+CJV!M39/1000+CZS!M39/1000+RMU!M39/1000</f>
        <v>1111.137</v>
      </c>
    </row>
    <row r="40" spans="1:23" s="37" customFormat="1" ht="12">
      <c r="A40" s="28"/>
      <c r="B40" s="48" t="s">
        <v>61</v>
      </c>
      <c r="C40" s="48"/>
      <c r="D40" s="48"/>
      <c r="E40" s="331">
        <v>38</v>
      </c>
      <c r="F40" s="326">
        <f>SKM!F40/1000</f>
        <v>0</v>
      </c>
      <c r="G40" s="239">
        <f>SUKB!F41/1000</f>
        <v>0</v>
      </c>
      <c r="H40" s="239">
        <f>UCT!F40/1000</f>
        <v>0</v>
      </c>
      <c r="I40" s="239">
        <f>SPSSN!F40/1000</f>
        <v>0</v>
      </c>
      <c r="J40" s="239">
        <f>IBA!F40/1000</f>
        <v>2500</v>
      </c>
      <c r="K40" s="239">
        <f>ÚVT!F40/1000</f>
        <v>8454</v>
      </c>
      <c r="L40" s="239">
        <f>VMU!F40/1000</f>
        <v>0</v>
      </c>
      <c r="M40" s="239">
        <f>CJV!F40/1000</f>
        <v>0</v>
      </c>
      <c r="N40" s="239">
        <f>CZS!F40/1000</f>
        <v>0</v>
      </c>
      <c r="O40" s="349">
        <f>RMU!F40/1000</f>
        <v>0</v>
      </c>
      <c r="P40" s="138">
        <f t="shared" si="4"/>
        <v>10954</v>
      </c>
      <c r="Q40" s="135"/>
      <c r="R40" s="326">
        <f>SKM!H40/1000+SUKB!H41/1000+UCT!H40/1000+SPSSN!H40/1000+IBA!H40/1000+ÚVT!H40/1000+VMU!H40/1000+CJV!H40/1000+CZS!H40/1000+RMU!H40/1000</f>
        <v>10954</v>
      </c>
      <c r="S40" s="137">
        <f>SKM!I40/1000+SUKB!I41/1000+UCT!I40/1000+SPSSN!I40/1000+IBA!I40/1000+ÚVT!I40/1000+VMU!I40/1000+CJV!I40/1000+CZS!I40/1000+RMU!I40/1000</f>
        <v>0</v>
      </c>
      <c r="T40" s="137">
        <f>SKM!J40/1000+SUKB!J41/1000+UCT!J40/1000+SPSSN!J40/1000+IBA!J40/1000+ÚVT!J40/1000+VMU!J40/1000+CJV!J40/1000+CZS!J40/1000+RMU!J40/1000</f>
        <v>0</v>
      </c>
      <c r="U40" s="137">
        <f>SKM!K40/1000+SUKB!K41/1000+UCT!K40/1000+SPSSN!K40/1000+IBA!K40/1000+ÚVT!K40/1000+VMU!K40/1000+CJV!K40/1000+CZS!K40/1000+RMU!K40/1000</f>
        <v>0</v>
      </c>
      <c r="V40" s="195">
        <f>SKM!L40/1000+SUKB!L41/1000+UCT!L40/1000+SPSSN!L40/1000+IBA!L40/1000+ÚVT!L40/1000+VMU!L40/1000+CJV!L40/1000+CZS!L40/1000+RMU!L40/1000</f>
        <v>0</v>
      </c>
      <c r="W40" s="138">
        <f>SKM!M40/1000+SUKB!M41/1000+UCT!M40/1000+SPSSN!M40/1000+IBA!M40/1000+ÚVT!M40/1000+VMU!M40/1000+CJV!M40/1000+CZS!M40/1000+RMU!M40/1000</f>
        <v>12178.087</v>
      </c>
    </row>
    <row r="41" spans="1:23" s="37" customFormat="1" ht="12">
      <c r="A41" s="28"/>
      <c r="B41" s="48" t="s">
        <v>46</v>
      </c>
      <c r="C41" s="48"/>
      <c r="D41" s="48"/>
      <c r="E41" s="331">
        <v>39</v>
      </c>
      <c r="F41" s="326">
        <f>SKM!F41/1000</f>
        <v>0</v>
      </c>
      <c r="G41" s="239">
        <f>SUKB!F42/1000</f>
        <v>0</v>
      </c>
      <c r="H41" s="239">
        <f>UCT!F41/1000</f>
        <v>0</v>
      </c>
      <c r="I41" s="239">
        <f>SPSSN!F41/1000</f>
        <v>0</v>
      </c>
      <c r="J41" s="239">
        <f>IBA!F41/1000</f>
        <v>0</v>
      </c>
      <c r="K41" s="239">
        <f>ÚVT!F41/1000</f>
        <v>3943.181</v>
      </c>
      <c r="L41" s="239">
        <f>VMU!F41/1000</f>
        <v>0</v>
      </c>
      <c r="M41" s="239">
        <f>CJV!F41/1000</f>
        <v>0</v>
      </c>
      <c r="N41" s="239">
        <f>CZS!F41/1000</f>
        <v>0</v>
      </c>
      <c r="O41" s="349">
        <f>RMU!F41/1000</f>
        <v>0</v>
      </c>
      <c r="P41" s="138">
        <f t="shared" si="4"/>
        <v>3943.181</v>
      </c>
      <c r="Q41" s="135"/>
      <c r="R41" s="326">
        <f>SKM!H41/1000+SUKB!H42/1000+UCT!H41/1000+SPSSN!H41/1000+IBA!H41/1000+ÚVT!H41/1000+VMU!H41/1000+CJV!H41/1000+CZS!H41/1000+RMU!H41/1000</f>
        <v>2000</v>
      </c>
      <c r="S41" s="137">
        <f>SKM!I41/1000+SUKB!I42/1000+UCT!I41/1000+SPSSN!I41/1000+IBA!I41/1000+ÚVT!I41/1000+VMU!I41/1000+CJV!I41/1000+CZS!I41/1000+RMU!I41/1000</f>
        <v>0</v>
      </c>
      <c r="T41" s="137">
        <f>SKM!J41/1000+SUKB!J42/1000+UCT!J41/1000+SPSSN!J41/1000+IBA!J41/1000+ÚVT!J41/1000+VMU!J41/1000+CJV!J41/1000+CZS!J41/1000+RMU!J41/1000</f>
        <v>1943.181</v>
      </c>
      <c r="U41" s="137">
        <f>SKM!K41/1000+SUKB!K42/1000+UCT!K41/1000+SPSSN!K41/1000+IBA!K41/1000+ÚVT!K41/1000+VMU!K41/1000+CJV!K41/1000+CZS!K41/1000+RMU!K41/1000</f>
        <v>0</v>
      </c>
      <c r="V41" s="195">
        <f>SKM!L41/1000+SUKB!L42/1000+UCT!L41/1000+SPSSN!L41/1000+IBA!L41/1000+ÚVT!L41/1000+VMU!L41/1000+CJV!L41/1000+CZS!L41/1000+RMU!L41/1000</f>
        <v>0</v>
      </c>
      <c r="W41" s="138">
        <f>SKM!M41/1000+SUKB!M42/1000+UCT!M41/1000+SPSSN!M41/1000+IBA!M41/1000+ÚVT!M41/1000+VMU!M41/1000+CJV!M41/1000+CZS!M41/1000+RMU!M41/1000</f>
        <v>4094.961</v>
      </c>
    </row>
    <row r="42" spans="1:23" s="37" customFormat="1" ht="12">
      <c r="A42" s="28"/>
      <c r="B42" s="48" t="s">
        <v>62</v>
      </c>
      <c r="C42" s="48"/>
      <c r="D42" s="48"/>
      <c r="E42" s="331">
        <v>40</v>
      </c>
      <c r="F42" s="326">
        <f>SKM!F42/1000</f>
        <v>0</v>
      </c>
      <c r="G42" s="239">
        <f>SUKB!F43/1000</f>
        <v>0</v>
      </c>
      <c r="H42" s="239">
        <f>UCT!F42/1000</f>
        <v>0</v>
      </c>
      <c r="I42" s="239">
        <f>SPSSN!F42/1000</f>
        <v>0</v>
      </c>
      <c r="J42" s="239">
        <f>IBA!F42/1000</f>
        <v>0</v>
      </c>
      <c r="K42" s="239">
        <f>ÚVT!F42/1000</f>
        <v>1510</v>
      </c>
      <c r="L42" s="239">
        <f>VMU!F42/1000</f>
        <v>0</v>
      </c>
      <c r="M42" s="239">
        <f>CJV!F42/1000</f>
        <v>0</v>
      </c>
      <c r="N42" s="239">
        <f>CZS!F42/1000</f>
        <v>0</v>
      </c>
      <c r="O42" s="349">
        <f>RMU!F42/1000</f>
        <v>0</v>
      </c>
      <c r="P42" s="138">
        <f t="shared" si="4"/>
        <v>1510</v>
      </c>
      <c r="Q42" s="135"/>
      <c r="R42" s="326">
        <f>SKM!H42/1000+SUKB!H43/1000+UCT!H42/1000+SPSSN!H42/1000+IBA!H42/1000+ÚVT!H42/1000+VMU!H42/1000+CJV!H42/1000+CZS!H42/1000+RMU!H42/1000</f>
        <v>1510</v>
      </c>
      <c r="S42" s="137">
        <f>SKM!I42/1000+SUKB!I43/1000+UCT!I42/1000+SPSSN!I42/1000+IBA!I42/1000+ÚVT!I42/1000+VMU!I42/1000+CJV!I42/1000+CZS!I42/1000+RMU!I42/1000</f>
        <v>0</v>
      </c>
      <c r="T42" s="137">
        <f>SKM!J42/1000+SUKB!J43/1000+UCT!J42/1000+SPSSN!J42/1000+IBA!J42/1000+ÚVT!J42/1000+VMU!J42/1000+CJV!J42/1000+CZS!J42/1000+RMU!J42/1000</f>
        <v>0</v>
      </c>
      <c r="U42" s="137">
        <f>SKM!K42/1000+SUKB!K43/1000+UCT!K42/1000+SPSSN!K42/1000+IBA!K42/1000+ÚVT!K42/1000+VMU!K42/1000+CJV!K42/1000+CZS!K42/1000+RMU!K42/1000</f>
        <v>0</v>
      </c>
      <c r="V42" s="195">
        <f>SKM!L42/1000+SUKB!L43/1000+UCT!L42/1000+SPSSN!L42/1000+IBA!L42/1000+ÚVT!L42/1000+VMU!L42/1000+CJV!L42/1000+CZS!L42/1000+RMU!L42/1000</f>
        <v>0</v>
      </c>
      <c r="W42" s="138">
        <f>SKM!M42/1000+SUKB!M43/1000+UCT!M42/1000+SPSSN!M42/1000+IBA!M42/1000+ÚVT!M42/1000+VMU!M42/1000+CJV!M42/1000+CZS!M42/1000+RMU!M42/1000</f>
        <v>0</v>
      </c>
    </row>
    <row r="43" spans="1:23" s="37" customFormat="1" ht="12">
      <c r="A43" s="28"/>
      <c r="B43" s="48" t="s">
        <v>63</v>
      </c>
      <c r="C43" s="48"/>
      <c r="D43" s="48"/>
      <c r="E43" s="331">
        <v>41</v>
      </c>
      <c r="F43" s="326">
        <f>SKM!F43/1000</f>
        <v>112891</v>
      </c>
      <c r="G43" s="239">
        <f>SUKB!F44/1000</f>
        <v>30062</v>
      </c>
      <c r="H43" s="239">
        <f>UCT!F43/1000</f>
        <v>953</v>
      </c>
      <c r="I43" s="239">
        <f>SPSSN!F43/1000</f>
        <v>515</v>
      </c>
      <c r="J43" s="239">
        <f>IBA!F43/1000</f>
        <v>6000</v>
      </c>
      <c r="K43" s="239">
        <f>ÚVT!F43/1000</f>
        <v>17493</v>
      </c>
      <c r="L43" s="239">
        <f>VMU!F43/1000</f>
        <v>2561</v>
      </c>
      <c r="M43" s="239">
        <f>CJV!F43/1000</f>
        <v>351</v>
      </c>
      <c r="N43" s="239">
        <f>CZS!F43/1000</f>
        <v>5910</v>
      </c>
      <c r="O43" s="349">
        <f>RMU!F43/1000</f>
        <v>27008</v>
      </c>
      <c r="P43" s="138">
        <f t="shared" si="4"/>
        <v>203744</v>
      </c>
      <c r="Q43" s="135"/>
      <c r="R43" s="326">
        <f>SKM!H43/1000+SUKB!H44/1000+UCT!H43/1000+SPSSN!H43/1000+IBA!H43/1000+ÚVT!H43/1000+VMU!H43/1000+CJV!H43/1000+CZS!H43/1000+RMU!H43/1000</f>
        <v>203716.54</v>
      </c>
      <c r="S43" s="137">
        <f>SKM!I43/1000+SUKB!I44/1000+UCT!I43/1000+SPSSN!I43/1000+IBA!I43/1000+ÚVT!I43/1000+VMU!I43/1000+CJV!I43/1000+CZS!I43/1000+RMU!I43/1000</f>
        <v>0</v>
      </c>
      <c r="T43" s="137">
        <f>SKM!J43/1000+SUKB!J44/1000+UCT!J43/1000+SPSSN!J43/1000+IBA!J43/1000+ÚVT!J43/1000+VMU!J43/1000+CJV!J43/1000+CZS!J43/1000+RMU!J43/1000</f>
        <v>27.46</v>
      </c>
      <c r="U43" s="137">
        <f>SKM!K43/1000+SUKB!K44/1000+UCT!K43/1000+SPSSN!K43/1000+IBA!K43/1000+ÚVT!K43/1000+VMU!K43/1000+CJV!K43/1000+CZS!K43/1000+RMU!K43/1000</f>
        <v>0</v>
      </c>
      <c r="V43" s="195">
        <f>SKM!L43/1000+SUKB!L44/1000+UCT!L43/1000+SPSSN!L43/1000+IBA!L43/1000+ÚVT!L43/1000+VMU!L43/1000+CJV!L43/1000+CZS!L43/1000+RMU!L43/1000</f>
        <v>0</v>
      </c>
      <c r="W43" s="138">
        <f>SKM!M43/1000+SUKB!M44/1000+UCT!M43/1000+SPSSN!M43/1000+IBA!M43/1000+ÚVT!M43/1000+VMU!M43/1000+CJV!M43/1000+CZS!M43/1000+RMU!M43/1000</f>
        <v>182404.48363000003</v>
      </c>
    </row>
    <row r="44" spans="1:23" s="37" customFormat="1" ht="12">
      <c r="A44" s="28"/>
      <c r="B44" s="48" t="s">
        <v>64</v>
      </c>
      <c r="C44" s="48"/>
      <c r="D44" s="48"/>
      <c r="E44" s="331">
        <v>42</v>
      </c>
      <c r="F44" s="326">
        <f>SKM!F44/1000</f>
        <v>0</v>
      </c>
      <c r="G44" s="239">
        <f>SUKB!F45/1000</f>
        <v>0</v>
      </c>
      <c r="H44" s="239">
        <f>UCT!F44/1000</f>
        <v>154</v>
      </c>
      <c r="I44" s="239">
        <f>SPSSN!F44/1000</f>
        <v>0</v>
      </c>
      <c r="J44" s="239">
        <f>IBA!F44/1000</f>
        <v>8960</v>
      </c>
      <c r="K44" s="239">
        <f>ÚVT!F44/1000</f>
        <v>0</v>
      </c>
      <c r="L44" s="239">
        <f>VMU!F44/1000</f>
        <v>0</v>
      </c>
      <c r="M44" s="239">
        <f>CJV!F44/1000</f>
        <v>0</v>
      </c>
      <c r="N44" s="239">
        <f>CZS!F44/1000</f>
        <v>0</v>
      </c>
      <c r="O44" s="349">
        <f>RMU!F44/1000</f>
        <v>66773.091</v>
      </c>
      <c r="P44" s="138">
        <f t="shared" si="4"/>
        <v>75887.091</v>
      </c>
      <c r="Q44" s="135"/>
      <c r="R44" s="326"/>
      <c r="S44" s="137">
        <f>SKM!I44/1000+SUKB!I45/1000+UCT!I44/1000+SPSSN!I44/1000+IBA!I44/1000+ÚVT!I44/1000+VMU!I44/1000+CJV!I44/1000+CZS!I44/1000+RMU!I44/1000</f>
        <v>61397.091</v>
      </c>
      <c r="T44" s="137">
        <f>SKM!J44/1000+SUKB!J45/1000+UCT!J44/1000+SPSSN!J44/1000+IBA!J44/1000+ÚVT!J44/1000+VMU!J44/1000+CJV!J44/1000+CZS!J44/1000+RMU!J44/1000</f>
        <v>8960</v>
      </c>
      <c r="U44" s="137">
        <f>SKM!K44/1000+SUKB!K45/1000+UCT!K44/1000+SPSSN!K44/1000+IBA!K44/1000+ÚVT!K44/1000+VMU!K44/1000+CJV!K44/1000+CZS!K44/1000+RMU!K44/1000</f>
        <v>5530</v>
      </c>
      <c r="V44" s="195">
        <f>SKM!L44/1000+SUKB!L45/1000+UCT!L44/1000+SPSSN!L44/1000+IBA!L44/1000+ÚVT!L44/1000+VMU!L44/1000+CJV!L44/1000+CZS!L44/1000+RMU!L44/1000</f>
        <v>0</v>
      </c>
      <c r="W44" s="138">
        <f>SKM!M44/1000+SUKB!M45/1000+UCT!M44/1000+SPSSN!M44/1000+IBA!M44/1000+ÚVT!M44/1000+VMU!M44/1000+CJV!M44/1000+CZS!M44/1000+RMU!M44/1000</f>
        <v>47414.607</v>
      </c>
    </row>
    <row r="45" spans="1:23" s="37" customFormat="1" ht="12">
      <c r="A45" s="65"/>
      <c r="B45" s="66" t="s">
        <v>50</v>
      </c>
      <c r="C45" s="66"/>
      <c r="D45" s="66"/>
      <c r="E45" s="332">
        <v>43</v>
      </c>
      <c r="F45" s="328">
        <f>SKM!F45/1000</f>
        <v>41002</v>
      </c>
      <c r="G45" s="358">
        <f>SUKB!F46/1000</f>
        <v>0</v>
      </c>
      <c r="H45" s="358">
        <f>UCT!F45/1000</f>
        <v>0</v>
      </c>
      <c r="I45" s="358">
        <f>SPSSN!F45/1000</f>
        <v>0</v>
      </c>
      <c r="J45" s="358">
        <f>IBA!F45/1000</f>
        <v>6000</v>
      </c>
      <c r="K45" s="358">
        <f>ÚVT!F45/1000</f>
        <v>10000</v>
      </c>
      <c r="L45" s="358">
        <f>VMU!F45/1000</f>
        <v>0</v>
      </c>
      <c r="M45" s="358">
        <f>CJV!F45/1000</f>
        <v>0</v>
      </c>
      <c r="N45" s="358">
        <f>CZS!F45/1000</f>
        <v>0</v>
      </c>
      <c r="O45" s="329">
        <f>RMU!F45/1000</f>
        <v>1434.5</v>
      </c>
      <c r="P45" s="144">
        <f t="shared" si="4"/>
        <v>58436.5</v>
      </c>
      <c r="Q45" s="141"/>
      <c r="R45" s="328">
        <f>SKM!H45/1000+SUKB!H46/1000+UCT!H45/1000+SPSSN!H45/1000+IBA!H45/1000+ÚVT!H45/1000+VMU!H45/1000+CJV!H45/1000+CZS!H45/1000+RMU!H45/1000</f>
        <v>58436.5</v>
      </c>
      <c r="S45" s="143">
        <f>SKM!I45/1000+SUKB!I46/1000+UCT!I45/1000+SPSSN!I45/1000+IBA!I45/1000+ÚVT!I45/1000+VMU!I45/1000+CJV!I45/1000+CZS!I45/1000+RMU!I45/1000</f>
        <v>0</v>
      </c>
      <c r="T45" s="143">
        <f>SKM!J45/1000+SUKB!J46/1000+UCT!J45/1000+SPSSN!J45/1000+IBA!J45/1000+ÚVT!J45/1000+VMU!J45/1000+CJV!J45/1000+CZS!J45/1000+RMU!J45/1000</f>
        <v>0</v>
      </c>
      <c r="U45" s="143">
        <f>SKM!K45/1000+SUKB!K46/1000+UCT!K45/1000+SPSSN!K45/1000+IBA!K45/1000+ÚVT!K45/1000+VMU!K45/1000+CJV!K45/1000+CZS!K45/1000+RMU!K45/1000</f>
        <v>0</v>
      </c>
      <c r="V45" s="337">
        <f>SKM!L45/1000+SUKB!L46/1000+UCT!L45/1000+SPSSN!L45/1000+IBA!L45/1000+ÚVT!L45/1000+VMU!L45/1000+CJV!L45/1000+CZS!L45/1000+RMU!L45/1000</f>
        <v>0</v>
      </c>
      <c r="W45" s="144">
        <f>SKM!M45/1000+SUKB!M46/1000+UCT!M45/1000+SPSSN!M45/1000+IBA!M45/1000+ÚVT!M45/1000+VMU!M45/1000+CJV!M45/1000+CZS!M45/1000+RMU!M45/1000</f>
        <v>64474.73200000001</v>
      </c>
    </row>
    <row r="46" spans="1:23" s="37" customFormat="1" ht="12.75" thickBot="1">
      <c r="A46" s="73" t="s">
        <v>66</v>
      </c>
      <c r="B46" s="74"/>
      <c r="C46" s="74"/>
      <c r="D46" s="74"/>
      <c r="E46" s="330">
        <v>44</v>
      </c>
      <c r="F46" s="343">
        <f aca="true" t="shared" si="6" ref="F46:P46">F29+F34+F38+F43+F44+F45-F4-F27</f>
        <v>3041</v>
      </c>
      <c r="G46" s="359">
        <f t="shared" si="6"/>
        <v>0</v>
      </c>
      <c r="H46" s="359">
        <f t="shared" si="6"/>
        <v>250</v>
      </c>
      <c r="I46" s="359">
        <f t="shared" si="6"/>
        <v>150</v>
      </c>
      <c r="J46" s="359">
        <f t="shared" si="6"/>
        <v>6300</v>
      </c>
      <c r="K46" s="359">
        <f t="shared" si="6"/>
        <v>769</v>
      </c>
      <c r="L46" s="359">
        <f t="shared" si="6"/>
        <v>-200</v>
      </c>
      <c r="M46" s="359">
        <f t="shared" si="6"/>
        <v>40</v>
      </c>
      <c r="N46" s="359">
        <f t="shared" si="6"/>
        <v>865.0000000000018</v>
      </c>
      <c r="O46" s="351">
        <f t="shared" si="6"/>
        <v>9104.400000000047</v>
      </c>
      <c r="P46" s="147">
        <f t="shared" si="6"/>
        <v>20319.400000000045</v>
      </c>
      <c r="Q46" s="146">
        <f>Q29+Q34+Q38+Q43+Q44+Q45+-Q4-Q27</f>
        <v>0</v>
      </c>
      <c r="R46" s="146">
        <f>R29+R34+R38+R43+R45-R4-R27</f>
        <v>20319.400000000045</v>
      </c>
      <c r="S46" s="146">
        <f>S29+S34+S38+S43+S44+S45-S4-S27</f>
        <v>0</v>
      </c>
      <c r="T46" s="146">
        <f>T29+T34+T38+T43+T44+T45-T4-T27</f>
        <v>0</v>
      </c>
      <c r="U46" s="146">
        <f>U29+U34+U38+U43+U44+U45-U4-U27</f>
        <v>0</v>
      </c>
      <c r="V46" s="146">
        <f>V29+V34+V38+V43+V44+V45-V4-V27</f>
        <v>0</v>
      </c>
      <c r="W46" s="147">
        <f>W29+W34+W38+W43+W44+W45-W4-W27</f>
        <v>25354.566020000093</v>
      </c>
    </row>
    <row r="47" spans="1:23" ht="13.5" thickBot="1">
      <c r="A47" s="54" t="s">
        <v>67</v>
      </c>
      <c r="B47" s="55"/>
      <c r="C47" s="55"/>
      <c r="D47" s="55"/>
      <c r="E47" s="333">
        <v>45</v>
      </c>
      <c r="F47" s="340">
        <f aca="true" t="shared" si="7" ref="F47:P47">F28-F3</f>
        <v>3041</v>
      </c>
      <c r="G47" s="354">
        <f t="shared" si="7"/>
        <v>0</v>
      </c>
      <c r="H47" s="354">
        <f t="shared" si="7"/>
        <v>250</v>
      </c>
      <c r="I47" s="354">
        <f t="shared" si="7"/>
        <v>150</v>
      </c>
      <c r="J47" s="354">
        <f t="shared" si="7"/>
        <v>300</v>
      </c>
      <c r="K47" s="354">
        <f t="shared" si="7"/>
        <v>769</v>
      </c>
      <c r="L47" s="354">
        <f t="shared" si="7"/>
        <v>-200</v>
      </c>
      <c r="M47" s="354">
        <f t="shared" si="7"/>
        <v>40</v>
      </c>
      <c r="N47" s="354">
        <f t="shared" si="7"/>
        <v>865</v>
      </c>
      <c r="O47" s="346">
        <f t="shared" si="7"/>
        <v>9104.400000000023</v>
      </c>
      <c r="P47" s="161">
        <f t="shared" si="7"/>
        <v>14319.400000000023</v>
      </c>
      <c r="Q47" s="114">
        <f aca="true" t="shared" si="8" ref="Q47:W47">Q28-Q3</f>
        <v>0</v>
      </c>
      <c r="R47" s="115">
        <f t="shared" si="8"/>
        <v>14319.400000000023</v>
      </c>
      <c r="S47" s="116">
        <f t="shared" si="8"/>
        <v>0</v>
      </c>
      <c r="T47" s="116">
        <f t="shared" si="8"/>
        <v>0</v>
      </c>
      <c r="U47" s="116">
        <f t="shared" si="8"/>
        <v>0</v>
      </c>
      <c r="V47" s="115">
        <f t="shared" si="8"/>
        <v>0</v>
      </c>
      <c r="W47" s="117">
        <f t="shared" si="8"/>
        <v>25354.565020000096</v>
      </c>
    </row>
    <row r="48" spans="1:5" ht="9" customHeight="1">
      <c r="A48" s="80"/>
      <c r="B48" s="80"/>
      <c r="C48" s="80"/>
      <c r="D48" s="80"/>
      <c r="E48" s="81"/>
    </row>
    <row r="49" spans="1:23" s="80" customFormat="1" ht="11.25">
      <c r="A49" s="84" t="s">
        <v>100</v>
      </c>
      <c r="E49" s="81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412">
        <f>ostatni!J50/1000</f>
        <v>0</v>
      </c>
      <c r="Q49" s="92"/>
      <c r="S49" s="92"/>
      <c r="U49" s="92"/>
      <c r="V49" s="409"/>
      <c r="W49" s="409"/>
    </row>
    <row r="50" spans="5:23" s="80" customFormat="1" ht="11.25">
      <c r="E50" s="81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R50" s="92"/>
      <c r="S50" s="92"/>
      <c r="T50" s="92"/>
      <c r="U50" s="92"/>
      <c r="V50" s="92"/>
      <c r="W50" s="92"/>
    </row>
    <row r="51" spans="1:23" s="80" customFormat="1" ht="11.25" hidden="1">
      <c r="A51" s="84" t="s">
        <v>70</v>
      </c>
      <c r="E51" s="81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R51" s="92"/>
      <c r="S51" s="92"/>
      <c r="T51" s="92"/>
      <c r="U51" s="92"/>
      <c r="V51" s="92"/>
      <c r="W51" s="92"/>
    </row>
    <row r="52" spans="1:23" s="80" customFormat="1" ht="11.25" hidden="1">
      <c r="A52" s="84" t="s">
        <v>71</v>
      </c>
      <c r="E52" s="81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R52" s="92"/>
      <c r="S52" s="92"/>
      <c r="T52" s="92"/>
      <c r="U52" s="92"/>
      <c r="V52" s="92"/>
      <c r="W52" s="92"/>
    </row>
    <row r="53" spans="1:23" s="84" customFormat="1" ht="11.25" hidden="1">
      <c r="A53" s="84" t="s">
        <v>73</v>
      </c>
      <c r="E53" s="86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R53" s="108"/>
      <c r="S53" s="108"/>
      <c r="T53" s="108"/>
      <c r="U53" s="108"/>
      <c r="V53" s="108"/>
      <c r="W53" s="108"/>
    </row>
    <row r="54" spans="1:23" s="84" customFormat="1" ht="11.25" hidden="1">
      <c r="A54" s="84" t="s">
        <v>74</v>
      </c>
      <c r="E54" s="86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R54" s="108"/>
      <c r="S54" s="108"/>
      <c r="T54" s="108"/>
      <c r="U54" s="108"/>
      <c r="V54" s="108"/>
      <c r="W54" s="108"/>
    </row>
    <row r="55" spans="1:23" s="84" customFormat="1" ht="11.25" hidden="1">
      <c r="A55" s="84" t="s">
        <v>75</v>
      </c>
      <c r="E55" s="86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R55" s="108"/>
      <c r="S55" s="108"/>
      <c r="T55" s="108"/>
      <c r="U55" s="108"/>
      <c r="V55" s="108"/>
      <c r="W55" s="108"/>
    </row>
    <row r="56" spans="1:23" s="80" customFormat="1" ht="11.25">
      <c r="A56" s="84"/>
      <c r="B56" s="84"/>
      <c r="C56" s="84"/>
      <c r="D56" s="84"/>
      <c r="E56" s="81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R56" s="92"/>
      <c r="S56" s="92"/>
      <c r="T56" s="92"/>
      <c r="U56" s="92"/>
      <c r="V56" s="92"/>
      <c r="W56" s="92"/>
    </row>
    <row r="57" spans="1:5" s="92" customFormat="1" ht="11.25">
      <c r="A57" s="84"/>
      <c r="B57" s="84"/>
      <c r="C57" s="84"/>
      <c r="D57" s="84"/>
      <c r="E57" s="90"/>
    </row>
    <row r="58" spans="1:5" s="92" customFormat="1" ht="11.25">
      <c r="A58" s="84"/>
      <c r="B58" s="84"/>
      <c r="C58" s="84"/>
      <c r="D58" s="84"/>
      <c r="E58" s="90"/>
    </row>
    <row r="59" spans="1:5" s="92" customFormat="1" ht="11.25">
      <c r="A59" s="84"/>
      <c r="B59" s="84"/>
      <c r="C59" s="84"/>
      <c r="D59" s="84"/>
      <c r="E59" s="90"/>
    </row>
  </sheetData>
  <mergeCells count="3">
    <mergeCell ref="A1:D1"/>
    <mergeCell ref="S1:V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7" sqref="A7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125" style="37" customWidth="1"/>
    <col min="7" max="7" width="5.125" style="0" hidden="1" customWidth="1"/>
    <col min="8" max="8" width="10.875" style="92" customWidth="1"/>
    <col min="9" max="9" width="9.625" style="92" customWidth="1"/>
    <col min="10" max="11" width="8.00390625" style="92" customWidth="1"/>
    <col min="12" max="12" width="8.125" style="92" customWidth="1"/>
    <col min="13" max="13" width="10.0039062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80</v>
      </c>
      <c r="D2" s="432"/>
      <c r="E2" s="10" t="s">
        <v>6</v>
      </c>
      <c r="F2" s="16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>SUM(F5:F27)</f>
        <v>503763000</v>
      </c>
      <c r="G3" s="114">
        <f aca="true" t="shared" si="0" ref="G3:M3">SUM(G5:G27)</f>
        <v>0</v>
      </c>
      <c r="H3" s="115">
        <f t="shared" si="0"/>
        <v>482772000</v>
      </c>
      <c r="I3" s="116">
        <f t="shared" si="0"/>
        <v>14832000</v>
      </c>
      <c r="J3" s="116">
        <f t="shared" si="0"/>
        <v>659000</v>
      </c>
      <c r="K3" s="116">
        <f t="shared" si="0"/>
        <v>4000000</v>
      </c>
      <c r="L3" s="115">
        <f t="shared" si="0"/>
        <v>1500000</v>
      </c>
      <c r="M3" s="117">
        <f t="shared" si="0"/>
        <v>443868039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>SUM(F5:F15)</f>
        <v>360603000</v>
      </c>
      <c r="G4" s="119">
        <f aca="true" t="shared" si="1" ref="G4:M4">SUM(G5:G15)</f>
        <v>0</v>
      </c>
      <c r="H4" s="120">
        <f t="shared" si="1"/>
        <v>340271000</v>
      </c>
      <c r="I4" s="121">
        <f t="shared" si="1"/>
        <v>14832000</v>
      </c>
      <c r="J4" s="121">
        <f t="shared" si="1"/>
        <v>0</v>
      </c>
      <c r="K4" s="121">
        <f t="shared" si="1"/>
        <v>4000000</v>
      </c>
      <c r="L4" s="120">
        <f t="shared" si="1"/>
        <v>1500000</v>
      </c>
      <c r="M4" s="122">
        <f t="shared" si="1"/>
        <v>304491544</v>
      </c>
    </row>
    <row r="5" spans="1:13" s="37" customFormat="1" ht="12">
      <c r="A5" s="28"/>
      <c r="B5" s="38"/>
      <c r="C5" s="38" t="s">
        <v>17</v>
      </c>
      <c r="D5" s="39" t="s">
        <v>18</v>
      </c>
      <c r="E5" s="40">
        <v>3</v>
      </c>
      <c r="F5" s="163">
        <f>SUM(H5:L5)</f>
        <v>173000000</v>
      </c>
      <c r="G5" s="124"/>
      <c r="H5" s="125">
        <v>159253000</v>
      </c>
      <c r="I5" s="125">
        <v>10827000</v>
      </c>
      <c r="J5" s="126"/>
      <c r="K5" s="126">
        <v>2920000</v>
      </c>
      <c r="L5" s="127"/>
      <c r="M5" s="128">
        <v>149038222</v>
      </c>
    </row>
    <row r="6" spans="1:13" s="37" customFormat="1" ht="12">
      <c r="A6" s="28"/>
      <c r="B6" s="38"/>
      <c r="C6" s="38"/>
      <c r="D6" s="39" t="s">
        <v>19</v>
      </c>
      <c r="E6" s="40">
        <v>4</v>
      </c>
      <c r="F6" s="163">
        <f aca="true" t="shared" si="2" ref="F6:F45">SUM(H6:L6)</f>
        <v>5000000</v>
      </c>
      <c r="G6" s="124"/>
      <c r="H6" s="125">
        <v>5000000</v>
      </c>
      <c r="I6" s="125"/>
      <c r="J6" s="126"/>
      <c r="K6" s="126"/>
      <c r="L6" s="127"/>
      <c r="M6" s="128">
        <v>3518824</v>
      </c>
    </row>
    <row r="7" spans="1:13" s="37" customFormat="1" ht="12">
      <c r="A7" s="28"/>
      <c r="B7" s="38"/>
      <c r="C7" s="38"/>
      <c r="D7" s="39" t="s">
        <v>20</v>
      </c>
      <c r="E7" s="40">
        <v>5</v>
      </c>
      <c r="F7" s="163">
        <f t="shared" si="2"/>
        <v>64010000</v>
      </c>
      <c r="G7" s="124"/>
      <c r="H7" s="125">
        <v>58925000</v>
      </c>
      <c r="I7" s="125">
        <v>4005000</v>
      </c>
      <c r="J7" s="126"/>
      <c r="K7" s="126">
        <v>1080000</v>
      </c>
      <c r="L7" s="127"/>
      <c r="M7" s="128">
        <v>52496432</v>
      </c>
    </row>
    <row r="8" spans="1:13" s="37" customFormat="1" ht="12">
      <c r="A8" s="28"/>
      <c r="B8" s="38"/>
      <c r="C8" s="38"/>
      <c r="D8" s="39" t="s">
        <v>21</v>
      </c>
      <c r="E8" s="40">
        <v>6</v>
      </c>
      <c r="F8" s="163">
        <f t="shared" si="2"/>
        <v>17000000</v>
      </c>
      <c r="G8" s="124"/>
      <c r="H8" s="125">
        <v>17000000</v>
      </c>
      <c r="I8" s="125"/>
      <c r="J8" s="126"/>
      <c r="K8" s="126"/>
      <c r="L8" s="127"/>
      <c r="M8" s="128">
        <v>8234841</v>
      </c>
    </row>
    <row r="9" spans="1:13" s="37" customFormat="1" ht="12">
      <c r="A9" s="28"/>
      <c r="B9" s="38"/>
      <c r="C9" s="38"/>
      <c r="D9" s="39" t="s">
        <v>22</v>
      </c>
      <c r="E9" s="40">
        <v>7</v>
      </c>
      <c r="F9" s="163">
        <f t="shared" si="2"/>
        <v>5000000</v>
      </c>
      <c r="G9" s="124"/>
      <c r="H9" s="125">
        <v>5000000</v>
      </c>
      <c r="I9" s="125"/>
      <c r="J9" s="126"/>
      <c r="K9" s="126"/>
      <c r="L9" s="127"/>
      <c r="M9" s="128">
        <v>3283502</v>
      </c>
    </row>
    <row r="10" spans="1:13" s="37" customFormat="1" ht="12">
      <c r="A10" s="28"/>
      <c r="B10" s="38"/>
      <c r="C10" s="38"/>
      <c r="D10" s="39" t="s">
        <v>23</v>
      </c>
      <c r="E10" s="40">
        <v>8</v>
      </c>
      <c r="F10" s="163">
        <f t="shared" si="2"/>
        <v>28553000</v>
      </c>
      <c r="G10" s="124"/>
      <c r="H10" s="125">
        <v>28553000</v>
      </c>
      <c r="I10" s="125"/>
      <c r="J10" s="126"/>
      <c r="K10" s="126"/>
      <c r="L10" s="127"/>
      <c r="M10" s="128">
        <v>15011766</v>
      </c>
    </row>
    <row r="11" spans="1:13" s="37" customFormat="1" ht="12">
      <c r="A11" s="28"/>
      <c r="B11" s="38"/>
      <c r="C11" s="38"/>
      <c r="D11" s="39" t="s">
        <v>24</v>
      </c>
      <c r="E11" s="40">
        <v>9</v>
      </c>
      <c r="F11" s="163">
        <f t="shared" si="2"/>
        <v>19000000</v>
      </c>
      <c r="G11" s="124"/>
      <c r="H11" s="125">
        <v>19000000</v>
      </c>
      <c r="I11" s="125"/>
      <c r="J11" s="126"/>
      <c r="K11" s="126"/>
      <c r="L11" s="127"/>
      <c r="M11" s="128">
        <v>13399730</v>
      </c>
    </row>
    <row r="12" spans="1:13" s="37" customFormat="1" ht="12">
      <c r="A12" s="28"/>
      <c r="B12" s="38"/>
      <c r="C12" s="38"/>
      <c r="D12" s="39" t="s">
        <v>25</v>
      </c>
      <c r="E12" s="40">
        <v>10</v>
      </c>
      <c r="F12" s="163">
        <f t="shared" si="2"/>
        <v>1500000</v>
      </c>
      <c r="G12" s="124"/>
      <c r="H12" s="125">
        <v>1500000</v>
      </c>
      <c r="I12" s="125"/>
      <c r="J12" s="126"/>
      <c r="K12" s="126"/>
      <c r="L12" s="127"/>
      <c r="M12" s="128">
        <v>880594</v>
      </c>
    </row>
    <row r="13" spans="1:13" s="37" customFormat="1" ht="12">
      <c r="A13" s="28"/>
      <c r="B13" s="38"/>
      <c r="C13" s="38"/>
      <c r="D13" s="39" t="s">
        <v>26</v>
      </c>
      <c r="E13" s="40">
        <v>11</v>
      </c>
      <c r="F13" s="163">
        <f t="shared" si="2"/>
        <v>31540000</v>
      </c>
      <c r="G13" s="124"/>
      <c r="H13" s="125">
        <v>31540000</v>
      </c>
      <c r="I13" s="125"/>
      <c r="J13" s="126"/>
      <c r="K13" s="126"/>
      <c r="L13" s="127"/>
      <c r="M13" s="128">
        <v>31532045</v>
      </c>
    </row>
    <row r="14" spans="1:13" s="37" customFormat="1" ht="12">
      <c r="A14" s="28"/>
      <c r="B14" s="38"/>
      <c r="C14" s="38"/>
      <c r="D14" s="39" t="s">
        <v>27</v>
      </c>
      <c r="E14" s="40">
        <v>12</v>
      </c>
      <c r="F14" s="163">
        <f t="shared" si="2"/>
        <v>2000000</v>
      </c>
      <c r="G14" s="124"/>
      <c r="H14" s="125">
        <v>500000</v>
      </c>
      <c r="I14" s="125"/>
      <c r="J14" s="126"/>
      <c r="K14" s="126"/>
      <c r="L14" s="127">
        <v>1500000</v>
      </c>
      <c r="M14" s="128">
        <v>811572</v>
      </c>
    </row>
    <row r="15" spans="1:13" s="37" customFormat="1" ht="12">
      <c r="A15" s="28"/>
      <c r="B15" s="38"/>
      <c r="C15" s="39"/>
      <c r="D15" s="39" t="s">
        <v>28</v>
      </c>
      <c r="E15" s="40">
        <v>13</v>
      </c>
      <c r="F15" s="163">
        <f t="shared" si="2"/>
        <v>14000000</v>
      </c>
      <c r="G15" s="124"/>
      <c r="H15" s="125">
        <v>14000000</v>
      </c>
      <c r="I15" s="125"/>
      <c r="J15" s="126"/>
      <c r="K15" s="126"/>
      <c r="L15" s="127"/>
      <c r="M15" s="128">
        <v>26284016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17745000</v>
      </c>
      <c r="G16" s="130"/>
      <c r="H16" s="131">
        <v>17745000</v>
      </c>
      <c r="I16" s="131"/>
      <c r="J16" s="132"/>
      <c r="K16" s="132"/>
      <c r="L16" s="133"/>
      <c r="M16" s="134">
        <v>16731000</v>
      </c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0</v>
      </c>
      <c r="G17" s="130"/>
      <c r="H17" s="131"/>
      <c r="I17" s="131"/>
      <c r="J17" s="132"/>
      <c r="K17" s="132"/>
      <c r="L17" s="133"/>
      <c r="M17" s="134">
        <v>1108000</v>
      </c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0</v>
      </c>
      <c r="G18" s="130"/>
      <c r="H18" s="131"/>
      <c r="I18" s="131"/>
      <c r="J18" s="132"/>
      <c r="K18" s="132"/>
      <c r="L18" s="133"/>
      <c r="M18" s="134">
        <v>11411849</v>
      </c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748000</v>
      </c>
      <c r="G19" s="130"/>
      <c r="H19" s="131">
        <v>748000</v>
      </c>
      <c r="I19" s="131"/>
      <c r="J19" s="132"/>
      <c r="K19" s="132"/>
      <c r="L19" s="133"/>
      <c r="M19" s="134">
        <v>461000</v>
      </c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>
        <v>128000</v>
      </c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2"/>
        <v>0</v>
      </c>
      <c r="G22" s="130"/>
      <c r="H22" s="133"/>
      <c r="I22" s="132"/>
      <c r="J22" s="132"/>
      <c r="K22" s="132"/>
      <c r="L22" s="133"/>
      <c r="M22" s="134">
        <v>30000</v>
      </c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2"/>
        <v>54945000</v>
      </c>
      <c r="G23" s="130"/>
      <c r="H23" s="133">
        <v>54780000</v>
      </c>
      <c r="I23" s="132"/>
      <c r="J23" s="132">
        <v>165000</v>
      </c>
      <c r="K23" s="132"/>
      <c r="L23" s="133"/>
      <c r="M23" s="134">
        <v>30504290</v>
      </c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2"/>
        <v>60440000</v>
      </c>
      <c r="G24" s="130"/>
      <c r="H24" s="133">
        <v>59946000</v>
      </c>
      <c r="I24" s="132"/>
      <c r="J24" s="132">
        <v>494000</v>
      </c>
      <c r="K24" s="132"/>
      <c r="L24" s="133"/>
      <c r="M24" s="134">
        <v>67018021</v>
      </c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2"/>
        <v>816000</v>
      </c>
      <c r="G25" s="130"/>
      <c r="H25" s="133">
        <v>816000</v>
      </c>
      <c r="I25" s="132"/>
      <c r="J25" s="132"/>
      <c r="K25" s="132"/>
      <c r="L25" s="133"/>
      <c r="M25" s="134">
        <v>1027000</v>
      </c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2"/>
        <v>6466000</v>
      </c>
      <c r="G26" s="130"/>
      <c r="H26" s="133">
        <v>6466000</v>
      </c>
      <c r="I26" s="132"/>
      <c r="J26" s="132"/>
      <c r="K26" s="132"/>
      <c r="L26" s="133"/>
      <c r="M26" s="134">
        <v>8460019</v>
      </c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2000000</v>
      </c>
      <c r="G27" s="130"/>
      <c r="H27" s="133">
        <v>2000000</v>
      </c>
      <c r="I27" s="132"/>
      <c r="J27" s="132"/>
      <c r="K27" s="132"/>
      <c r="L27" s="133"/>
      <c r="M27" s="134">
        <v>2497316</v>
      </c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>SUM(F29:F45)</f>
        <v>506133000</v>
      </c>
      <c r="G28" s="114">
        <f aca="true" t="shared" si="3" ref="G28:M28">SUM(G29:G45)</f>
        <v>0</v>
      </c>
      <c r="H28" s="115">
        <f t="shared" si="3"/>
        <v>485142000</v>
      </c>
      <c r="I28" s="116">
        <f t="shared" si="3"/>
        <v>14832000</v>
      </c>
      <c r="J28" s="116">
        <f t="shared" si="3"/>
        <v>659000</v>
      </c>
      <c r="K28" s="116">
        <f t="shared" si="3"/>
        <v>4000000</v>
      </c>
      <c r="L28" s="115">
        <f t="shared" si="3"/>
        <v>1500000</v>
      </c>
      <c r="M28" s="117">
        <f t="shared" si="3"/>
        <v>454393511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40">
        <v>27</v>
      </c>
      <c r="F29" s="164">
        <f t="shared" si="2"/>
        <v>269966000</v>
      </c>
      <c r="G29" s="119"/>
      <c r="H29" s="120">
        <v>255134000</v>
      </c>
      <c r="I29" s="121">
        <v>14832000</v>
      </c>
      <c r="J29" s="121"/>
      <c r="K29" s="121"/>
      <c r="L29" s="120"/>
      <c r="M29" s="122">
        <v>227574986</v>
      </c>
    </row>
    <row r="30" spans="1:13" s="37" customFormat="1" ht="12">
      <c r="A30" s="28"/>
      <c r="B30" s="47" t="s">
        <v>29</v>
      </c>
      <c r="C30" s="47"/>
      <c r="D30" s="47"/>
      <c r="E30" s="40">
        <v>28</v>
      </c>
      <c r="F30" s="164">
        <f t="shared" si="2"/>
        <v>17745000</v>
      </c>
      <c r="G30" s="135"/>
      <c r="H30" s="136">
        <v>17745000</v>
      </c>
      <c r="I30" s="137"/>
      <c r="J30" s="137"/>
      <c r="K30" s="137"/>
      <c r="L30" s="136"/>
      <c r="M30" s="138">
        <v>16731000</v>
      </c>
    </row>
    <row r="31" spans="1:13" s="37" customFormat="1" ht="12">
      <c r="A31" s="28"/>
      <c r="B31" s="47" t="s">
        <v>31</v>
      </c>
      <c r="C31" s="47"/>
      <c r="D31" s="47"/>
      <c r="E31" s="40">
        <v>29</v>
      </c>
      <c r="F31" s="164">
        <f t="shared" si="2"/>
        <v>0</v>
      </c>
      <c r="G31" s="135"/>
      <c r="H31" s="136"/>
      <c r="I31" s="137"/>
      <c r="J31" s="137"/>
      <c r="K31" s="137"/>
      <c r="L31" s="136"/>
      <c r="M31" s="138">
        <v>1108000</v>
      </c>
    </row>
    <row r="32" spans="1:13" s="37" customFormat="1" ht="12">
      <c r="A32" s="28"/>
      <c r="B32" s="48" t="s">
        <v>33</v>
      </c>
      <c r="C32" s="49"/>
      <c r="D32" s="49"/>
      <c r="E32" s="50">
        <v>30</v>
      </c>
      <c r="F32" s="164">
        <f t="shared" si="2"/>
        <v>0</v>
      </c>
      <c r="G32" s="135"/>
      <c r="H32" s="136"/>
      <c r="I32" s="137"/>
      <c r="J32" s="137"/>
      <c r="K32" s="137"/>
      <c r="L32" s="136"/>
      <c r="M32" s="138">
        <f>M18</f>
        <v>11411849</v>
      </c>
    </row>
    <row r="33" spans="1:13" s="37" customFormat="1" ht="12">
      <c r="A33" s="28"/>
      <c r="B33" s="48" t="s">
        <v>35</v>
      </c>
      <c r="C33" s="48"/>
      <c r="D33" s="48"/>
      <c r="E33" s="50">
        <v>31</v>
      </c>
      <c r="F33" s="164">
        <f t="shared" si="2"/>
        <v>748000</v>
      </c>
      <c r="G33" s="135"/>
      <c r="H33" s="136">
        <v>748000</v>
      </c>
      <c r="I33" s="137"/>
      <c r="J33" s="137"/>
      <c r="K33" s="137"/>
      <c r="L33" s="136"/>
      <c r="M33" s="138">
        <v>461000</v>
      </c>
    </row>
    <row r="34" spans="1:13" s="37" customFormat="1" ht="12">
      <c r="A34" s="28"/>
      <c r="B34" s="48" t="s">
        <v>55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</row>
    <row r="35" spans="1:13" s="37" customFormat="1" ht="12">
      <c r="A35" s="28"/>
      <c r="B35" s="48" t="s">
        <v>37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>
        <v>128000</v>
      </c>
    </row>
    <row r="36" spans="1:13" s="37" customFormat="1" ht="12">
      <c r="A36" s="28"/>
      <c r="B36" s="48" t="s">
        <v>39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/>
    </row>
    <row r="37" spans="1:13" s="37" customFormat="1" ht="12">
      <c r="A37" s="28"/>
      <c r="B37" s="48" t="s">
        <v>57</v>
      </c>
      <c r="C37" s="48"/>
      <c r="D37" s="48"/>
      <c r="E37" s="50">
        <v>35</v>
      </c>
      <c r="F37" s="164">
        <f t="shared" si="2"/>
        <v>0</v>
      </c>
      <c r="G37" s="135"/>
      <c r="H37" s="136"/>
      <c r="I37" s="137"/>
      <c r="J37" s="137"/>
      <c r="K37" s="137"/>
      <c r="L37" s="136"/>
      <c r="M37" s="138">
        <v>30000</v>
      </c>
    </row>
    <row r="38" spans="1:13" s="37" customFormat="1" ht="12">
      <c r="A38" s="28"/>
      <c r="B38" s="48" t="s">
        <v>58</v>
      </c>
      <c r="C38" s="48"/>
      <c r="D38" s="48"/>
      <c r="E38" s="50">
        <v>36</v>
      </c>
      <c r="F38" s="164">
        <f t="shared" si="2"/>
        <v>27207000</v>
      </c>
      <c r="G38" s="135"/>
      <c r="H38" s="136">
        <v>27207000</v>
      </c>
      <c r="I38" s="137"/>
      <c r="J38" s="137"/>
      <c r="K38" s="137"/>
      <c r="L38" s="136"/>
      <c r="M38" s="138">
        <v>24126000</v>
      </c>
    </row>
    <row r="39" spans="1:13" s="37" customFormat="1" ht="12">
      <c r="A39" s="28"/>
      <c r="B39" s="48" t="s">
        <v>60</v>
      </c>
      <c r="C39" s="48"/>
      <c r="D39" s="48"/>
      <c r="E39" s="50">
        <v>37</v>
      </c>
      <c r="F39" s="164">
        <f t="shared" si="2"/>
        <v>54945000</v>
      </c>
      <c r="G39" s="135"/>
      <c r="H39" s="136">
        <v>54780000</v>
      </c>
      <c r="I39" s="137"/>
      <c r="J39" s="137">
        <v>165000</v>
      </c>
      <c r="K39" s="137"/>
      <c r="L39" s="136"/>
      <c r="M39" s="138">
        <f>M23</f>
        <v>30504290</v>
      </c>
    </row>
    <row r="40" spans="1:13" s="37" customFormat="1" ht="12">
      <c r="A40" s="28"/>
      <c r="B40" s="48" t="s">
        <v>61</v>
      </c>
      <c r="C40" s="48"/>
      <c r="D40" s="48"/>
      <c r="E40" s="50">
        <v>38</v>
      </c>
      <c r="F40" s="164">
        <f t="shared" si="2"/>
        <v>60440000</v>
      </c>
      <c r="G40" s="135"/>
      <c r="H40" s="136">
        <v>59946000</v>
      </c>
      <c r="I40" s="137"/>
      <c r="J40" s="137">
        <v>494000</v>
      </c>
      <c r="K40" s="137"/>
      <c r="L40" s="136"/>
      <c r="M40" s="138">
        <f>M24</f>
        <v>67018021</v>
      </c>
    </row>
    <row r="41" spans="1:13" s="37" customFormat="1" ht="12">
      <c r="A41" s="28"/>
      <c r="B41" s="48" t="s">
        <v>46</v>
      </c>
      <c r="C41" s="48"/>
      <c r="D41" s="48"/>
      <c r="E41" s="50">
        <v>39</v>
      </c>
      <c r="F41" s="164">
        <f t="shared" si="2"/>
        <v>816000</v>
      </c>
      <c r="G41" s="135"/>
      <c r="H41" s="136">
        <v>816000</v>
      </c>
      <c r="I41" s="137"/>
      <c r="J41" s="137"/>
      <c r="K41" s="137"/>
      <c r="L41" s="136"/>
      <c r="M41" s="138">
        <v>1027000</v>
      </c>
    </row>
    <row r="42" spans="1:13" s="37" customFormat="1" ht="12">
      <c r="A42" s="28"/>
      <c r="B42" s="48" t="s">
        <v>62</v>
      </c>
      <c r="C42" s="48"/>
      <c r="D42" s="48"/>
      <c r="E42" s="50">
        <v>40</v>
      </c>
      <c r="F42" s="164">
        <f t="shared" si="2"/>
        <v>6466000</v>
      </c>
      <c r="G42" s="135"/>
      <c r="H42" s="136">
        <v>6466000</v>
      </c>
      <c r="I42" s="137"/>
      <c r="J42" s="137"/>
      <c r="K42" s="137"/>
      <c r="L42" s="136"/>
      <c r="M42" s="138">
        <f>M26</f>
        <v>8460019</v>
      </c>
    </row>
    <row r="43" spans="1:13" s="37" customFormat="1" ht="12">
      <c r="A43" s="28"/>
      <c r="B43" s="48" t="s">
        <v>63</v>
      </c>
      <c r="C43" s="48"/>
      <c r="D43" s="48"/>
      <c r="E43" s="50">
        <v>41</v>
      </c>
      <c r="F43" s="164">
        <f t="shared" si="2"/>
        <v>60000000</v>
      </c>
      <c r="G43" s="135"/>
      <c r="H43" s="136">
        <v>60000000</v>
      </c>
      <c r="I43" s="137"/>
      <c r="J43" s="137"/>
      <c r="K43" s="137"/>
      <c r="L43" s="136"/>
      <c r="M43" s="138">
        <v>62563345</v>
      </c>
    </row>
    <row r="44" spans="1:13" s="37" customFormat="1" ht="12">
      <c r="A44" s="28"/>
      <c r="B44" s="48" t="s">
        <v>64</v>
      </c>
      <c r="C44" s="48"/>
      <c r="D44" s="48"/>
      <c r="E44" s="50">
        <v>42</v>
      </c>
      <c r="F44" s="164">
        <f t="shared" si="2"/>
        <v>5500000</v>
      </c>
      <c r="G44" s="135"/>
      <c r="H44" s="139" t="s">
        <v>99</v>
      </c>
      <c r="I44" s="137"/>
      <c r="J44" s="137"/>
      <c r="K44" s="137">
        <v>4000000</v>
      </c>
      <c r="L44" s="136">
        <v>1500000</v>
      </c>
      <c r="M44" s="138">
        <v>599184</v>
      </c>
    </row>
    <row r="45" spans="1:13" s="37" customFormat="1" ht="12">
      <c r="A45" s="65"/>
      <c r="B45" s="66" t="s">
        <v>50</v>
      </c>
      <c r="C45" s="66"/>
      <c r="D45" s="66"/>
      <c r="E45" s="67">
        <v>43</v>
      </c>
      <c r="F45" s="165">
        <f t="shared" si="2"/>
        <v>2300000</v>
      </c>
      <c r="G45" s="141"/>
      <c r="H45" s="142">
        <v>2300000</v>
      </c>
      <c r="I45" s="143"/>
      <c r="J45" s="143"/>
      <c r="K45" s="143"/>
      <c r="L45" s="142"/>
      <c r="M45" s="144">
        <v>2650817</v>
      </c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47">
        <f>F29+F34+F38+F43+F44+F45-F4-F27</f>
        <v>2370000</v>
      </c>
      <c r="G46" s="146">
        <f>G29+G34+G38+G43+G44+G45+-G4-G27</f>
        <v>0</v>
      </c>
      <c r="H46" s="146">
        <f>H29+H34+H38+H43+H45-H4-H27</f>
        <v>2370000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10525472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61">
        <f>F28-F3</f>
        <v>2370000</v>
      </c>
      <c r="G47" s="114">
        <f aca="true" t="shared" si="4" ref="G47:M47">G28-G3</f>
        <v>0</v>
      </c>
      <c r="H47" s="115">
        <f t="shared" si="4"/>
        <v>2370000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10525472</v>
      </c>
    </row>
    <row r="48" spans="1:5" ht="12.75">
      <c r="A48" s="80" t="s">
        <v>68</v>
      </c>
      <c r="B48" s="80"/>
      <c r="C48" s="80"/>
      <c r="D48" s="189">
        <v>39146</v>
      </c>
      <c r="E48" s="81"/>
    </row>
    <row r="49" spans="5:13" s="80" customFormat="1" ht="12"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 hidden="1">
      <c r="A50" s="84" t="s">
        <v>70</v>
      </c>
      <c r="E50" s="81"/>
      <c r="F50" s="37"/>
      <c r="H50" s="92"/>
      <c r="I50" s="92"/>
      <c r="J50" s="92"/>
      <c r="K50" s="92"/>
      <c r="L50" s="92"/>
      <c r="M50" s="92"/>
    </row>
    <row r="51" spans="1:13" s="80" customFormat="1" ht="12" hidden="1">
      <c r="A51" s="84" t="s">
        <v>71</v>
      </c>
      <c r="E51" s="81"/>
      <c r="F51" s="37"/>
      <c r="H51" s="92"/>
      <c r="I51" s="92"/>
      <c r="J51" s="92"/>
      <c r="K51" s="92"/>
      <c r="L51" s="92"/>
      <c r="M51" s="92"/>
    </row>
    <row r="52" spans="1:13" s="80" customFormat="1" ht="12">
      <c r="A52" s="84" t="s">
        <v>100</v>
      </c>
      <c r="E52" s="81"/>
      <c r="F52" s="167"/>
      <c r="H52" s="92"/>
      <c r="J52" s="316">
        <v>4000000</v>
      </c>
      <c r="L52" s="92"/>
      <c r="M52" s="92"/>
    </row>
    <row r="53" spans="1:13" s="84" customFormat="1" ht="12" hidden="1">
      <c r="A53" s="84" t="s">
        <v>73</v>
      </c>
      <c r="E53" s="86"/>
      <c r="F53" s="168"/>
      <c r="H53" s="108"/>
      <c r="I53" s="108"/>
      <c r="J53" s="108"/>
      <c r="K53" s="108"/>
      <c r="L53" s="108"/>
      <c r="M53" s="108"/>
    </row>
    <row r="54" spans="1:13" s="84" customFormat="1" ht="12" hidden="1">
      <c r="A54" s="84" t="s">
        <v>74</v>
      </c>
      <c r="E54" s="86"/>
      <c r="F54" s="168"/>
      <c r="H54" s="108"/>
      <c r="I54" s="108"/>
      <c r="J54" s="108"/>
      <c r="K54" s="108"/>
      <c r="L54" s="108"/>
      <c r="M54" s="108"/>
    </row>
    <row r="55" spans="1:13" s="84" customFormat="1" ht="12" hidden="1">
      <c r="A55" s="84" t="s">
        <v>75</v>
      </c>
      <c r="E55" s="86"/>
      <c r="F55" s="168"/>
      <c r="H55" s="108"/>
      <c r="I55" s="108"/>
      <c r="J55" s="108"/>
      <c r="K55" s="108"/>
      <c r="L55" s="108"/>
      <c r="M55" s="108"/>
    </row>
    <row r="56" spans="1:13" s="80" customFormat="1" ht="12">
      <c r="A56" s="84"/>
      <c r="B56" s="84"/>
      <c r="C56" s="84"/>
      <c r="D56" s="84"/>
      <c r="E56" s="81"/>
      <c r="F56" s="37"/>
      <c r="H56" s="92"/>
      <c r="I56" s="92"/>
      <c r="J56" s="92"/>
      <c r="K56" s="92"/>
      <c r="L56" s="92"/>
      <c r="M56" s="92"/>
    </row>
    <row r="57" spans="1:6" s="92" customFormat="1" ht="12">
      <c r="A57" s="84"/>
      <c r="B57" s="84"/>
      <c r="C57" s="84"/>
      <c r="D57" s="84"/>
      <c r="E57" s="90"/>
      <c r="F57" s="37"/>
    </row>
    <row r="58" spans="1:6" s="92" customFormat="1" ht="12">
      <c r="A58" s="84"/>
      <c r="B58" s="84"/>
      <c r="C58" s="84"/>
      <c r="D58" s="84"/>
      <c r="E58" s="90"/>
      <c r="F58" s="37"/>
    </row>
    <row r="59" spans="1:6" s="92" customFormat="1" ht="12">
      <c r="A59" s="84"/>
      <c r="B59" s="84"/>
      <c r="C59" s="84"/>
      <c r="D59" s="84"/>
      <c r="E59" s="90"/>
      <c r="F59" s="37"/>
    </row>
  </sheetData>
  <mergeCells count="3">
    <mergeCell ref="A1:D1"/>
    <mergeCell ref="I1:L1"/>
    <mergeCell ref="C2:D2"/>
  </mergeCells>
  <printOptions horizontalCentered="1" verticalCentered="1"/>
  <pageMargins left="0.4330708661417323" right="0.2755905511811024" top="0.4330708661417323" bottom="0.35433070866141736" header="0.1968503937007874" footer="0.275590551181102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J11" sqref="J11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25390625" style="37" customWidth="1"/>
    <col min="7" max="7" width="5.125" style="0" hidden="1" customWidth="1"/>
    <col min="8" max="8" width="10.875" style="92" customWidth="1"/>
    <col min="9" max="11" width="8.00390625" style="92" customWidth="1"/>
    <col min="12" max="12" width="8.125" style="92" customWidth="1"/>
    <col min="13" max="13" width="9.62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416" t="s">
        <v>3</v>
      </c>
      <c r="I1" s="429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81</v>
      </c>
      <c r="D2" s="432"/>
      <c r="E2" s="10" t="s">
        <v>6</v>
      </c>
      <c r="F2" s="160">
        <v>2007</v>
      </c>
      <c r="G2" s="13" t="s">
        <v>8</v>
      </c>
      <c r="H2" s="417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>SUM(F5:F27)</f>
        <v>354202000</v>
      </c>
      <c r="G3" s="114">
        <f aca="true" t="shared" si="0" ref="G3:M3">SUM(G5:G27)</f>
        <v>0</v>
      </c>
      <c r="H3" s="418">
        <f t="shared" si="0"/>
        <v>350340000</v>
      </c>
      <c r="I3" s="194">
        <f t="shared" si="0"/>
        <v>0</v>
      </c>
      <c r="J3" s="116">
        <f t="shared" si="0"/>
        <v>802000</v>
      </c>
      <c r="K3" s="116">
        <f t="shared" si="0"/>
        <v>890000</v>
      </c>
      <c r="L3" s="115">
        <f t="shared" si="0"/>
        <v>2170000</v>
      </c>
      <c r="M3" s="117">
        <f t="shared" si="0"/>
        <v>306553700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>SUM(F5:F15)</f>
        <v>250097000</v>
      </c>
      <c r="G4" s="119">
        <f aca="true" t="shared" si="1" ref="G4:M4">SUM(G5:G15)</f>
        <v>0</v>
      </c>
      <c r="H4" s="419">
        <f t="shared" si="1"/>
        <v>247037000</v>
      </c>
      <c r="I4" s="171">
        <f t="shared" si="1"/>
        <v>0</v>
      </c>
      <c r="J4" s="121">
        <f t="shared" si="1"/>
        <v>0</v>
      </c>
      <c r="K4" s="121">
        <f t="shared" si="1"/>
        <v>890000</v>
      </c>
      <c r="L4" s="120">
        <f t="shared" si="1"/>
        <v>2170000</v>
      </c>
      <c r="M4" s="122">
        <f t="shared" si="1"/>
        <v>225741801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63">
        <f>SUM(H5:L5)</f>
        <v>139155710</v>
      </c>
      <c r="G5" s="124"/>
      <c r="H5" s="201">
        <v>138506075</v>
      </c>
      <c r="I5" s="202"/>
      <c r="J5" s="112"/>
      <c r="K5" s="112">
        <v>649635</v>
      </c>
      <c r="L5" s="203"/>
      <c r="M5" s="203">
        <v>126382776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63">
        <f aca="true" t="shared" si="2" ref="F6:F45">SUM(H6:L6)</f>
        <v>4453000</v>
      </c>
      <c r="G6" s="124"/>
      <c r="H6" s="201">
        <v>4453000</v>
      </c>
      <c r="I6" s="202"/>
      <c r="J6" s="112"/>
      <c r="K6" s="112"/>
      <c r="L6" s="203"/>
      <c r="M6" s="203">
        <v>4130603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63">
        <f t="shared" si="2"/>
        <v>52248290</v>
      </c>
      <c r="G7" s="124"/>
      <c r="H7" s="201">
        <v>52007925</v>
      </c>
      <c r="I7" s="202"/>
      <c r="J7" s="112"/>
      <c r="K7" s="112">
        <v>240365</v>
      </c>
      <c r="L7" s="203"/>
      <c r="M7" s="203">
        <v>44608699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63">
        <f t="shared" si="2"/>
        <v>5720000</v>
      </c>
      <c r="G8" s="124"/>
      <c r="H8" s="201">
        <v>5720000</v>
      </c>
      <c r="I8" s="202"/>
      <c r="J8" s="112"/>
      <c r="K8" s="112"/>
      <c r="L8" s="203"/>
      <c r="M8" s="203">
        <v>5220276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63">
        <f t="shared" si="2"/>
        <v>1600000</v>
      </c>
      <c r="G9" s="124"/>
      <c r="H9" s="201">
        <v>1600000</v>
      </c>
      <c r="I9" s="202"/>
      <c r="J9" s="112"/>
      <c r="K9" s="112"/>
      <c r="L9" s="203"/>
      <c r="M9" s="203">
        <v>1049113</v>
      </c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63">
        <f t="shared" si="2"/>
        <v>13000000</v>
      </c>
      <c r="G10" s="124"/>
      <c r="H10" s="201">
        <v>13000000</v>
      </c>
      <c r="I10" s="202"/>
      <c r="J10" s="112"/>
      <c r="K10" s="112"/>
      <c r="L10" s="203"/>
      <c r="M10" s="203">
        <v>12471967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63">
        <f t="shared" si="2"/>
        <v>10500000</v>
      </c>
      <c r="G11" s="124"/>
      <c r="H11" s="201">
        <v>10500000</v>
      </c>
      <c r="I11" s="202"/>
      <c r="J11" s="112"/>
      <c r="K11" s="112"/>
      <c r="L11" s="203"/>
      <c r="M11" s="203">
        <v>9065371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63">
        <f t="shared" si="2"/>
        <v>1500000</v>
      </c>
      <c r="G12" s="124"/>
      <c r="H12" s="201">
        <v>1500000</v>
      </c>
      <c r="I12" s="202"/>
      <c r="J12" s="112"/>
      <c r="K12" s="112"/>
      <c r="L12" s="203"/>
      <c r="M12" s="203">
        <v>1457366</v>
      </c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63">
        <f t="shared" si="2"/>
        <v>7706000</v>
      </c>
      <c r="G13" s="124"/>
      <c r="H13" s="201">
        <v>7706000</v>
      </c>
      <c r="I13" s="202"/>
      <c r="J13" s="112"/>
      <c r="K13" s="112"/>
      <c r="L13" s="203"/>
      <c r="M13" s="203">
        <v>7706444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63">
        <f t="shared" si="2"/>
        <v>6670000</v>
      </c>
      <c r="G14" s="124"/>
      <c r="H14" s="201">
        <v>4500000</v>
      </c>
      <c r="I14" s="202"/>
      <c r="J14" s="112"/>
      <c r="K14" s="112"/>
      <c r="L14" s="203">
        <v>2170000</v>
      </c>
      <c r="M14" s="203">
        <v>6350757</v>
      </c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63">
        <f t="shared" si="2"/>
        <v>7544000</v>
      </c>
      <c r="G15" s="124"/>
      <c r="H15" s="201">
        <v>7544000</v>
      </c>
      <c r="I15" s="202"/>
      <c r="J15" s="112"/>
      <c r="K15" s="112"/>
      <c r="L15" s="203"/>
      <c r="M15" s="203">
        <v>7298429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17800000</v>
      </c>
      <c r="G16" s="130"/>
      <c r="H16" s="201">
        <v>17800000</v>
      </c>
      <c r="I16" s="202"/>
      <c r="J16" s="112"/>
      <c r="K16" s="112"/>
      <c r="L16" s="203"/>
      <c r="M16" s="203">
        <v>18780000</v>
      </c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2132000</v>
      </c>
      <c r="G17" s="130"/>
      <c r="H17" s="201">
        <v>2132000</v>
      </c>
      <c r="I17" s="202"/>
      <c r="J17" s="112"/>
      <c r="K17" s="112"/>
      <c r="L17" s="203"/>
      <c r="M17" s="203">
        <v>5036109</v>
      </c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19568000</v>
      </c>
      <c r="G18" s="130"/>
      <c r="H18" s="201">
        <v>19568000</v>
      </c>
      <c r="I18" s="202"/>
      <c r="J18" s="112"/>
      <c r="K18" s="112"/>
      <c r="L18" s="203"/>
      <c r="M18" s="203">
        <v>4767900</v>
      </c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2703000</v>
      </c>
      <c r="G19" s="130"/>
      <c r="H19" s="201">
        <v>2703000</v>
      </c>
      <c r="I19" s="202"/>
      <c r="J19" s="112"/>
      <c r="K19" s="112"/>
      <c r="L19" s="203"/>
      <c r="M19" s="203">
        <v>2276000</v>
      </c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177000</v>
      </c>
      <c r="G20" s="130"/>
      <c r="H20" s="201">
        <v>177000</v>
      </c>
      <c r="I20" s="202"/>
      <c r="J20" s="112"/>
      <c r="K20" s="112"/>
      <c r="L20" s="203"/>
      <c r="M20" s="203">
        <v>729466</v>
      </c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2"/>
        <v>6194000</v>
      </c>
      <c r="G21" s="130"/>
      <c r="H21" s="201">
        <v>6194000</v>
      </c>
      <c r="I21" s="202"/>
      <c r="J21" s="112"/>
      <c r="K21" s="112"/>
      <c r="L21" s="203"/>
      <c r="M21" s="203"/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2"/>
        <v>2111000</v>
      </c>
      <c r="G22" s="130"/>
      <c r="H22" s="201">
        <v>1340000</v>
      </c>
      <c r="I22" s="202"/>
      <c r="J22" s="112">
        <v>771000</v>
      </c>
      <c r="K22" s="112"/>
      <c r="L22" s="203"/>
      <c r="M22" s="203">
        <v>7321762</v>
      </c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2"/>
        <v>30381000</v>
      </c>
      <c r="G23" s="130"/>
      <c r="H23" s="201">
        <v>30381000</v>
      </c>
      <c r="I23" s="202"/>
      <c r="J23" s="112"/>
      <c r="K23" s="112"/>
      <c r="L23" s="203"/>
      <c r="M23" s="203">
        <v>19230200</v>
      </c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2"/>
        <v>22597000</v>
      </c>
      <c r="G24" s="130"/>
      <c r="H24" s="201">
        <v>22566000</v>
      </c>
      <c r="I24" s="202"/>
      <c r="J24" s="112">
        <v>31000</v>
      </c>
      <c r="K24" s="112"/>
      <c r="L24" s="203"/>
      <c r="M24" s="203">
        <v>22106889</v>
      </c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2"/>
        <v>15000</v>
      </c>
      <c r="G25" s="130"/>
      <c r="H25" s="201">
        <v>15000</v>
      </c>
      <c r="I25" s="202"/>
      <c r="J25" s="112"/>
      <c r="K25" s="112"/>
      <c r="L25" s="203"/>
      <c r="M25" s="203">
        <v>210823</v>
      </c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2"/>
        <v>127000</v>
      </c>
      <c r="G26" s="130"/>
      <c r="H26" s="201">
        <v>127000</v>
      </c>
      <c r="I26" s="202"/>
      <c r="J26" s="112"/>
      <c r="K26" s="112"/>
      <c r="L26" s="203"/>
      <c r="M26" s="203"/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300000</v>
      </c>
      <c r="G27" s="130"/>
      <c r="H27" s="204">
        <v>300000</v>
      </c>
      <c r="I27" s="205"/>
      <c r="J27" s="206"/>
      <c r="K27" s="206"/>
      <c r="L27" s="207"/>
      <c r="M27" s="207">
        <v>352750</v>
      </c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>SUM(F29:F45)</f>
        <v>357158760</v>
      </c>
      <c r="G28" s="114">
        <f aca="true" t="shared" si="3" ref="G28:M28">SUM(G29:G45)</f>
        <v>0</v>
      </c>
      <c r="H28" s="115">
        <f t="shared" si="3"/>
        <v>353296760</v>
      </c>
      <c r="I28" s="116">
        <f t="shared" si="3"/>
        <v>0</v>
      </c>
      <c r="J28" s="116">
        <f t="shared" si="3"/>
        <v>802000</v>
      </c>
      <c r="K28" s="116">
        <f t="shared" si="3"/>
        <v>890000</v>
      </c>
      <c r="L28" s="115">
        <f t="shared" si="3"/>
        <v>2170000</v>
      </c>
      <c r="M28" s="117">
        <f t="shared" si="3"/>
        <v>311744841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40">
        <v>27</v>
      </c>
      <c r="F29" s="164">
        <f t="shared" si="2"/>
        <v>212667000</v>
      </c>
      <c r="G29" s="119"/>
      <c r="H29" s="201">
        <v>212667000</v>
      </c>
      <c r="I29" s="202"/>
      <c r="J29" s="112"/>
      <c r="K29" s="112"/>
      <c r="L29" s="203"/>
      <c r="M29" s="203">
        <v>193872459</v>
      </c>
    </row>
    <row r="30" spans="1:13" s="37" customFormat="1" ht="12">
      <c r="A30" s="28"/>
      <c r="B30" s="47" t="s">
        <v>29</v>
      </c>
      <c r="C30" s="47"/>
      <c r="D30" s="47"/>
      <c r="E30" s="40">
        <v>28</v>
      </c>
      <c r="F30" s="164">
        <f t="shared" si="2"/>
        <v>17800000</v>
      </c>
      <c r="G30" s="135"/>
      <c r="H30" s="208">
        <v>17800000</v>
      </c>
      <c r="I30" s="155"/>
      <c r="J30" s="154"/>
      <c r="K30" s="154"/>
      <c r="L30" s="209"/>
      <c r="M30" s="209">
        <v>18780000</v>
      </c>
    </row>
    <row r="31" spans="1:13" s="37" customFormat="1" ht="12">
      <c r="A31" s="28"/>
      <c r="B31" s="47" t="s">
        <v>31</v>
      </c>
      <c r="C31" s="47"/>
      <c r="D31" s="47"/>
      <c r="E31" s="40">
        <v>29</v>
      </c>
      <c r="F31" s="164">
        <f t="shared" si="2"/>
        <v>2132000</v>
      </c>
      <c r="G31" s="135"/>
      <c r="H31" s="208">
        <v>2132000</v>
      </c>
      <c r="I31" s="155"/>
      <c r="J31" s="154"/>
      <c r="K31" s="154"/>
      <c r="L31" s="209"/>
      <c r="M31" s="209">
        <v>5036109</v>
      </c>
    </row>
    <row r="32" spans="1:13" s="37" customFormat="1" ht="12">
      <c r="A32" s="28"/>
      <c r="B32" s="48" t="s">
        <v>33</v>
      </c>
      <c r="C32" s="49"/>
      <c r="D32" s="49"/>
      <c r="E32" s="50">
        <v>30</v>
      </c>
      <c r="F32" s="164">
        <f t="shared" si="2"/>
        <v>19568000</v>
      </c>
      <c r="G32" s="135"/>
      <c r="H32" s="208">
        <v>19568000</v>
      </c>
      <c r="I32" s="155"/>
      <c r="J32" s="154"/>
      <c r="K32" s="154"/>
      <c r="L32" s="209"/>
      <c r="M32" s="209">
        <v>4767900</v>
      </c>
    </row>
    <row r="33" spans="1:13" s="37" customFormat="1" ht="12">
      <c r="A33" s="28"/>
      <c r="B33" s="48" t="s">
        <v>35</v>
      </c>
      <c r="C33" s="48"/>
      <c r="D33" s="48"/>
      <c r="E33" s="50">
        <v>31</v>
      </c>
      <c r="F33" s="164">
        <f t="shared" si="2"/>
        <v>2703000</v>
      </c>
      <c r="G33" s="135"/>
      <c r="H33" s="208">
        <v>2703000</v>
      </c>
      <c r="I33" s="155"/>
      <c r="J33" s="154"/>
      <c r="K33" s="154"/>
      <c r="L33" s="209"/>
      <c r="M33" s="209">
        <v>2276000</v>
      </c>
    </row>
    <row r="34" spans="1:13" s="37" customFormat="1" ht="12">
      <c r="A34" s="28"/>
      <c r="B34" s="48" t="s">
        <v>55</v>
      </c>
      <c r="C34" s="48"/>
      <c r="D34" s="48"/>
      <c r="E34" s="50">
        <v>32</v>
      </c>
      <c r="F34" s="164">
        <f t="shared" si="2"/>
        <v>0</v>
      </c>
      <c r="G34" s="135"/>
      <c r="H34" s="208">
        <v>0</v>
      </c>
      <c r="I34" s="155"/>
      <c r="J34" s="154"/>
      <c r="K34" s="154"/>
      <c r="L34" s="209"/>
      <c r="M34" s="209">
        <v>0</v>
      </c>
    </row>
    <row r="35" spans="1:13" s="37" customFormat="1" ht="12">
      <c r="A35" s="28"/>
      <c r="B35" s="48" t="s">
        <v>37</v>
      </c>
      <c r="C35" s="48"/>
      <c r="D35" s="48"/>
      <c r="E35" s="50">
        <v>33</v>
      </c>
      <c r="F35" s="164">
        <f t="shared" si="2"/>
        <v>177000</v>
      </c>
      <c r="G35" s="135"/>
      <c r="H35" s="208">
        <v>177000</v>
      </c>
      <c r="I35" s="155"/>
      <c r="J35" s="154"/>
      <c r="K35" s="154"/>
      <c r="L35" s="209"/>
      <c r="M35" s="203">
        <v>729466</v>
      </c>
    </row>
    <row r="36" spans="1:13" s="37" customFormat="1" ht="12">
      <c r="A36" s="28"/>
      <c r="B36" s="48" t="s">
        <v>39</v>
      </c>
      <c r="C36" s="48"/>
      <c r="D36" s="48"/>
      <c r="E36" s="50">
        <v>34</v>
      </c>
      <c r="F36" s="164">
        <f t="shared" si="2"/>
        <v>6194000</v>
      </c>
      <c r="G36" s="135"/>
      <c r="H36" s="208">
        <v>6194000</v>
      </c>
      <c r="I36" s="155"/>
      <c r="J36" s="154"/>
      <c r="K36" s="154"/>
      <c r="L36" s="209"/>
      <c r="M36" s="203"/>
    </row>
    <row r="37" spans="1:13" s="37" customFormat="1" ht="12">
      <c r="A37" s="28"/>
      <c r="B37" s="48" t="s">
        <v>57</v>
      </c>
      <c r="C37" s="48"/>
      <c r="D37" s="48"/>
      <c r="E37" s="50">
        <v>35</v>
      </c>
      <c r="F37" s="164">
        <f t="shared" si="2"/>
        <v>2111000</v>
      </c>
      <c r="G37" s="135"/>
      <c r="H37" s="208">
        <v>1340000</v>
      </c>
      <c r="I37" s="155"/>
      <c r="J37" s="154">
        <v>771000</v>
      </c>
      <c r="K37" s="154"/>
      <c r="L37" s="209"/>
      <c r="M37" s="203">
        <v>7321762</v>
      </c>
    </row>
    <row r="38" spans="1:13" s="37" customFormat="1" ht="12">
      <c r="A38" s="28"/>
      <c r="B38" s="48" t="s">
        <v>58</v>
      </c>
      <c r="C38" s="48"/>
      <c r="D38" s="48"/>
      <c r="E38" s="50">
        <v>36</v>
      </c>
      <c r="F38" s="164">
        <f t="shared" si="2"/>
        <v>13192000</v>
      </c>
      <c r="G38" s="135"/>
      <c r="H38" s="208">
        <v>13192000</v>
      </c>
      <c r="I38" s="155"/>
      <c r="J38" s="154"/>
      <c r="K38" s="154"/>
      <c r="L38" s="209"/>
      <c r="M38" s="209">
        <v>13132000</v>
      </c>
    </row>
    <row r="39" spans="1:13" s="37" customFormat="1" ht="12">
      <c r="A39" s="28"/>
      <c r="B39" s="48" t="s">
        <v>60</v>
      </c>
      <c r="C39" s="48"/>
      <c r="D39" s="48"/>
      <c r="E39" s="50">
        <v>37</v>
      </c>
      <c r="F39" s="164">
        <f t="shared" si="2"/>
        <v>30381000</v>
      </c>
      <c r="G39" s="135"/>
      <c r="H39" s="208">
        <v>30381000</v>
      </c>
      <c r="I39" s="155"/>
      <c r="J39" s="154"/>
      <c r="K39" s="154"/>
      <c r="L39" s="209"/>
      <c r="M39" s="203">
        <v>19230200</v>
      </c>
    </row>
    <row r="40" spans="1:13" s="37" customFormat="1" ht="12">
      <c r="A40" s="28"/>
      <c r="B40" s="48" t="s">
        <v>61</v>
      </c>
      <c r="C40" s="48"/>
      <c r="D40" s="48"/>
      <c r="E40" s="50">
        <v>38</v>
      </c>
      <c r="F40" s="164">
        <f t="shared" si="2"/>
        <v>23697000</v>
      </c>
      <c r="G40" s="135"/>
      <c r="H40" s="208">
        <v>23666000</v>
      </c>
      <c r="I40" s="155"/>
      <c r="J40" s="154">
        <v>31000</v>
      </c>
      <c r="K40" s="154"/>
      <c r="L40" s="209"/>
      <c r="M40" s="203">
        <v>22106889</v>
      </c>
    </row>
    <row r="41" spans="1:13" s="37" customFormat="1" ht="12">
      <c r="A41" s="28"/>
      <c r="B41" s="48" t="s">
        <v>46</v>
      </c>
      <c r="C41" s="48"/>
      <c r="D41" s="48"/>
      <c r="E41" s="50">
        <v>39</v>
      </c>
      <c r="F41" s="164">
        <f t="shared" si="2"/>
        <v>15000</v>
      </c>
      <c r="G41" s="135"/>
      <c r="H41" s="208">
        <v>15000</v>
      </c>
      <c r="I41" s="155"/>
      <c r="J41" s="154"/>
      <c r="K41" s="154"/>
      <c r="L41" s="209"/>
      <c r="M41" s="203">
        <v>0</v>
      </c>
    </row>
    <row r="42" spans="1:13" s="37" customFormat="1" ht="12">
      <c r="A42" s="28"/>
      <c r="B42" s="48" t="s">
        <v>62</v>
      </c>
      <c r="C42" s="48"/>
      <c r="D42" s="48"/>
      <c r="E42" s="50">
        <v>40</v>
      </c>
      <c r="F42" s="164">
        <f t="shared" si="2"/>
        <v>127000</v>
      </c>
      <c r="G42" s="135"/>
      <c r="H42" s="208">
        <v>127000</v>
      </c>
      <c r="I42" s="155"/>
      <c r="J42" s="154"/>
      <c r="K42" s="154"/>
      <c r="L42" s="209"/>
      <c r="M42" s="203">
        <v>210823</v>
      </c>
    </row>
    <row r="43" spans="1:13" s="37" customFormat="1" ht="12">
      <c r="A43" s="28"/>
      <c r="B43" s="48" t="s">
        <v>63</v>
      </c>
      <c r="C43" s="48"/>
      <c r="D43" s="48"/>
      <c r="E43" s="50">
        <v>41</v>
      </c>
      <c r="F43" s="164">
        <f t="shared" si="2"/>
        <v>22984760</v>
      </c>
      <c r="G43" s="135"/>
      <c r="H43" s="208">
        <v>22984760</v>
      </c>
      <c r="I43" s="155"/>
      <c r="J43" s="154"/>
      <c r="K43" s="154"/>
      <c r="L43" s="209"/>
      <c r="M43" s="209">
        <v>21633801</v>
      </c>
    </row>
    <row r="44" spans="1:13" s="37" customFormat="1" ht="12">
      <c r="A44" s="28"/>
      <c r="B44" s="48" t="s">
        <v>64</v>
      </c>
      <c r="C44" s="48"/>
      <c r="D44" s="48"/>
      <c r="E44" s="50">
        <v>42</v>
      </c>
      <c r="F44" s="164">
        <f t="shared" si="2"/>
        <v>3060000</v>
      </c>
      <c r="G44" s="135"/>
      <c r="H44" s="139" t="s">
        <v>99</v>
      </c>
      <c r="I44" s="155">
        <v>0</v>
      </c>
      <c r="J44" s="154">
        <v>0</v>
      </c>
      <c r="K44" s="154">
        <v>890000</v>
      </c>
      <c r="L44" s="209">
        <v>2170000</v>
      </c>
      <c r="M44" s="209">
        <v>2232432</v>
      </c>
    </row>
    <row r="45" spans="1:13" s="37" customFormat="1" ht="12">
      <c r="A45" s="65"/>
      <c r="B45" s="66" t="s">
        <v>50</v>
      </c>
      <c r="C45" s="66"/>
      <c r="D45" s="66"/>
      <c r="E45" s="67">
        <v>43</v>
      </c>
      <c r="F45" s="165">
        <f t="shared" si="2"/>
        <v>350000</v>
      </c>
      <c r="G45" s="141"/>
      <c r="H45" s="210">
        <v>350000</v>
      </c>
      <c r="I45" s="211"/>
      <c r="J45" s="212"/>
      <c r="K45" s="212"/>
      <c r="L45" s="213"/>
      <c r="M45" s="213">
        <v>415000</v>
      </c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47">
        <f>F29+F34+F38+F43+F44+F45-F4-F27</f>
        <v>1856760</v>
      </c>
      <c r="G46" s="146">
        <f>G29+G34+G38+G43+G44+G45+-G4-G27</f>
        <v>0</v>
      </c>
      <c r="H46" s="146">
        <f>H29+H34+H38+H43+H45-H4-H27</f>
        <v>1856760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5191141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61">
        <f>F28-F3</f>
        <v>2956760</v>
      </c>
      <c r="G47" s="114">
        <f aca="true" t="shared" si="4" ref="G47:M47">G28-G3</f>
        <v>0</v>
      </c>
      <c r="H47" s="115">
        <f t="shared" si="4"/>
        <v>2956760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5191141</v>
      </c>
    </row>
    <row r="48" spans="1:5" ht="12.75">
      <c r="A48" s="80" t="s">
        <v>68</v>
      </c>
      <c r="B48" s="80"/>
      <c r="C48" s="80"/>
      <c r="D48" s="189">
        <v>39140</v>
      </c>
      <c r="E48" s="81"/>
    </row>
    <row r="49" spans="4:13" s="80" customFormat="1" ht="9" customHeight="1">
      <c r="D49" s="84"/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>
      <c r="A50" s="84" t="s">
        <v>100</v>
      </c>
      <c r="D50" s="84"/>
      <c r="E50" s="81"/>
      <c r="F50" s="167"/>
      <c r="H50" s="92"/>
      <c r="J50" s="156"/>
      <c r="L50" s="92"/>
      <c r="M50" s="92"/>
    </row>
    <row r="51" spans="5:13" s="84" customFormat="1" ht="12">
      <c r="E51" s="86"/>
      <c r="F51" s="168"/>
      <c r="H51" s="108"/>
      <c r="I51" s="108"/>
      <c r="J51" s="108"/>
      <c r="K51" s="108"/>
      <c r="L51" s="108"/>
      <c r="M51" s="108"/>
    </row>
    <row r="52" spans="5:13" s="84" customFormat="1" ht="12">
      <c r="E52" s="86"/>
      <c r="F52" s="168"/>
      <c r="H52" s="108"/>
      <c r="I52" s="108"/>
      <c r="J52" s="108"/>
      <c r="K52" s="108"/>
      <c r="L52" s="108"/>
      <c r="M52" s="108"/>
    </row>
    <row r="53" spans="5:13" s="84" customFormat="1" ht="12">
      <c r="E53" s="86"/>
      <c r="F53" s="168"/>
      <c r="H53" s="108"/>
      <c r="I53" s="108"/>
      <c r="J53" s="108"/>
      <c r="K53" s="108"/>
      <c r="L53" s="108"/>
      <c r="M53" s="108"/>
    </row>
    <row r="54" spans="1:13" s="80" customFormat="1" ht="12">
      <c r="A54" s="84"/>
      <c r="B54" s="84"/>
      <c r="C54" s="84"/>
      <c r="D54" s="84"/>
      <c r="E54" s="81"/>
      <c r="F54" s="37"/>
      <c r="H54" s="92"/>
      <c r="I54" s="92"/>
      <c r="J54" s="92"/>
      <c r="K54" s="92"/>
      <c r="L54" s="92"/>
      <c r="M54" s="92"/>
    </row>
    <row r="55" spans="1:6" s="92" customFormat="1" ht="12">
      <c r="A55" s="84"/>
      <c r="B55" s="84"/>
      <c r="C55" s="84"/>
      <c r="D55" s="84"/>
      <c r="E55" s="90"/>
      <c r="F55" s="37"/>
    </row>
    <row r="56" spans="1:6" s="92" customFormat="1" ht="12">
      <c r="A56" s="84"/>
      <c r="B56" s="84"/>
      <c r="C56" s="84"/>
      <c r="D56" s="84"/>
      <c r="E56" s="90"/>
      <c r="F56" s="37"/>
    </row>
    <row r="57" spans="1:6" s="92" customFormat="1" ht="12">
      <c r="A57" s="84"/>
      <c r="B57" s="84"/>
      <c r="C57" s="84"/>
      <c r="D57" s="84"/>
      <c r="E57" s="90"/>
      <c r="F57" s="37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8" sqref="A8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375" style="37" customWidth="1"/>
    <col min="7" max="7" width="5.125" style="0" hidden="1" customWidth="1"/>
    <col min="8" max="8" width="11.125" style="92" customWidth="1"/>
    <col min="9" max="11" width="8.00390625" style="92" customWidth="1"/>
    <col min="12" max="12" width="8.125" style="92" customWidth="1"/>
    <col min="13" max="13" width="10.37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82</v>
      </c>
      <c r="D2" s="432"/>
      <c r="E2" s="10" t="s">
        <v>6</v>
      </c>
      <c r="F2" s="16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>SUM(F5:F27)</f>
        <v>128832000</v>
      </c>
      <c r="G3" s="114">
        <f aca="true" t="shared" si="0" ref="G3:M3">SUM(G5:G27)</f>
        <v>0</v>
      </c>
      <c r="H3" s="115">
        <f t="shared" si="0"/>
        <v>124485000</v>
      </c>
      <c r="I3" s="116">
        <f t="shared" si="0"/>
        <v>2578000</v>
      </c>
      <c r="J3" s="116">
        <f t="shared" si="0"/>
        <v>369000</v>
      </c>
      <c r="K3" s="116">
        <f t="shared" si="0"/>
        <v>0</v>
      </c>
      <c r="L3" s="115">
        <f t="shared" si="0"/>
        <v>1400000</v>
      </c>
      <c r="M3" s="117">
        <f t="shared" si="0"/>
        <v>124360783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>SUM(F5:F15)</f>
        <v>116632000</v>
      </c>
      <c r="G4" s="119">
        <f aca="true" t="shared" si="1" ref="G4:M4">SUM(G5:G15)</f>
        <v>0</v>
      </c>
      <c r="H4" s="120">
        <f t="shared" si="1"/>
        <v>112654000</v>
      </c>
      <c r="I4" s="121">
        <f t="shared" si="1"/>
        <v>2578000</v>
      </c>
      <c r="J4" s="121">
        <f t="shared" si="1"/>
        <v>0</v>
      </c>
      <c r="K4" s="121">
        <f t="shared" si="1"/>
        <v>0</v>
      </c>
      <c r="L4" s="120">
        <f t="shared" si="1"/>
        <v>1400000</v>
      </c>
      <c r="M4" s="122">
        <f t="shared" si="1"/>
        <v>112827037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63">
        <f>SUM(H5:L5)</f>
        <v>56900000</v>
      </c>
      <c r="G5" s="124"/>
      <c r="H5" s="125">
        <v>56900000</v>
      </c>
      <c r="I5" s="125"/>
      <c r="J5" s="126"/>
      <c r="K5" s="126"/>
      <c r="L5" s="127"/>
      <c r="M5" s="128">
        <v>55341594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63">
        <f aca="true" t="shared" si="2" ref="F6:F45">SUM(H6:L6)</f>
        <v>1600000</v>
      </c>
      <c r="G6" s="124"/>
      <c r="H6" s="125">
        <v>1600000</v>
      </c>
      <c r="I6" s="125"/>
      <c r="J6" s="126"/>
      <c r="K6" s="126"/>
      <c r="L6" s="127"/>
      <c r="M6" s="128">
        <v>1461134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63">
        <f t="shared" si="2"/>
        <v>21000000</v>
      </c>
      <c r="G7" s="124"/>
      <c r="H7" s="125">
        <v>21000000</v>
      </c>
      <c r="I7" s="125"/>
      <c r="J7" s="126"/>
      <c r="K7" s="126"/>
      <c r="L7" s="127"/>
      <c r="M7" s="128">
        <v>19632682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63">
        <f t="shared" si="2"/>
        <v>4000000</v>
      </c>
      <c r="G8" s="124"/>
      <c r="H8" s="125">
        <v>4000000</v>
      </c>
      <c r="I8" s="125"/>
      <c r="J8" s="126"/>
      <c r="K8" s="126"/>
      <c r="L8" s="127"/>
      <c r="M8" s="128">
        <v>3439095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63">
        <f t="shared" si="2"/>
        <v>1500000</v>
      </c>
      <c r="G9" s="124"/>
      <c r="H9" s="125">
        <v>1500000</v>
      </c>
      <c r="I9" s="125"/>
      <c r="J9" s="126"/>
      <c r="K9" s="126"/>
      <c r="L9" s="127"/>
      <c r="M9" s="128">
        <v>2208669</v>
      </c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63">
        <f t="shared" si="2"/>
        <v>13000000</v>
      </c>
      <c r="G10" s="124"/>
      <c r="H10" s="125">
        <v>10500000</v>
      </c>
      <c r="I10" s="125">
        <v>2500000</v>
      </c>
      <c r="J10" s="126"/>
      <c r="K10" s="126"/>
      <c r="L10" s="127"/>
      <c r="M10" s="128">
        <v>12366071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63">
        <f t="shared" si="2"/>
        <v>9000000</v>
      </c>
      <c r="G11" s="124"/>
      <c r="H11" s="125">
        <v>9000000</v>
      </c>
      <c r="I11" s="125"/>
      <c r="J11" s="126"/>
      <c r="K11" s="126"/>
      <c r="L11" s="127"/>
      <c r="M11" s="128">
        <v>8589159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63">
        <f t="shared" si="2"/>
        <v>600000</v>
      </c>
      <c r="G12" s="124"/>
      <c r="H12" s="125">
        <v>600000</v>
      </c>
      <c r="I12" s="125"/>
      <c r="J12" s="126"/>
      <c r="K12" s="126"/>
      <c r="L12" s="127"/>
      <c r="M12" s="128">
        <v>574361</v>
      </c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63">
        <f t="shared" si="2"/>
        <v>2554000</v>
      </c>
      <c r="G13" s="124"/>
      <c r="H13" s="125">
        <v>2554000</v>
      </c>
      <c r="I13" s="125"/>
      <c r="J13" s="126"/>
      <c r="K13" s="126"/>
      <c r="L13" s="127"/>
      <c r="M13" s="128">
        <v>2565464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63">
        <f t="shared" si="2"/>
        <v>1478000</v>
      </c>
      <c r="G14" s="124"/>
      <c r="H14" s="125"/>
      <c r="I14" s="125">
        <v>78000</v>
      </c>
      <c r="J14" s="126"/>
      <c r="K14" s="126"/>
      <c r="L14" s="127">
        <v>1400000</v>
      </c>
      <c r="M14" s="128">
        <v>1308791</v>
      </c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63">
        <f t="shared" si="2"/>
        <v>5000000</v>
      </c>
      <c r="G15" s="124"/>
      <c r="H15" s="125">
        <v>5000000</v>
      </c>
      <c r="I15" s="125"/>
      <c r="J15" s="126"/>
      <c r="K15" s="126"/>
      <c r="L15" s="127"/>
      <c r="M15" s="128">
        <v>5340017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4056000</v>
      </c>
      <c r="G16" s="130"/>
      <c r="H16" s="131">
        <v>4056000</v>
      </c>
      <c r="I16" s="131"/>
      <c r="J16" s="132"/>
      <c r="K16" s="132"/>
      <c r="L16" s="133"/>
      <c r="M16" s="134">
        <v>3063000</v>
      </c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30000</v>
      </c>
      <c r="G17" s="130"/>
      <c r="H17" s="131">
        <v>30000</v>
      </c>
      <c r="I17" s="131"/>
      <c r="J17" s="132"/>
      <c r="K17" s="132"/>
      <c r="L17" s="133"/>
      <c r="M17" s="134">
        <v>24000</v>
      </c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510000</v>
      </c>
      <c r="G18" s="130"/>
      <c r="H18" s="131">
        <v>510000</v>
      </c>
      <c r="I18" s="131"/>
      <c r="J18" s="132"/>
      <c r="K18" s="132"/>
      <c r="L18" s="133"/>
      <c r="M18" s="134">
        <v>1060800</v>
      </c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0</v>
      </c>
      <c r="G19" s="130"/>
      <c r="H19" s="131"/>
      <c r="I19" s="131"/>
      <c r="J19" s="132"/>
      <c r="K19" s="132"/>
      <c r="L19" s="133"/>
      <c r="M19" s="134"/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0</v>
      </c>
      <c r="G20" s="130"/>
      <c r="H20" s="131"/>
      <c r="I20" s="131"/>
      <c r="J20" s="132"/>
      <c r="K20" s="132"/>
      <c r="L20" s="133"/>
      <c r="M20" s="134"/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2"/>
        <v>0</v>
      </c>
      <c r="G21" s="130"/>
      <c r="H21" s="131"/>
      <c r="I21" s="131"/>
      <c r="J21" s="132"/>
      <c r="K21" s="132"/>
      <c r="L21" s="133"/>
      <c r="M21" s="134"/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2"/>
        <v>0</v>
      </c>
      <c r="G22" s="130"/>
      <c r="H22" s="133"/>
      <c r="I22" s="132"/>
      <c r="J22" s="132"/>
      <c r="K22" s="132"/>
      <c r="L22" s="133"/>
      <c r="M22" s="134"/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2"/>
        <v>6474000</v>
      </c>
      <c r="G23" s="130"/>
      <c r="H23" s="133">
        <v>6117000</v>
      </c>
      <c r="I23" s="132"/>
      <c r="J23" s="132">
        <v>357000</v>
      </c>
      <c r="K23" s="132"/>
      <c r="L23" s="133"/>
      <c r="M23" s="134">
        <v>6267000</v>
      </c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2"/>
        <v>850000</v>
      </c>
      <c r="G24" s="130"/>
      <c r="H24" s="133">
        <v>838000</v>
      </c>
      <c r="I24" s="132"/>
      <c r="J24" s="132">
        <v>12000</v>
      </c>
      <c r="K24" s="132"/>
      <c r="L24" s="133"/>
      <c r="M24" s="134">
        <v>823000</v>
      </c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2"/>
        <v>0</v>
      </c>
      <c r="G25" s="130"/>
      <c r="H25" s="133"/>
      <c r="I25" s="132"/>
      <c r="J25" s="132"/>
      <c r="K25" s="132"/>
      <c r="L25" s="133"/>
      <c r="M25" s="134"/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2"/>
        <v>0</v>
      </c>
      <c r="G26" s="130"/>
      <c r="H26" s="133"/>
      <c r="I26" s="132"/>
      <c r="J26" s="132"/>
      <c r="K26" s="132"/>
      <c r="L26" s="133"/>
      <c r="M26" s="134">
        <v>15309</v>
      </c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280000</v>
      </c>
      <c r="G27" s="130"/>
      <c r="H27" s="133">
        <v>280000</v>
      </c>
      <c r="I27" s="132"/>
      <c r="J27" s="132"/>
      <c r="K27" s="132"/>
      <c r="L27" s="133"/>
      <c r="M27" s="134">
        <v>280637</v>
      </c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>SUM(F29:F45)</f>
        <v>130455000</v>
      </c>
      <c r="G28" s="114">
        <f aca="true" t="shared" si="3" ref="G28:M28">SUM(G29:G45)</f>
        <v>0</v>
      </c>
      <c r="H28" s="115">
        <f t="shared" si="3"/>
        <v>126108000</v>
      </c>
      <c r="I28" s="116">
        <f t="shared" si="3"/>
        <v>2578000</v>
      </c>
      <c r="J28" s="116">
        <f t="shared" si="3"/>
        <v>369000</v>
      </c>
      <c r="K28" s="116">
        <f t="shared" si="3"/>
        <v>0</v>
      </c>
      <c r="L28" s="115">
        <f t="shared" si="3"/>
        <v>1400000</v>
      </c>
      <c r="M28" s="117">
        <f t="shared" si="3"/>
        <v>129096823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40">
        <v>27</v>
      </c>
      <c r="F29" s="164">
        <f t="shared" si="2"/>
        <v>81205000</v>
      </c>
      <c r="G29" s="119"/>
      <c r="H29" s="120">
        <v>81205000</v>
      </c>
      <c r="I29" s="121"/>
      <c r="J29" s="121"/>
      <c r="K29" s="121"/>
      <c r="L29" s="120"/>
      <c r="M29" s="122">
        <v>83371464</v>
      </c>
    </row>
    <row r="30" spans="1:13" s="37" customFormat="1" ht="12">
      <c r="A30" s="28"/>
      <c r="B30" s="47" t="s">
        <v>29</v>
      </c>
      <c r="C30" s="47"/>
      <c r="D30" s="47"/>
      <c r="E30" s="40">
        <v>28</v>
      </c>
      <c r="F30" s="164">
        <f t="shared" si="2"/>
        <v>4056000</v>
      </c>
      <c r="G30" s="135"/>
      <c r="H30" s="136">
        <v>4056000</v>
      </c>
      <c r="I30" s="137"/>
      <c r="J30" s="137"/>
      <c r="K30" s="137"/>
      <c r="L30" s="136"/>
      <c r="M30" s="138">
        <v>3063000</v>
      </c>
    </row>
    <row r="31" spans="1:13" s="37" customFormat="1" ht="12">
      <c r="A31" s="28"/>
      <c r="B31" s="47" t="s">
        <v>31</v>
      </c>
      <c r="C31" s="47"/>
      <c r="D31" s="47"/>
      <c r="E31" s="40">
        <v>29</v>
      </c>
      <c r="F31" s="164">
        <f t="shared" si="2"/>
        <v>30000</v>
      </c>
      <c r="G31" s="135"/>
      <c r="H31" s="136">
        <v>30000</v>
      </c>
      <c r="I31" s="137"/>
      <c r="J31" s="137"/>
      <c r="K31" s="137"/>
      <c r="L31" s="136"/>
      <c r="M31" s="138">
        <v>24000</v>
      </c>
    </row>
    <row r="32" spans="1:13" s="37" customFormat="1" ht="12">
      <c r="A32" s="28"/>
      <c r="B32" s="48" t="s">
        <v>33</v>
      </c>
      <c r="C32" s="49"/>
      <c r="D32" s="49"/>
      <c r="E32" s="50">
        <v>30</v>
      </c>
      <c r="F32" s="164">
        <f t="shared" si="2"/>
        <v>510000</v>
      </c>
      <c r="G32" s="135"/>
      <c r="H32" s="136">
        <v>510000</v>
      </c>
      <c r="I32" s="137"/>
      <c r="J32" s="137"/>
      <c r="K32" s="137"/>
      <c r="L32" s="136"/>
      <c r="M32" s="138">
        <v>1060800</v>
      </c>
    </row>
    <row r="33" spans="1:13" s="37" customFormat="1" ht="12">
      <c r="A33" s="28"/>
      <c r="B33" s="48" t="s">
        <v>35</v>
      </c>
      <c r="C33" s="48"/>
      <c r="D33" s="48"/>
      <c r="E33" s="50">
        <v>31</v>
      </c>
      <c r="F33" s="164">
        <f t="shared" si="2"/>
        <v>0</v>
      </c>
      <c r="G33" s="135"/>
      <c r="H33" s="136"/>
      <c r="I33" s="137"/>
      <c r="J33" s="137"/>
      <c r="K33" s="137"/>
      <c r="L33" s="136"/>
      <c r="M33" s="138"/>
    </row>
    <row r="34" spans="1:13" s="37" customFormat="1" ht="12">
      <c r="A34" s="28"/>
      <c r="B34" s="48" t="s">
        <v>55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</row>
    <row r="35" spans="1:13" s="37" customFormat="1" ht="12">
      <c r="A35" s="28"/>
      <c r="B35" s="48" t="s">
        <v>37</v>
      </c>
      <c r="C35" s="48"/>
      <c r="D35" s="48"/>
      <c r="E35" s="50">
        <v>33</v>
      </c>
      <c r="F35" s="164">
        <f t="shared" si="2"/>
        <v>0</v>
      </c>
      <c r="G35" s="135"/>
      <c r="H35" s="136"/>
      <c r="I35" s="137"/>
      <c r="J35" s="137"/>
      <c r="K35" s="137"/>
      <c r="L35" s="136"/>
      <c r="M35" s="138"/>
    </row>
    <row r="36" spans="1:13" s="37" customFormat="1" ht="12">
      <c r="A36" s="28"/>
      <c r="B36" s="48" t="s">
        <v>39</v>
      </c>
      <c r="C36" s="48"/>
      <c r="D36" s="48"/>
      <c r="E36" s="50">
        <v>34</v>
      </c>
      <c r="F36" s="164">
        <f t="shared" si="2"/>
        <v>0</v>
      </c>
      <c r="G36" s="135"/>
      <c r="H36" s="136"/>
      <c r="I36" s="137"/>
      <c r="J36" s="137"/>
      <c r="K36" s="137"/>
      <c r="L36" s="136"/>
      <c r="M36" s="138"/>
    </row>
    <row r="37" spans="1:13" s="37" customFormat="1" ht="12">
      <c r="A37" s="28"/>
      <c r="B37" s="48" t="s">
        <v>57</v>
      </c>
      <c r="C37" s="48"/>
      <c r="D37" s="48"/>
      <c r="E37" s="50">
        <v>35</v>
      </c>
      <c r="F37" s="164">
        <f t="shared" si="2"/>
        <v>0</v>
      </c>
      <c r="G37" s="135"/>
      <c r="H37" s="136"/>
      <c r="I37" s="137"/>
      <c r="J37" s="137"/>
      <c r="K37" s="137"/>
      <c r="L37" s="136"/>
      <c r="M37" s="138"/>
    </row>
    <row r="38" spans="1:13" s="37" customFormat="1" ht="12">
      <c r="A38" s="28"/>
      <c r="B38" s="48" t="s">
        <v>58</v>
      </c>
      <c r="C38" s="48"/>
      <c r="D38" s="48"/>
      <c r="E38" s="50">
        <v>36</v>
      </c>
      <c r="F38" s="164">
        <f t="shared" si="2"/>
        <v>2089000</v>
      </c>
      <c r="G38" s="135"/>
      <c r="H38" s="136">
        <v>2089000</v>
      </c>
      <c r="I38" s="137"/>
      <c r="J38" s="137"/>
      <c r="K38" s="137"/>
      <c r="L38" s="136"/>
      <c r="M38" s="138">
        <v>1619000</v>
      </c>
    </row>
    <row r="39" spans="1:13" s="37" customFormat="1" ht="12">
      <c r="A39" s="28"/>
      <c r="B39" s="48" t="s">
        <v>60</v>
      </c>
      <c r="C39" s="48"/>
      <c r="D39" s="48"/>
      <c r="E39" s="50">
        <v>37</v>
      </c>
      <c r="F39" s="164">
        <f t="shared" si="2"/>
        <v>6474000</v>
      </c>
      <c r="G39" s="135"/>
      <c r="H39" s="136">
        <v>6117000</v>
      </c>
      <c r="I39" s="137"/>
      <c r="J39" s="137">
        <f>J23</f>
        <v>357000</v>
      </c>
      <c r="K39" s="137"/>
      <c r="L39" s="136"/>
      <c r="M39" s="138">
        <v>6267000</v>
      </c>
    </row>
    <row r="40" spans="1:13" s="37" customFormat="1" ht="12">
      <c r="A40" s="28"/>
      <c r="B40" s="48" t="s">
        <v>61</v>
      </c>
      <c r="C40" s="48"/>
      <c r="D40" s="48"/>
      <c r="E40" s="50">
        <v>38</v>
      </c>
      <c r="F40" s="164">
        <f t="shared" si="2"/>
        <v>850000</v>
      </c>
      <c r="G40" s="135"/>
      <c r="H40" s="136">
        <v>838000</v>
      </c>
      <c r="I40" s="137"/>
      <c r="J40" s="137">
        <f>J24</f>
        <v>12000</v>
      </c>
      <c r="K40" s="137"/>
      <c r="L40" s="136"/>
      <c r="M40" s="138">
        <v>823000</v>
      </c>
    </row>
    <row r="41" spans="1:13" s="37" customFormat="1" ht="12">
      <c r="A41" s="28"/>
      <c r="B41" s="48" t="s">
        <v>46</v>
      </c>
      <c r="C41" s="48"/>
      <c r="D41" s="48"/>
      <c r="E41" s="50">
        <v>39</v>
      </c>
      <c r="F41" s="164">
        <f t="shared" si="2"/>
        <v>0</v>
      </c>
      <c r="G41" s="135"/>
      <c r="H41" s="136"/>
      <c r="I41" s="137"/>
      <c r="J41" s="137"/>
      <c r="K41" s="137"/>
      <c r="L41" s="136"/>
      <c r="M41" s="138"/>
    </row>
    <row r="42" spans="1:13" s="37" customFormat="1" ht="12">
      <c r="A42" s="28"/>
      <c r="B42" s="48" t="s">
        <v>62</v>
      </c>
      <c r="C42" s="48"/>
      <c r="D42" s="48"/>
      <c r="E42" s="50">
        <v>40</v>
      </c>
      <c r="F42" s="164">
        <f t="shared" si="2"/>
        <v>0</v>
      </c>
      <c r="G42" s="135"/>
      <c r="H42" s="136"/>
      <c r="I42" s="137"/>
      <c r="J42" s="137"/>
      <c r="K42" s="137"/>
      <c r="L42" s="136"/>
      <c r="M42" s="138">
        <v>15309</v>
      </c>
    </row>
    <row r="43" spans="1:13" s="37" customFormat="1" ht="12">
      <c r="A43" s="28"/>
      <c r="B43" s="48" t="s">
        <v>63</v>
      </c>
      <c r="C43" s="48"/>
      <c r="D43" s="48"/>
      <c r="E43" s="50">
        <v>41</v>
      </c>
      <c r="F43" s="164">
        <f t="shared" si="2"/>
        <v>30983000</v>
      </c>
      <c r="G43" s="135"/>
      <c r="H43" s="136">
        <v>30983000</v>
      </c>
      <c r="I43" s="137"/>
      <c r="J43" s="137"/>
      <c r="K43" s="137"/>
      <c r="L43" s="136"/>
      <c r="M43" s="138">
        <v>31325793</v>
      </c>
    </row>
    <row r="44" spans="1:13" s="37" customFormat="1" ht="12">
      <c r="A44" s="28"/>
      <c r="B44" s="48" t="s">
        <v>64</v>
      </c>
      <c r="C44" s="48"/>
      <c r="D44" s="48"/>
      <c r="E44" s="50">
        <v>42</v>
      </c>
      <c r="F44" s="164">
        <f t="shared" si="2"/>
        <v>3978000</v>
      </c>
      <c r="G44" s="135"/>
      <c r="H44" s="139" t="s">
        <v>99</v>
      </c>
      <c r="I44" s="137">
        <f>I3</f>
        <v>2578000</v>
      </c>
      <c r="J44" s="137"/>
      <c r="K44" s="137"/>
      <c r="L44" s="136">
        <f>L3</f>
        <v>1400000</v>
      </c>
      <c r="M44" s="138">
        <v>1213257</v>
      </c>
    </row>
    <row r="45" spans="1:13" s="37" customFormat="1" ht="12">
      <c r="A45" s="65"/>
      <c r="B45" s="66" t="s">
        <v>50</v>
      </c>
      <c r="C45" s="66"/>
      <c r="D45" s="66"/>
      <c r="E45" s="67">
        <v>43</v>
      </c>
      <c r="F45" s="165">
        <f t="shared" si="2"/>
        <v>280000</v>
      </c>
      <c r="G45" s="141"/>
      <c r="H45" s="142">
        <v>280000</v>
      </c>
      <c r="I45" s="143"/>
      <c r="J45" s="143"/>
      <c r="K45" s="143"/>
      <c r="L45" s="142"/>
      <c r="M45" s="144">
        <v>314200</v>
      </c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47">
        <f>F29+F34+F38+F43+F44+F45-F4-F27</f>
        <v>1623000</v>
      </c>
      <c r="G46" s="146">
        <f>G29+G34+G38+G43+G44+G45+-G4-G27</f>
        <v>0</v>
      </c>
      <c r="H46" s="146">
        <f>H29+H34+H38+H43+H45-H4-H27</f>
        <v>1623000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4736040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61">
        <f>F28-F3</f>
        <v>1623000</v>
      </c>
      <c r="G47" s="114">
        <f aca="true" t="shared" si="4" ref="G47:M47">G28-G3</f>
        <v>0</v>
      </c>
      <c r="H47" s="115">
        <f t="shared" si="4"/>
        <v>1623000</v>
      </c>
      <c r="I47" s="116">
        <f t="shared" si="4"/>
        <v>0</v>
      </c>
      <c r="J47" s="116">
        <f t="shared" si="4"/>
        <v>0</v>
      </c>
      <c r="K47" s="116">
        <f t="shared" si="4"/>
        <v>0</v>
      </c>
      <c r="L47" s="115">
        <f t="shared" si="4"/>
        <v>0</v>
      </c>
      <c r="M47" s="117">
        <f t="shared" si="4"/>
        <v>4736040</v>
      </c>
    </row>
    <row r="48" spans="1:5" ht="12.75">
      <c r="A48" s="80" t="s">
        <v>68</v>
      </c>
      <c r="B48" s="80"/>
      <c r="C48" s="80"/>
      <c r="D48" s="189">
        <v>39140</v>
      </c>
      <c r="E48" s="81"/>
    </row>
    <row r="49" spans="5:13" s="80" customFormat="1" ht="9.75" customHeight="1"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>
      <c r="A50" s="84" t="s">
        <v>100</v>
      </c>
      <c r="D50" s="84"/>
      <c r="E50" s="81"/>
      <c r="F50" s="167"/>
      <c r="H50" s="92"/>
      <c r="J50" s="156"/>
      <c r="K50" s="92"/>
      <c r="L50" s="92"/>
      <c r="M50" s="92"/>
    </row>
    <row r="51" spans="1:13" s="80" customFormat="1" ht="12">
      <c r="A51" s="84"/>
      <c r="B51" s="84"/>
      <c r="C51" s="84"/>
      <c r="D51" s="84"/>
      <c r="E51" s="81"/>
      <c r="F51" s="37"/>
      <c r="H51" s="92"/>
      <c r="I51" s="92"/>
      <c r="J51" s="92"/>
      <c r="K51" s="92"/>
      <c r="L51" s="92"/>
      <c r="M51" s="92"/>
    </row>
    <row r="52" spans="1:6" s="92" customFormat="1" ht="12">
      <c r="A52" s="84"/>
      <c r="B52" s="84"/>
      <c r="C52" s="84"/>
      <c r="D52" s="84"/>
      <c r="E52" s="90"/>
      <c r="F52" s="37"/>
    </row>
    <row r="53" spans="1:6" s="92" customFormat="1" ht="12">
      <c r="A53" s="84"/>
      <c r="B53" s="84"/>
      <c r="C53" s="84"/>
      <c r="D53" s="84"/>
      <c r="E53" s="90"/>
      <c r="F53" s="37"/>
    </row>
    <row r="54" spans="1:6" s="92" customFormat="1" ht="12">
      <c r="A54" s="84"/>
      <c r="B54" s="84"/>
      <c r="C54" s="84"/>
      <c r="D54" s="84"/>
      <c r="E54" s="90"/>
      <c r="F54" s="37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0">
      <selection activeCell="D44" sqref="D44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00390625" style="37" customWidth="1"/>
    <col min="7" max="7" width="5.125" style="0" hidden="1" customWidth="1"/>
    <col min="8" max="8" width="11.00390625" style="92" customWidth="1"/>
    <col min="9" max="11" width="8.00390625" style="92" customWidth="1"/>
    <col min="12" max="12" width="8.125" style="92" customWidth="1"/>
    <col min="13" max="13" width="9.87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83</v>
      </c>
      <c r="D2" s="432"/>
      <c r="E2" s="10" t="s">
        <v>6</v>
      </c>
      <c r="F2" s="16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 aca="true" t="shared" si="0" ref="F3:M3">SUM(F5:F27)</f>
        <v>183838527.0763382</v>
      </c>
      <c r="G3" s="114">
        <f t="shared" si="0"/>
        <v>0</v>
      </c>
      <c r="H3" s="115">
        <f t="shared" si="0"/>
        <v>177621420.1813382</v>
      </c>
      <c r="I3" s="116">
        <f t="shared" si="0"/>
        <v>1688000.175</v>
      </c>
      <c r="J3" s="116">
        <f t="shared" si="0"/>
        <v>2729106.7199999997</v>
      </c>
      <c r="K3" s="116">
        <f t="shared" si="0"/>
        <v>0</v>
      </c>
      <c r="L3" s="115">
        <f t="shared" si="0"/>
        <v>1800000</v>
      </c>
      <c r="M3" s="117">
        <f t="shared" si="0"/>
        <v>178617581.37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>SUM(F5:F15)</f>
        <v>113299540.3563382</v>
      </c>
      <c r="G4" s="119">
        <f aca="true" t="shared" si="1" ref="G4:M4">SUM(G5:G15)</f>
        <v>0</v>
      </c>
      <c r="H4" s="120">
        <f t="shared" si="1"/>
        <v>109766920.1813382</v>
      </c>
      <c r="I4" s="121">
        <f t="shared" si="1"/>
        <v>1688000.175</v>
      </c>
      <c r="J4" s="121">
        <f t="shared" si="1"/>
        <v>44620</v>
      </c>
      <c r="K4" s="121">
        <f t="shared" si="1"/>
        <v>0</v>
      </c>
      <c r="L4" s="120">
        <f t="shared" si="1"/>
        <v>1800000</v>
      </c>
      <c r="M4" s="122">
        <f t="shared" si="1"/>
        <v>99867804.94000001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63">
        <f>SUM(H5:L5)</f>
        <v>56206467.62652068</v>
      </c>
      <c r="G5" s="124"/>
      <c r="H5" s="317">
        <v>54956097.12652068</v>
      </c>
      <c r="I5" s="320">
        <v>1250370.5</v>
      </c>
      <c r="J5" s="320"/>
      <c r="K5" s="320"/>
      <c r="L5" s="317"/>
      <c r="M5" s="134">
        <v>50635997.5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63">
        <f aca="true" t="shared" si="2" ref="F6:F45">SUM(H6:L6)</f>
        <v>1900000</v>
      </c>
      <c r="G6" s="124"/>
      <c r="H6" s="317">
        <v>1900000</v>
      </c>
      <c r="I6" s="321"/>
      <c r="J6" s="321"/>
      <c r="K6" s="321"/>
      <c r="L6" s="317"/>
      <c r="M6" s="134">
        <v>1812880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63">
        <f t="shared" si="2"/>
        <v>20771385.61181265</v>
      </c>
      <c r="G7" s="124"/>
      <c r="H7" s="317">
        <v>20333755.93681265</v>
      </c>
      <c r="I7" s="321">
        <v>437629.675</v>
      </c>
      <c r="J7" s="321"/>
      <c r="K7" s="321"/>
      <c r="L7" s="317"/>
      <c r="M7" s="134">
        <v>17814142.9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63">
        <f t="shared" si="2"/>
        <v>2456500</v>
      </c>
      <c r="G8" s="124"/>
      <c r="H8" s="317">
        <v>2456500</v>
      </c>
      <c r="I8" s="321"/>
      <c r="J8" s="321"/>
      <c r="K8" s="321"/>
      <c r="L8" s="317"/>
      <c r="M8" s="134">
        <v>1988570.2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63">
        <f t="shared" si="2"/>
        <v>1146000</v>
      </c>
      <c r="G9" s="124"/>
      <c r="H9" s="317">
        <v>1146000</v>
      </c>
      <c r="I9" s="321"/>
      <c r="J9" s="321"/>
      <c r="K9" s="321"/>
      <c r="L9" s="317"/>
      <c r="M9" s="134">
        <v>983766.1</v>
      </c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63">
        <f t="shared" si="2"/>
        <v>6280620</v>
      </c>
      <c r="G10" s="124"/>
      <c r="H10" s="317">
        <v>6265000</v>
      </c>
      <c r="I10" s="321"/>
      <c r="J10" s="321">
        <v>15620</v>
      </c>
      <c r="K10" s="321"/>
      <c r="L10" s="317"/>
      <c r="M10" s="134">
        <v>6206241.94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63">
        <f t="shared" si="2"/>
        <v>7754000</v>
      </c>
      <c r="G11" s="124"/>
      <c r="H11" s="317">
        <v>7725000</v>
      </c>
      <c r="I11" s="321"/>
      <c r="J11" s="321">
        <v>29000</v>
      </c>
      <c r="K11" s="321"/>
      <c r="L11" s="317"/>
      <c r="M11" s="134">
        <v>5524139.9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63">
        <f t="shared" si="2"/>
        <v>500000</v>
      </c>
      <c r="G12" s="124"/>
      <c r="H12" s="317">
        <v>500000</v>
      </c>
      <c r="I12" s="321"/>
      <c r="J12" s="321"/>
      <c r="K12" s="321"/>
      <c r="L12" s="317"/>
      <c r="M12" s="134">
        <v>428911.89</v>
      </c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63">
        <f t="shared" si="2"/>
        <v>7419000</v>
      </c>
      <c r="G13" s="124"/>
      <c r="H13" s="317">
        <v>7419000</v>
      </c>
      <c r="I13" s="321"/>
      <c r="J13" s="321"/>
      <c r="K13" s="321"/>
      <c r="L13" s="317"/>
      <c r="M13" s="134">
        <v>7418714.12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63">
        <f t="shared" si="2"/>
        <v>1800000</v>
      </c>
      <c r="G14" s="124"/>
      <c r="H14" s="317">
        <v>0</v>
      </c>
      <c r="I14" s="321"/>
      <c r="J14" s="321"/>
      <c r="K14" s="321"/>
      <c r="L14" s="317">
        <v>1800000</v>
      </c>
      <c r="M14" s="134">
        <v>1701570</v>
      </c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63">
        <f t="shared" si="2"/>
        <v>7065567.1180048715</v>
      </c>
      <c r="G15" s="124"/>
      <c r="H15" s="317">
        <v>7065567.1180048715</v>
      </c>
      <c r="I15" s="321"/>
      <c r="J15" s="321"/>
      <c r="K15" s="321"/>
      <c r="L15" s="317"/>
      <c r="M15" s="134">
        <v>5352870.39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2"/>
        <v>12252500</v>
      </c>
      <c r="G16" s="130"/>
      <c r="H16" s="317">
        <v>12252500</v>
      </c>
      <c r="I16" s="321"/>
      <c r="J16" s="321"/>
      <c r="K16" s="321"/>
      <c r="L16" s="317"/>
      <c r="M16" s="318">
        <v>12041000</v>
      </c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2"/>
        <v>1000000</v>
      </c>
      <c r="G17" s="130"/>
      <c r="H17" s="317">
        <v>1000000</v>
      </c>
      <c r="I17" s="321"/>
      <c r="J17" s="321"/>
      <c r="K17" s="321"/>
      <c r="L17" s="317"/>
      <c r="M17" s="134">
        <v>1154000</v>
      </c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2"/>
        <v>6500000</v>
      </c>
      <c r="G18" s="130"/>
      <c r="H18" s="317">
        <v>6500000</v>
      </c>
      <c r="I18" s="321"/>
      <c r="J18" s="321"/>
      <c r="K18" s="321"/>
      <c r="L18" s="317"/>
      <c r="M18" s="318">
        <v>9147951.13</v>
      </c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2"/>
        <v>400000</v>
      </c>
      <c r="G19" s="130"/>
      <c r="H19" s="317">
        <v>400000</v>
      </c>
      <c r="I19" s="321"/>
      <c r="J19" s="321"/>
      <c r="K19" s="321"/>
      <c r="L19" s="317"/>
      <c r="M19" s="318">
        <v>419000</v>
      </c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2"/>
        <v>1000000</v>
      </c>
      <c r="G20" s="130"/>
      <c r="H20" s="317">
        <v>1000000</v>
      </c>
      <c r="I20" s="321"/>
      <c r="J20" s="321"/>
      <c r="K20" s="321"/>
      <c r="L20" s="317"/>
      <c r="M20" s="318">
        <v>1310300</v>
      </c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9">
        <f t="shared" si="2"/>
        <v>6286767</v>
      </c>
      <c r="G21" s="406"/>
      <c r="H21" s="317">
        <v>6000000</v>
      </c>
      <c r="I21" s="321"/>
      <c r="J21" s="321">
        <v>286767</v>
      </c>
      <c r="K21" s="321"/>
      <c r="L21" s="317"/>
      <c r="M21" s="318">
        <v>11432898.16</v>
      </c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9">
        <f t="shared" si="2"/>
        <v>0</v>
      </c>
      <c r="G22" s="406"/>
      <c r="H22" s="404"/>
      <c r="I22" s="320"/>
      <c r="J22" s="320"/>
      <c r="K22" s="320"/>
      <c r="L22" s="404"/>
      <c r="M22" s="318"/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9">
        <f t="shared" si="2"/>
        <v>27813103.72</v>
      </c>
      <c r="G23" s="406"/>
      <c r="H23" s="317">
        <v>26952000</v>
      </c>
      <c r="I23" s="321"/>
      <c r="J23" s="321">
        <v>861103.72</v>
      </c>
      <c r="K23" s="321"/>
      <c r="L23" s="317"/>
      <c r="M23" s="318">
        <v>27255941.5</v>
      </c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9">
        <f t="shared" si="2"/>
        <v>10052216</v>
      </c>
      <c r="G24" s="406"/>
      <c r="H24" s="317">
        <v>10000000</v>
      </c>
      <c r="I24" s="321"/>
      <c r="J24" s="321">
        <v>52216</v>
      </c>
      <c r="K24" s="321"/>
      <c r="L24" s="317"/>
      <c r="M24" s="318">
        <v>11450238.44</v>
      </c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9">
        <f t="shared" si="2"/>
        <v>0</v>
      </c>
      <c r="G25" s="406"/>
      <c r="H25" s="317"/>
      <c r="I25" s="321"/>
      <c r="J25" s="321"/>
      <c r="K25" s="321"/>
      <c r="L25" s="317"/>
      <c r="M25" s="318"/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9">
        <f t="shared" si="2"/>
        <v>4784400</v>
      </c>
      <c r="G26" s="406"/>
      <c r="H26" s="404">
        <v>3300000</v>
      </c>
      <c r="I26" s="320"/>
      <c r="J26" s="320">
        <v>1484400</v>
      </c>
      <c r="K26" s="320"/>
      <c r="L26" s="404"/>
      <c r="M26" s="318">
        <v>3962932.25</v>
      </c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2"/>
        <v>450000</v>
      </c>
      <c r="G27" s="130"/>
      <c r="H27" s="319">
        <v>450000</v>
      </c>
      <c r="I27" s="322"/>
      <c r="J27" s="322"/>
      <c r="K27" s="322"/>
      <c r="L27" s="319"/>
      <c r="M27" s="147">
        <v>575514.95</v>
      </c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>SUM(F29:F45)</f>
        <v>184799607</v>
      </c>
      <c r="G28" s="114">
        <f aca="true" t="shared" si="3" ref="G28:M28">SUM(G29:G45)</f>
        <v>0</v>
      </c>
      <c r="H28" s="115">
        <f t="shared" si="3"/>
        <v>178582500</v>
      </c>
      <c r="I28" s="116">
        <f t="shared" si="3"/>
        <v>1688000</v>
      </c>
      <c r="J28" s="116">
        <f t="shared" si="3"/>
        <v>2729107</v>
      </c>
      <c r="K28" s="116">
        <f t="shared" si="3"/>
        <v>0</v>
      </c>
      <c r="L28" s="115">
        <f t="shared" si="3"/>
        <v>1800000</v>
      </c>
      <c r="M28" s="117">
        <f t="shared" si="3"/>
        <v>181494642.73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40">
        <v>27</v>
      </c>
      <c r="F29" s="164">
        <f t="shared" si="2"/>
        <v>89047000</v>
      </c>
      <c r="G29" s="119"/>
      <c r="H29" s="120">
        <v>87359000</v>
      </c>
      <c r="I29" s="121">
        <v>1688000</v>
      </c>
      <c r="J29" s="121"/>
      <c r="K29" s="121"/>
      <c r="L29" s="120"/>
      <c r="M29" s="122">
        <v>75928243</v>
      </c>
    </row>
    <row r="30" spans="1:13" s="37" customFormat="1" ht="12">
      <c r="A30" s="28"/>
      <c r="B30" s="47" t="s">
        <v>29</v>
      </c>
      <c r="C30" s="47"/>
      <c r="D30" s="47"/>
      <c r="E30" s="40">
        <v>28</v>
      </c>
      <c r="F30" s="164">
        <f t="shared" si="2"/>
        <v>12252500</v>
      </c>
      <c r="G30" s="135"/>
      <c r="H30" s="136">
        <v>12252500</v>
      </c>
      <c r="I30" s="137"/>
      <c r="J30" s="137"/>
      <c r="K30" s="137"/>
      <c r="L30" s="136"/>
      <c r="M30" s="138">
        <v>12041000</v>
      </c>
    </row>
    <row r="31" spans="1:13" s="37" customFormat="1" ht="12">
      <c r="A31" s="28"/>
      <c r="B31" s="47" t="s">
        <v>31</v>
      </c>
      <c r="C31" s="47"/>
      <c r="D31" s="47"/>
      <c r="E31" s="40">
        <v>29</v>
      </c>
      <c r="F31" s="164">
        <f t="shared" si="2"/>
        <v>1000000</v>
      </c>
      <c r="G31" s="135"/>
      <c r="H31" s="136">
        <v>1000000</v>
      </c>
      <c r="I31" s="137"/>
      <c r="J31" s="137"/>
      <c r="K31" s="137"/>
      <c r="L31" s="136"/>
      <c r="M31" s="138">
        <v>1154000</v>
      </c>
    </row>
    <row r="32" spans="1:13" s="37" customFormat="1" ht="12">
      <c r="A32" s="28"/>
      <c r="B32" s="48" t="s">
        <v>33</v>
      </c>
      <c r="C32" s="49"/>
      <c r="D32" s="49"/>
      <c r="E32" s="50">
        <v>30</v>
      </c>
      <c r="F32" s="164">
        <f t="shared" si="2"/>
        <v>6500000</v>
      </c>
      <c r="G32" s="135"/>
      <c r="H32" s="136">
        <v>6500000</v>
      </c>
      <c r="I32" s="137"/>
      <c r="J32" s="137"/>
      <c r="K32" s="137"/>
      <c r="L32" s="136"/>
      <c r="M32" s="138">
        <v>9147951.13</v>
      </c>
    </row>
    <row r="33" spans="1:13" s="37" customFormat="1" ht="12">
      <c r="A33" s="28"/>
      <c r="B33" s="48" t="s">
        <v>35</v>
      </c>
      <c r="C33" s="48"/>
      <c r="D33" s="48"/>
      <c r="E33" s="50">
        <v>31</v>
      </c>
      <c r="F33" s="164">
        <f t="shared" si="2"/>
        <v>400000</v>
      </c>
      <c r="G33" s="135"/>
      <c r="H33" s="136">
        <v>400000</v>
      </c>
      <c r="I33" s="137"/>
      <c r="J33" s="137"/>
      <c r="K33" s="137"/>
      <c r="L33" s="136"/>
      <c r="M33" s="138">
        <v>419000</v>
      </c>
    </row>
    <row r="34" spans="1:13" s="37" customFormat="1" ht="12">
      <c r="A34" s="28"/>
      <c r="B34" s="48" t="s">
        <v>55</v>
      </c>
      <c r="C34" s="48"/>
      <c r="D34" s="48"/>
      <c r="E34" s="50">
        <v>32</v>
      </c>
      <c r="F34" s="164">
        <f t="shared" si="2"/>
        <v>0</v>
      </c>
      <c r="G34" s="135"/>
      <c r="H34" s="136"/>
      <c r="I34" s="137"/>
      <c r="J34" s="137"/>
      <c r="K34" s="137"/>
      <c r="L34" s="136"/>
      <c r="M34" s="138"/>
    </row>
    <row r="35" spans="1:13" s="37" customFormat="1" ht="12">
      <c r="A35" s="28"/>
      <c r="B35" s="48" t="s">
        <v>37</v>
      </c>
      <c r="C35" s="48"/>
      <c r="D35" s="48"/>
      <c r="E35" s="50">
        <v>33</v>
      </c>
      <c r="F35" s="164">
        <f t="shared" si="2"/>
        <v>1000000</v>
      </c>
      <c r="G35" s="135"/>
      <c r="H35" s="136">
        <v>1000000</v>
      </c>
      <c r="I35" s="137"/>
      <c r="J35" s="137"/>
      <c r="K35" s="137"/>
      <c r="L35" s="136"/>
      <c r="M35" s="138">
        <v>1310300</v>
      </c>
    </row>
    <row r="36" spans="1:13" s="37" customFormat="1" ht="12">
      <c r="A36" s="28"/>
      <c r="B36" s="48" t="s">
        <v>39</v>
      </c>
      <c r="C36" s="48"/>
      <c r="D36" s="48"/>
      <c r="E36" s="50">
        <v>34</v>
      </c>
      <c r="F36" s="169">
        <f t="shared" si="2"/>
        <v>6286767</v>
      </c>
      <c r="G36" s="403"/>
      <c r="H36" s="404">
        <v>6000000</v>
      </c>
      <c r="I36" s="320"/>
      <c r="J36" s="320">
        <v>286767</v>
      </c>
      <c r="K36" s="320"/>
      <c r="L36" s="404"/>
      <c r="M36" s="405">
        <v>11437412.66</v>
      </c>
    </row>
    <row r="37" spans="1:13" s="37" customFormat="1" ht="12">
      <c r="A37" s="28"/>
      <c r="B37" s="48" t="s">
        <v>57</v>
      </c>
      <c r="C37" s="48"/>
      <c r="D37" s="48"/>
      <c r="E37" s="50">
        <v>35</v>
      </c>
      <c r="F37" s="169">
        <f t="shared" si="2"/>
        <v>0</v>
      </c>
      <c r="G37" s="403"/>
      <c r="H37" s="404"/>
      <c r="I37" s="320"/>
      <c r="J37" s="320"/>
      <c r="K37" s="320"/>
      <c r="L37" s="404"/>
      <c r="M37" s="405">
        <v>9892000</v>
      </c>
    </row>
    <row r="38" spans="1:13" s="37" customFormat="1" ht="12">
      <c r="A38" s="28"/>
      <c r="B38" s="48" t="s">
        <v>58</v>
      </c>
      <c r="C38" s="48"/>
      <c r="D38" s="48"/>
      <c r="E38" s="50">
        <v>36</v>
      </c>
      <c r="F38" s="164">
        <f t="shared" si="2"/>
        <v>9669000</v>
      </c>
      <c r="G38" s="135"/>
      <c r="H38" s="136">
        <v>9669000</v>
      </c>
      <c r="I38" s="137"/>
      <c r="J38" s="137"/>
      <c r="K38" s="137"/>
      <c r="L38" s="136"/>
      <c r="M38" s="138">
        <v>27255941.5</v>
      </c>
    </row>
    <row r="39" spans="1:13" s="37" customFormat="1" ht="12">
      <c r="A39" s="28"/>
      <c r="B39" s="48" t="s">
        <v>60</v>
      </c>
      <c r="C39" s="48"/>
      <c r="D39" s="48"/>
      <c r="E39" s="50">
        <v>37</v>
      </c>
      <c r="F39" s="164">
        <f t="shared" si="2"/>
        <v>27813104</v>
      </c>
      <c r="G39" s="135"/>
      <c r="H39" s="136">
        <f>H23</f>
        <v>26952000</v>
      </c>
      <c r="I39" s="137"/>
      <c r="J39" s="137">
        <v>861104</v>
      </c>
      <c r="K39" s="137"/>
      <c r="L39" s="136"/>
      <c r="M39" s="138">
        <v>11450238.44</v>
      </c>
    </row>
    <row r="40" spans="1:13" s="37" customFormat="1" ht="12">
      <c r="A40" s="28"/>
      <c r="B40" s="48" t="s">
        <v>61</v>
      </c>
      <c r="C40" s="48"/>
      <c r="D40" s="48"/>
      <c r="E40" s="50">
        <v>38</v>
      </c>
      <c r="F40" s="164">
        <f t="shared" si="2"/>
        <v>10052216</v>
      </c>
      <c r="G40" s="135"/>
      <c r="H40" s="136">
        <v>10000000</v>
      </c>
      <c r="I40" s="137"/>
      <c r="J40" s="137">
        <v>52216</v>
      </c>
      <c r="K40" s="137"/>
      <c r="L40" s="136"/>
      <c r="M40" s="138"/>
    </row>
    <row r="41" spans="1:13" s="37" customFormat="1" ht="12">
      <c r="A41" s="28"/>
      <c r="B41" s="48" t="s">
        <v>46</v>
      </c>
      <c r="C41" s="48"/>
      <c r="D41" s="48"/>
      <c r="E41" s="50">
        <v>39</v>
      </c>
      <c r="F41" s="169">
        <f t="shared" si="2"/>
        <v>4784400</v>
      </c>
      <c r="G41" s="403"/>
      <c r="H41" s="404">
        <v>3300000</v>
      </c>
      <c r="I41" s="320"/>
      <c r="J41" s="320">
        <v>1484400</v>
      </c>
      <c r="K41" s="320"/>
      <c r="L41" s="404"/>
      <c r="M41" s="405">
        <v>3962932</v>
      </c>
    </row>
    <row r="42" spans="1:13" s="37" customFormat="1" ht="12">
      <c r="A42" s="28"/>
      <c r="B42" s="48" t="s">
        <v>62</v>
      </c>
      <c r="C42" s="48"/>
      <c r="D42" s="48"/>
      <c r="E42" s="50">
        <v>40</v>
      </c>
      <c r="F42" s="169">
        <f t="shared" si="2"/>
        <v>0</v>
      </c>
      <c r="G42" s="403"/>
      <c r="H42" s="404">
        <v>0</v>
      </c>
      <c r="I42" s="320"/>
      <c r="J42" s="320"/>
      <c r="K42" s="320"/>
      <c r="L42" s="404"/>
      <c r="M42" s="405"/>
    </row>
    <row r="43" spans="1:13" s="37" customFormat="1" ht="12">
      <c r="A43" s="28"/>
      <c r="B43" s="48" t="s">
        <v>63</v>
      </c>
      <c r="C43" s="48"/>
      <c r="D43" s="48"/>
      <c r="E43" s="50">
        <v>41</v>
      </c>
      <c r="F43" s="164">
        <f t="shared" si="2"/>
        <v>13694620</v>
      </c>
      <c r="G43" s="135"/>
      <c r="H43" s="136">
        <v>13650000</v>
      </c>
      <c r="I43" s="137"/>
      <c r="J43" s="320">
        <v>44620</v>
      </c>
      <c r="K43" s="137"/>
      <c r="L43" s="136"/>
      <c r="M43" s="138">
        <v>15405185</v>
      </c>
    </row>
    <row r="44" spans="1:13" s="37" customFormat="1" ht="12">
      <c r="A44" s="28"/>
      <c r="B44" s="48" t="s">
        <v>64</v>
      </c>
      <c r="C44" s="48"/>
      <c r="D44" s="48"/>
      <c r="E44" s="50">
        <v>42</v>
      </c>
      <c r="F44" s="164">
        <f t="shared" si="2"/>
        <v>1800000</v>
      </c>
      <c r="G44" s="135"/>
      <c r="H44" s="139" t="s">
        <v>99</v>
      </c>
      <c r="I44" s="137"/>
      <c r="J44" s="137"/>
      <c r="K44" s="137"/>
      <c r="L44" s="136">
        <v>1800000</v>
      </c>
      <c r="M44" s="138">
        <v>1380930</v>
      </c>
    </row>
    <row r="45" spans="1:13" s="37" customFormat="1" ht="12">
      <c r="A45" s="65"/>
      <c r="B45" s="66" t="s">
        <v>50</v>
      </c>
      <c r="C45" s="66"/>
      <c r="D45" s="66"/>
      <c r="E45" s="67">
        <v>43</v>
      </c>
      <c r="F45" s="165">
        <f t="shared" si="2"/>
        <v>500000</v>
      </c>
      <c r="G45" s="141"/>
      <c r="H45" s="142">
        <v>500000</v>
      </c>
      <c r="I45" s="143"/>
      <c r="J45" s="143"/>
      <c r="K45" s="143"/>
      <c r="L45" s="142"/>
      <c r="M45" s="144">
        <v>709509</v>
      </c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47">
        <f>F29+F34+F38+F43+F44+F45-F4-F27</f>
        <v>961079.643661797</v>
      </c>
      <c r="G46" s="146">
        <f>G29+G34+G38+G43+G44+G45+-G4-G27</f>
        <v>0</v>
      </c>
      <c r="H46" s="146">
        <f>H29+H34+H38+H43+H45-H4-H27</f>
        <v>961079.8186617941</v>
      </c>
      <c r="I46" s="146">
        <f>I29+I34+I38+I43+I44+I45-I4-I27</f>
        <v>-0.17500000004656613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20236488.60999999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61">
        <f>F28-F3</f>
        <v>961079.9236617982</v>
      </c>
      <c r="G47" s="114">
        <f aca="true" t="shared" si="4" ref="G47:M47">G28-G3</f>
        <v>0</v>
      </c>
      <c r="H47" s="115">
        <f t="shared" si="4"/>
        <v>961079.818661809</v>
      </c>
      <c r="I47" s="116">
        <f t="shared" si="4"/>
        <v>-0.17500000004656613</v>
      </c>
      <c r="J47" s="116">
        <f t="shared" si="4"/>
        <v>0.2800000002607703</v>
      </c>
      <c r="K47" s="116">
        <f t="shared" si="4"/>
        <v>0</v>
      </c>
      <c r="L47" s="115">
        <f t="shared" si="4"/>
        <v>0</v>
      </c>
      <c r="M47" s="117">
        <f t="shared" si="4"/>
        <v>2877061.3599999845</v>
      </c>
    </row>
    <row r="48" spans="1:5" ht="12.75">
      <c r="A48" s="80" t="s">
        <v>68</v>
      </c>
      <c r="B48" s="80"/>
      <c r="C48" s="80"/>
      <c r="D48" s="407">
        <v>39149</v>
      </c>
      <c r="E48" s="81"/>
    </row>
    <row r="49" spans="5:13" s="80" customFormat="1" ht="9.75" customHeight="1"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>
      <c r="A50" s="84" t="s">
        <v>100</v>
      </c>
      <c r="E50" s="81"/>
      <c r="F50" s="167"/>
      <c r="H50" s="92"/>
      <c r="I50" s="92"/>
      <c r="J50" s="156"/>
      <c r="K50" s="92"/>
      <c r="L50" s="92"/>
      <c r="M50" s="92"/>
    </row>
    <row r="51" spans="1:13" s="80" customFormat="1" ht="12">
      <c r="A51" s="84"/>
      <c r="B51" s="84"/>
      <c r="C51" s="84"/>
      <c r="D51" s="84"/>
      <c r="E51" s="81"/>
      <c r="F51" s="37"/>
      <c r="H51" s="92"/>
      <c r="I51" s="92"/>
      <c r="J51" s="92"/>
      <c r="K51" s="92"/>
      <c r="L51" s="92"/>
      <c r="M51" s="92"/>
    </row>
    <row r="52" spans="1:6" s="92" customFormat="1" ht="12">
      <c r="A52" s="84"/>
      <c r="B52" s="84"/>
      <c r="C52" s="84"/>
      <c r="D52" s="84"/>
      <c r="E52" s="90"/>
      <c r="F52" s="37"/>
    </row>
    <row r="53" spans="1:6" s="92" customFormat="1" ht="12">
      <c r="A53" s="84"/>
      <c r="B53" s="84"/>
      <c r="C53" s="84"/>
      <c r="D53" s="84"/>
      <c r="E53" s="90"/>
      <c r="F53" s="37"/>
    </row>
    <row r="54" spans="1:6" s="92" customFormat="1" ht="12">
      <c r="A54" s="84"/>
      <c r="B54" s="84"/>
      <c r="C54" s="84"/>
      <c r="D54" s="84"/>
      <c r="E54" s="90"/>
      <c r="F54" s="37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30" sqref="A30"/>
    </sheetView>
  </sheetViews>
  <sheetFormatPr defaultColWidth="9.00390625" defaultRowHeight="12.75"/>
  <cols>
    <col min="1" max="1" width="8.25390625" style="0" customWidth="1"/>
    <col min="2" max="2" width="5.625" style="0" customWidth="1"/>
    <col min="3" max="3" width="6.25390625" style="0" customWidth="1"/>
    <col min="4" max="4" width="28.625" style="0" customWidth="1"/>
    <col min="5" max="5" width="3.75390625" style="93" bestFit="1" customWidth="1"/>
    <col min="6" max="6" width="12.625" style="37" customWidth="1"/>
    <col min="7" max="7" width="5.125" style="0" hidden="1" customWidth="1"/>
    <col min="8" max="8" width="10.875" style="92" customWidth="1"/>
    <col min="9" max="10" width="8.75390625" style="92" customWidth="1"/>
    <col min="11" max="12" width="9.25390625" style="92" customWidth="1"/>
    <col min="13" max="13" width="9.625" style="92" customWidth="1"/>
  </cols>
  <sheetData>
    <row r="1" spans="1:13" ht="15.75" customHeight="1">
      <c r="A1" s="425" t="s">
        <v>0</v>
      </c>
      <c r="B1" s="426"/>
      <c r="C1" s="426"/>
      <c r="D1" s="427"/>
      <c r="E1" s="1"/>
      <c r="F1" s="159" t="s">
        <v>1</v>
      </c>
      <c r="G1" s="4" t="s">
        <v>2</v>
      </c>
      <c r="H1" s="101" t="s">
        <v>3</v>
      </c>
      <c r="I1" s="428" t="s">
        <v>4</v>
      </c>
      <c r="J1" s="429"/>
      <c r="K1" s="429"/>
      <c r="L1" s="430"/>
      <c r="M1" s="102" t="s">
        <v>5</v>
      </c>
    </row>
    <row r="2" spans="1:13" s="18" customFormat="1" ht="13.5" thickBot="1">
      <c r="A2" s="7" t="s">
        <v>76</v>
      </c>
      <c r="B2" s="8"/>
      <c r="C2" s="431" t="s">
        <v>84</v>
      </c>
      <c r="D2" s="432"/>
      <c r="E2" s="10" t="s">
        <v>6</v>
      </c>
      <c r="F2" s="160">
        <v>2007</v>
      </c>
      <c r="G2" s="13" t="s">
        <v>8</v>
      </c>
      <c r="H2" s="103" t="s">
        <v>9</v>
      </c>
      <c r="I2" s="104" t="s">
        <v>10</v>
      </c>
      <c r="J2" s="105" t="s">
        <v>11</v>
      </c>
      <c r="K2" s="105" t="s">
        <v>12</v>
      </c>
      <c r="L2" s="105" t="s">
        <v>13</v>
      </c>
      <c r="M2" s="106">
        <v>2006</v>
      </c>
    </row>
    <row r="3" spans="1:13" ht="13.5" thickBot="1">
      <c r="A3" s="19" t="s">
        <v>14</v>
      </c>
      <c r="B3" s="20"/>
      <c r="C3" s="20"/>
      <c r="D3" s="20"/>
      <c r="E3" s="21">
        <v>1</v>
      </c>
      <c r="F3" s="161">
        <f>SUM(F5:F27)</f>
        <v>610423475.6</v>
      </c>
      <c r="G3" s="114">
        <f aca="true" t="shared" si="0" ref="G3:M3">SUM(G5:G27)</f>
        <v>0</v>
      </c>
      <c r="H3" s="115">
        <f t="shared" si="0"/>
        <v>597479000</v>
      </c>
      <c r="I3" s="116">
        <f t="shared" si="0"/>
        <v>1548000</v>
      </c>
      <c r="J3" s="116">
        <f t="shared" si="0"/>
        <v>9622475.6</v>
      </c>
      <c r="K3" s="116">
        <f t="shared" si="0"/>
        <v>274000</v>
      </c>
      <c r="L3" s="115">
        <f t="shared" si="0"/>
        <v>1500000</v>
      </c>
      <c r="M3" s="117">
        <f t="shared" si="0"/>
        <v>603171466</v>
      </c>
    </row>
    <row r="4" spans="1:13" s="37" customFormat="1" ht="12">
      <c r="A4" s="28" t="s">
        <v>15</v>
      </c>
      <c r="B4" s="29" t="s">
        <v>16</v>
      </c>
      <c r="C4" s="29"/>
      <c r="D4" s="29"/>
      <c r="E4" s="30">
        <v>2</v>
      </c>
      <c r="F4" s="162">
        <f>SUM(F5:F15)</f>
        <v>281228369</v>
      </c>
      <c r="G4" s="119">
        <f aca="true" t="shared" si="1" ref="G4:M4">SUM(G5:G15)</f>
        <v>0</v>
      </c>
      <c r="H4" s="120">
        <f t="shared" si="1"/>
        <v>277661000</v>
      </c>
      <c r="I4" s="121">
        <f t="shared" si="1"/>
        <v>1548000</v>
      </c>
      <c r="J4" s="121">
        <f t="shared" si="1"/>
        <v>245369</v>
      </c>
      <c r="K4" s="121">
        <f t="shared" si="1"/>
        <v>274000</v>
      </c>
      <c r="L4" s="120">
        <f t="shared" si="1"/>
        <v>1500000</v>
      </c>
      <c r="M4" s="122">
        <f t="shared" si="1"/>
        <v>282684154</v>
      </c>
    </row>
    <row r="5" spans="1:13" s="98" customFormat="1" ht="12">
      <c r="A5" s="94"/>
      <c r="B5" s="95"/>
      <c r="C5" s="95" t="s">
        <v>17</v>
      </c>
      <c r="D5" s="96" t="s">
        <v>18</v>
      </c>
      <c r="E5" s="97">
        <v>3</v>
      </c>
      <c r="F5" s="163">
        <f>SUM(H5:L5)</f>
        <v>115000000</v>
      </c>
      <c r="G5" s="124"/>
      <c r="H5" s="186">
        <v>114827000</v>
      </c>
      <c r="I5" s="187"/>
      <c r="J5" s="187">
        <f aca="true" t="shared" si="2" ref="J5:L20">O5/1000</f>
        <v>0</v>
      </c>
      <c r="K5" s="187">
        <v>173000</v>
      </c>
      <c r="L5" s="188">
        <f t="shared" si="2"/>
        <v>0</v>
      </c>
      <c r="M5" s="128">
        <v>114784023</v>
      </c>
    </row>
    <row r="6" spans="1:13" s="98" customFormat="1" ht="12">
      <c r="A6" s="94"/>
      <c r="B6" s="95"/>
      <c r="C6" s="95"/>
      <c r="D6" s="96" t="s">
        <v>19</v>
      </c>
      <c r="E6" s="97">
        <v>4</v>
      </c>
      <c r="F6" s="163">
        <f aca="true" t="shared" si="3" ref="F6:F45">SUM(H6:L6)</f>
        <v>1950000</v>
      </c>
      <c r="G6" s="124"/>
      <c r="H6" s="186">
        <v>1950000</v>
      </c>
      <c r="I6" s="187"/>
      <c r="J6" s="187">
        <f t="shared" si="2"/>
        <v>0</v>
      </c>
      <c r="K6" s="187">
        <f t="shared" si="2"/>
        <v>0</v>
      </c>
      <c r="L6" s="188">
        <f t="shared" si="2"/>
        <v>0</v>
      </c>
      <c r="M6" s="128">
        <v>1975951</v>
      </c>
    </row>
    <row r="7" spans="1:13" s="98" customFormat="1" ht="12">
      <c r="A7" s="94"/>
      <c r="B7" s="95"/>
      <c r="C7" s="95"/>
      <c r="D7" s="96" t="s">
        <v>20</v>
      </c>
      <c r="E7" s="97">
        <v>5</v>
      </c>
      <c r="F7" s="163">
        <f t="shared" si="3"/>
        <v>42550000</v>
      </c>
      <c r="G7" s="124"/>
      <c r="H7" s="186">
        <v>42449000</v>
      </c>
      <c r="I7" s="187"/>
      <c r="J7" s="187">
        <f t="shared" si="2"/>
        <v>0</v>
      </c>
      <c r="K7" s="187">
        <v>101000</v>
      </c>
      <c r="L7" s="188">
        <f t="shared" si="2"/>
        <v>0</v>
      </c>
      <c r="M7" s="128">
        <v>40269501</v>
      </c>
    </row>
    <row r="8" spans="1:13" s="98" customFormat="1" ht="12">
      <c r="A8" s="94"/>
      <c r="B8" s="95"/>
      <c r="C8" s="95"/>
      <c r="D8" s="96" t="s">
        <v>21</v>
      </c>
      <c r="E8" s="97">
        <v>6</v>
      </c>
      <c r="F8" s="163">
        <f t="shared" si="3"/>
        <v>17943000</v>
      </c>
      <c r="G8" s="124"/>
      <c r="H8" s="186">
        <f>17943*1000</f>
        <v>17943000</v>
      </c>
      <c r="I8" s="187"/>
      <c r="J8" s="187">
        <f t="shared" si="2"/>
        <v>0</v>
      </c>
      <c r="K8" s="187">
        <f t="shared" si="2"/>
        <v>0</v>
      </c>
      <c r="L8" s="188">
        <f t="shared" si="2"/>
        <v>0</v>
      </c>
      <c r="M8" s="128">
        <v>15627227</v>
      </c>
    </row>
    <row r="9" spans="1:13" s="98" customFormat="1" ht="12">
      <c r="A9" s="94"/>
      <c r="B9" s="95"/>
      <c r="C9" s="95"/>
      <c r="D9" s="96" t="s">
        <v>22</v>
      </c>
      <c r="E9" s="97">
        <v>7</v>
      </c>
      <c r="F9" s="163">
        <f t="shared" si="3"/>
        <v>1300000</v>
      </c>
      <c r="G9" s="124"/>
      <c r="H9" s="186">
        <f>1300*1000</f>
        <v>1300000</v>
      </c>
      <c r="I9" s="187"/>
      <c r="J9" s="187">
        <f t="shared" si="2"/>
        <v>0</v>
      </c>
      <c r="K9" s="187">
        <f t="shared" si="2"/>
        <v>0</v>
      </c>
      <c r="L9" s="188">
        <f t="shared" si="2"/>
        <v>0</v>
      </c>
      <c r="M9" s="128">
        <v>1402287</v>
      </c>
    </row>
    <row r="10" spans="1:13" s="98" customFormat="1" ht="12">
      <c r="A10" s="94"/>
      <c r="B10" s="95"/>
      <c r="C10" s="95"/>
      <c r="D10" s="96" t="s">
        <v>23</v>
      </c>
      <c r="E10" s="97">
        <v>8</v>
      </c>
      <c r="F10" s="163">
        <f t="shared" si="3"/>
        <v>10500000</v>
      </c>
      <c r="G10" s="124"/>
      <c r="H10" s="186">
        <f>(10500-548)*1000</f>
        <v>9952000</v>
      </c>
      <c r="I10" s="187">
        <v>548000</v>
      </c>
      <c r="J10" s="187">
        <f t="shared" si="2"/>
        <v>0</v>
      </c>
      <c r="K10" s="187">
        <f t="shared" si="2"/>
        <v>0</v>
      </c>
      <c r="L10" s="188">
        <f t="shared" si="2"/>
        <v>0</v>
      </c>
      <c r="M10" s="128">
        <v>15146254</v>
      </c>
    </row>
    <row r="11" spans="1:13" s="98" customFormat="1" ht="12">
      <c r="A11" s="94"/>
      <c r="B11" s="95"/>
      <c r="C11" s="95"/>
      <c r="D11" s="96" t="s">
        <v>24</v>
      </c>
      <c r="E11" s="97">
        <v>9</v>
      </c>
      <c r="F11" s="163">
        <f t="shared" si="3"/>
        <v>10400000</v>
      </c>
      <c r="G11" s="124"/>
      <c r="H11" s="186">
        <v>9400000</v>
      </c>
      <c r="I11" s="187">
        <v>1000000</v>
      </c>
      <c r="J11" s="187">
        <f t="shared" si="2"/>
        <v>0</v>
      </c>
      <c r="K11" s="187">
        <f t="shared" si="2"/>
        <v>0</v>
      </c>
      <c r="L11" s="188">
        <f t="shared" si="2"/>
        <v>0</v>
      </c>
      <c r="M11" s="128">
        <v>12266252</v>
      </c>
    </row>
    <row r="12" spans="1:13" s="98" customFormat="1" ht="12">
      <c r="A12" s="94"/>
      <c r="B12" s="95"/>
      <c r="C12" s="95"/>
      <c r="D12" s="96" t="s">
        <v>25</v>
      </c>
      <c r="E12" s="97">
        <v>10</v>
      </c>
      <c r="F12" s="163">
        <f t="shared" si="3"/>
        <v>2000000</v>
      </c>
      <c r="G12" s="124"/>
      <c r="H12" s="186">
        <v>2000000</v>
      </c>
      <c r="I12" s="187"/>
      <c r="J12" s="187">
        <f t="shared" si="2"/>
        <v>0</v>
      </c>
      <c r="K12" s="187">
        <f t="shared" si="2"/>
        <v>0</v>
      </c>
      <c r="L12" s="188">
        <f t="shared" si="2"/>
        <v>0</v>
      </c>
      <c r="M12" s="128">
        <v>2837135</v>
      </c>
    </row>
    <row r="13" spans="1:13" s="98" customFormat="1" ht="12">
      <c r="A13" s="94"/>
      <c r="B13" s="95"/>
      <c r="C13" s="95"/>
      <c r="D13" s="96" t="s">
        <v>26</v>
      </c>
      <c r="E13" s="97">
        <v>11</v>
      </c>
      <c r="F13" s="163">
        <f t="shared" si="3"/>
        <v>68585000</v>
      </c>
      <c r="G13" s="124"/>
      <c r="H13" s="186">
        <v>68585000</v>
      </c>
      <c r="I13" s="187"/>
      <c r="J13" s="187">
        <f t="shared" si="2"/>
        <v>0</v>
      </c>
      <c r="K13" s="187">
        <f t="shared" si="2"/>
        <v>0</v>
      </c>
      <c r="L13" s="188">
        <f t="shared" si="2"/>
        <v>0</v>
      </c>
      <c r="M13" s="128">
        <v>64386471</v>
      </c>
    </row>
    <row r="14" spans="1:13" s="98" customFormat="1" ht="12">
      <c r="A14" s="94"/>
      <c r="B14" s="95"/>
      <c r="C14" s="95"/>
      <c r="D14" s="96" t="s">
        <v>27</v>
      </c>
      <c r="E14" s="97">
        <v>12</v>
      </c>
      <c r="F14" s="163">
        <f t="shared" si="3"/>
        <v>3300000</v>
      </c>
      <c r="G14" s="124"/>
      <c r="H14" s="186">
        <v>1800000</v>
      </c>
      <c r="I14" s="187"/>
      <c r="J14" s="187">
        <f t="shared" si="2"/>
        <v>0</v>
      </c>
      <c r="K14" s="187">
        <f t="shared" si="2"/>
        <v>0</v>
      </c>
      <c r="L14" s="188">
        <v>1500000</v>
      </c>
      <c r="M14" s="128">
        <v>3295463</v>
      </c>
    </row>
    <row r="15" spans="1:13" s="98" customFormat="1" ht="12">
      <c r="A15" s="94"/>
      <c r="B15" s="95"/>
      <c r="C15" s="96"/>
      <c r="D15" s="96" t="s">
        <v>28</v>
      </c>
      <c r="E15" s="97">
        <v>13</v>
      </c>
      <c r="F15" s="163">
        <f t="shared" si="3"/>
        <v>7700369</v>
      </c>
      <c r="G15" s="124"/>
      <c r="H15" s="186">
        <f>(7700-245)*1000</f>
        <v>7455000</v>
      </c>
      <c r="I15" s="187"/>
      <c r="J15" s="187">
        <v>245369</v>
      </c>
      <c r="K15" s="187">
        <f t="shared" si="2"/>
        <v>0</v>
      </c>
      <c r="L15" s="188">
        <f t="shared" si="2"/>
        <v>0</v>
      </c>
      <c r="M15" s="128">
        <v>10693590</v>
      </c>
    </row>
    <row r="16" spans="1:13" s="37" customFormat="1" ht="12">
      <c r="A16" s="28"/>
      <c r="B16" s="47" t="s">
        <v>29</v>
      </c>
      <c r="C16" s="39"/>
      <c r="D16" s="39"/>
      <c r="E16" s="40">
        <v>14</v>
      </c>
      <c r="F16" s="164">
        <f t="shared" si="3"/>
        <v>31000000</v>
      </c>
      <c r="G16" s="130"/>
      <c r="H16" s="179">
        <v>31000000</v>
      </c>
      <c r="I16" s="180"/>
      <c r="J16" s="180">
        <f t="shared" si="2"/>
        <v>0</v>
      </c>
      <c r="K16" s="180">
        <f t="shared" si="2"/>
        <v>0</v>
      </c>
      <c r="L16" s="181">
        <f t="shared" si="2"/>
        <v>0</v>
      </c>
      <c r="M16" s="182">
        <v>30357000</v>
      </c>
    </row>
    <row r="17" spans="1:13" s="37" customFormat="1" ht="12">
      <c r="A17" s="28"/>
      <c r="B17" s="47" t="s">
        <v>31</v>
      </c>
      <c r="C17" s="39"/>
      <c r="D17" s="39"/>
      <c r="E17" s="40">
        <v>15</v>
      </c>
      <c r="F17" s="164">
        <f t="shared" si="3"/>
        <v>1200000</v>
      </c>
      <c r="G17" s="130"/>
      <c r="H17" s="179">
        <v>1200000</v>
      </c>
      <c r="I17" s="180"/>
      <c r="J17" s="180">
        <f t="shared" si="2"/>
        <v>0</v>
      </c>
      <c r="K17" s="180">
        <f t="shared" si="2"/>
        <v>0</v>
      </c>
      <c r="L17" s="181">
        <f t="shared" si="2"/>
        <v>0</v>
      </c>
      <c r="M17" s="182">
        <v>1137000</v>
      </c>
    </row>
    <row r="18" spans="1:13" s="37" customFormat="1" ht="12">
      <c r="A18" s="28"/>
      <c r="B18" s="48" t="s">
        <v>33</v>
      </c>
      <c r="C18" s="49"/>
      <c r="D18" s="49"/>
      <c r="E18" s="50">
        <v>16</v>
      </c>
      <c r="F18" s="164">
        <f t="shared" si="3"/>
        <v>8500000</v>
      </c>
      <c r="G18" s="130"/>
      <c r="H18" s="179">
        <v>8500000</v>
      </c>
      <c r="I18" s="180"/>
      <c r="J18" s="180">
        <f t="shared" si="2"/>
        <v>0</v>
      </c>
      <c r="K18" s="180">
        <f t="shared" si="2"/>
        <v>0</v>
      </c>
      <c r="L18" s="181">
        <f t="shared" si="2"/>
        <v>0</v>
      </c>
      <c r="M18" s="182">
        <v>3159500</v>
      </c>
    </row>
    <row r="19" spans="1:13" s="37" customFormat="1" ht="12">
      <c r="A19" s="28"/>
      <c r="B19" s="48" t="s">
        <v>35</v>
      </c>
      <c r="C19" s="49"/>
      <c r="D19" s="49"/>
      <c r="E19" s="50">
        <v>17</v>
      </c>
      <c r="F19" s="164">
        <f t="shared" si="3"/>
        <v>3203000</v>
      </c>
      <c r="G19" s="130"/>
      <c r="H19" s="179">
        <v>3203000</v>
      </c>
      <c r="I19" s="180"/>
      <c r="J19" s="180">
        <f t="shared" si="2"/>
        <v>0</v>
      </c>
      <c r="K19" s="180">
        <f t="shared" si="2"/>
        <v>0</v>
      </c>
      <c r="L19" s="181">
        <f t="shared" si="2"/>
        <v>0</v>
      </c>
      <c r="M19" s="182">
        <v>3622000</v>
      </c>
    </row>
    <row r="20" spans="1:13" s="37" customFormat="1" ht="12">
      <c r="A20" s="28"/>
      <c r="B20" s="48" t="s">
        <v>37</v>
      </c>
      <c r="C20" s="48"/>
      <c r="D20" s="48"/>
      <c r="E20" s="50">
        <v>18</v>
      </c>
      <c r="F20" s="164">
        <f t="shared" si="3"/>
        <v>100000</v>
      </c>
      <c r="G20" s="130"/>
      <c r="H20" s="179">
        <v>100000</v>
      </c>
      <c r="I20" s="180"/>
      <c r="J20" s="180">
        <f t="shared" si="2"/>
        <v>0</v>
      </c>
      <c r="K20" s="180">
        <f t="shared" si="2"/>
        <v>0</v>
      </c>
      <c r="L20" s="181">
        <f t="shared" si="2"/>
        <v>0</v>
      </c>
      <c r="M20" s="182">
        <v>138000</v>
      </c>
    </row>
    <row r="21" spans="1:13" s="37" customFormat="1" ht="12">
      <c r="A21" s="28"/>
      <c r="B21" s="48" t="s">
        <v>39</v>
      </c>
      <c r="C21" s="48"/>
      <c r="D21" s="48"/>
      <c r="E21" s="50">
        <v>19</v>
      </c>
      <c r="F21" s="164">
        <f t="shared" si="3"/>
        <v>0</v>
      </c>
      <c r="G21" s="130"/>
      <c r="H21" s="179"/>
      <c r="I21" s="180"/>
      <c r="J21" s="180">
        <f aca="true" t="shared" si="4" ref="J21:L27">O21/1000</f>
        <v>0</v>
      </c>
      <c r="K21" s="180">
        <f t="shared" si="4"/>
        <v>0</v>
      </c>
      <c r="L21" s="181">
        <f t="shared" si="4"/>
        <v>0</v>
      </c>
      <c r="M21" s="182">
        <v>0</v>
      </c>
    </row>
    <row r="22" spans="1:13" s="37" customFormat="1" ht="12">
      <c r="A22" s="28"/>
      <c r="B22" s="48" t="s">
        <v>41</v>
      </c>
      <c r="C22" s="48"/>
      <c r="D22" s="48"/>
      <c r="E22" s="50">
        <v>20</v>
      </c>
      <c r="F22" s="164">
        <f t="shared" si="3"/>
        <v>2499817.85</v>
      </c>
      <c r="G22" s="130"/>
      <c r="H22" s="179">
        <v>2409000</v>
      </c>
      <c r="I22" s="180"/>
      <c r="J22" s="137">
        <f>61140.28+29677.57</f>
        <v>90817.85</v>
      </c>
      <c r="K22" s="180"/>
      <c r="L22" s="181">
        <f t="shared" si="4"/>
        <v>0</v>
      </c>
      <c r="M22" s="182">
        <v>3546393</v>
      </c>
    </row>
    <row r="23" spans="1:13" s="37" customFormat="1" ht="12">
      <c r="A23" s="28"/>
      <c r="B23" s="48" t="s">
        <v>43</v>
      </c>
      <c r="C23" s="48"/>
      <c r="D23" s="48"/>
      <c r="E23" s="50">
        <v>21</v>
      </c>
      <c r="F23" s="164">
        <f t="shared" si="3"/>
        <v>155515173.11</v>
      </c>
      <c r="G23" s="130"/>
      <c r="H23" s="179">
        <v>153218000</v>
      </c>
      <c r="I23" s="180"/>
      <c r="J23" s="137">
        <v>2297173.11</v>
      </c>
      <c r="K23" s="180"/>
      <c r="L23" s="181">
        <f t="shared" si="4"/>
        <v>0</v>
      </c>
      <c r="M23" s="182">
        <v>153303301</v>
      </c>
    </row>
    <row r="24" spans="1:13" s="37" customFormat="1" ht="12">
      <c r="A24" s="28"/>
      <c r="B24" s="48" t="s">
        <v>45</v>
      </c>
      <c r="C24" s="48"/>
      <c r="D24" s="48"/>
      <c r="E24" s="50">
        <v>22</v>
      </c>
      <c r="F24" s="164">
        <f t="shared" si="3"/>
        <v>74784454.06</v>
      </c>
      <c r="G24" s="130"/>
      <c r="H24" s="179">
        <v>74527000</v>
      </c>
      <c r="I24" s="180"/>
      <c r="J24" s="137">
        <f>177162.62+9151.76+53807.23+17332.45</f>
        <v>257454.06000000003</v>
      </c>
      <c r="K24" s="180"/>
      <c r="L24" s="181">
        <f t="shared" si="4"/>
        <v>0</v>
      </c>
      <c r="M24" s="182">
        <v>70390838</v>
      </c>
    </row>
    <row r="25" spans="1:13" s="37" customFormat="1" ht="12">
      <c r="A25" s="28"/>
      <c r="B25" s="48" t="s">
        <v>46</v>
      </c>
      <c r="C25" s="48"/>
      <c r="D25" s="48"/>
      <c r="E25" s="50">
        <v>23</v>
      </c>
      <c r="F25" s="164">
        <f t="shared" si="3"/>
        <v>22999564.73</v>
      </c>
      <c r="G25" s="130"/>
      <c r="H25" s="179">
        <f>(23000-6699)*1000</f>
        <v>16301000</v>
      </c>
      <c r="I25" s="180"/>
      <c r="J25" s="137">
        <f>146071.02+6408597.35+143896.36</f>
        <v>6698564.7299999995</v>
      </c>
      <c r="K25" s="180"/>
      <c r="L25" s="181">
        <f t="shared" si="4"/>
        <v>0</v>
      </c>
      <c r="M25" s="182">
        <v>22319777</v>
      </c>
    </row>
    <row r="26" spans="1:13" s="37" customFormat="1" ht="12">
      <c r="A26" s="28"/>
      <c r="B26" s="48" t="s">
        <v>48</v>
      </c>
      <c r="C26" s="48"/>
      <c r="D26" s="48"/>
      <c r="E26" s="50">
        <v>24</v>
      </c>
      <c r="F26" s="164">
        <f t="shared" si="3"/>
        <v>12393096.85</v>
      </c>
      <c r="G26" s="130"/>
      <c r="H26" s="179">
        <v>12360000</v>
      </c>
      <c r="I26" s="180"/>
      <c r="J26" s="137">
        <v>33096.85</v>
      </c>
      <c r="K26" s="180"/>
      <c r="L26" s="181">
        <f t="shared" si="4"/>
        <v>0</v>
      </c>
      <c r="M26" s="182">
        <v>15440599</v>
      </c>
    </row>
    <row r="27" spans="1:13" s="37" customFormat="1" ht="12.75" thickBot="1">
      <c r="A27" s="28"/>
      <c r="B27" s="47" t="s">
        <v>50</v>
      </c>
      <c r="C27" s="47"/>
      <c r="D27" s="47"/>
      <c r="E27" s="40">
        <v>25</v>
      </c>
      <c r="F27" s="164">
        <f t="shared" si="3"/>
        <v>17000000</v>
      </c>
      <c r="G27" s="130"/>
      <c r="H27" s="183">
        <v>17000000</v>
      </c>
      <c r="I27" s="184"/>
      <c r="J27" s="184">
        <f t="shared" si="4"/>
        <v>0</v>
      </c>
      <c r="K27" s="184">
        <f t="shared" si="4"/>
        <v>0</v>
      </c>
      <c r="L27" s="185">
        <f t="shared" si="4"/>
        <v>0</v>
      </c>
      <c r="M27" s="182">
        <v>17072904</v>
      </c>
    </row>
    <row r="28" spans="1:13" ht="13.5" thickBot="1">
      <c r="A28" s="54" t="s">
        <v>52</v>
      </c>
      <c r="B28" s="55"/>
      <c r="C28" s="55"/>
      <c r="D28" s="55"/>
      <c r="E28" s="21">
        <v>26</v>
      </c>
      <c r="F28" s="161">
        <f>SUM(F29:F45)</f>
        <v>611323476</v>
      </c>
      <c r="G28" s="114">
        <f aca="true" t="shared" si="5" ref="G28:M28">SUM(G29:G45)</f>
        <v>0</v>
      </c>
      <c r="H28" s="115">
        <f t="shared" si="5"/>
        <v>598379000</v>
      </c>
      <c r="I28" s="116">
        <f t="shared" si="5"/>
        <v>1548000</v>
      </c>
      <c r="J28" s="116">
        <f t="shared" si="5"/>
        <v>9622476</v>
      </c>
      <c r="K28" s="116">
        <f t="shared" si="5"/>
        <v>274000</v>
      </c>
      <c r="L28" s="115">
        <f t="shared" si="5"/>
        <v>1500000</v>
      </c>
      <c r="M28" s="117">
        <f t="shared" si="5"/>
        <v>606386010</v>
      </c>
    </row>
    <row r="29" spans="1:13" s="37" customFormat="1" ht="12">
      <c r="A29" s="28" t="s">
        <v>15</v>
      </c>
      <c r="B29" s="39" t="s">
        <v>53</v>
      </c>
      <c r="C29" s="39"/>
      <c r="D29" s="39"/>
      <c r="E29" s="40">
        <v>27</v>
      </c>
      <c r="F29" s="164">
        <f t="shared" si="3"/>
        <v>166759000</v>
      </c>
      <c r="G29" s="119"/>
      <c r="H29" s="120">
        <v>165211000</v>
      </c>
      <c r="I29" s="121">
        <v>1548000</v>
      </c>
      <c r="J29" s="121">
        <v>0</v>
      </c>
      <c r="K29" s="121">
        <v>0</v>
      </c>
      <c r="L29" s="120">
        <v>0</v>
      </c>
      <c r="M29" s="122">
        <v>174413529</v>
      </c>
    </row>
    <row r="30" spans="1:13" s="37" customFormat="1" ht="12">
      <c r="A30" s="28"/>
      <c r="B30" s="47" t="s">
        <v>29</v>
      </c>
      <c r="C30" s="47"/>
      <c r="D30" s="47"/>
      <c r="E30" s="40">
        <v>28</v>
      </c>
      <c r="F30" s="164">
        <f t="shared" si="3"/>
        <v>31000000</v>
      </c>
      <c r="G30" s="135"/>
      <c r="H30" s="136">
        <v>31000000</v>
      </c>
      <c r="I30" s="137"/>
      <c r="J30" s="137">
        <v>0</v>
      </c>
      <c r="K30" s="137">
        <v>0</v>
      </c>
      <c r="L30" s="136">
        <v>0</v>
      </c>
      <c r="M30" s="138">
        <v>30357000</v>
      </c>
    </row>
    <row r="31" spans="1:13" s="37" customFormat="1" ht="12">
      <c r="A31" s="28"/>
      <c r="B31" s="47" t="s">
        <v>31</v>
      </c>
      <c r="C31" s="47"/>
      <c r="D31" s="47"/>
      <c r="E31" s="40">
        <v>29</v>
      </c>
      <c r="F31" s="164">
        <f t="shared" si="3"/>
        <v>1200000</v>
      </c>
      <c r="G31" s="135"/>
      <c r="H31" s="136">
        <v>1200000</v>
      </c>
      <c r="I31" s="137"/>
      <c r="J31" s="137">
        <v>0</v>
      </c>
      <c r="K31" s="137">
        <v>0</v>
      </c>
      <c r="L31" s="136">
        <v>0</v>
      </c>
      <c r="M31" s="138">
        <f>M17</f>
        <v>1137000</v>
      </c>
    </row>
    <row r="32" spans="1:13" s="37" customFormat="1" ht="12">
      <c r="A32" s="28"/>
      <c r="B32" s="48" t="s">
        <v>33</v>
      </c>
      <c r="C32" s="49"/>
      <c r="D32" s="49"/>
      <c r="E32" s="50">
        <v>30</v>
      </c>
      <c r="F32" s="164">
        <f t="shared" si="3"/>
        <v>8500000</v>
      </c>
      <c r="G32" s="135"/>
      <c r="H32" s="136">
        <v>8500000</v>
      </c>
      <c r="I32" s="137"/>
      <c r="J32" s="137">
        <v>0</v>
      </c>
      <c r="K32" s="137">
        <v>0</v>
      </c>
      <c r="L32" s="136">
        <v>0</v>
      </c>
      <c r="M32" s="138">
        <f>M18</f>
        <v>3159500</v>
      </c>
    </row>
    <row r="33" spans="1:13" s="37" customFormat="1" ht="12">
      <c r="A33" s="28"/>
      <c r="B33" s="48" t="s">
        <v>35</v>
      </c>
      <c r="C33" s="48"/>
      <c r="D33" s="48"/>
      <c r="E33" s="50">
        <v>31</v>
      </c>
      <c r="F33" s="164">
        <f t="shared" si="3"/>
        <v>3203000</v>
      </c>
      <c r="G33" s="135"/>
      <c r="H33" s="136">
        <v>3203000</v>
      </c>
      <c r="I33" s="137"/>
      <c r="J33" s="137">
        <v>0</v>
      </c>
      <c r="K33" s="137">
        <v>0</v>
      </c>
      <c r="L33" s="136">
        <v>0</v>
      </c>
      <c r="M33" s="138">
        <f>M19</f>
        <v>3622000</v>
      </c>
    </row>
    <row r="34" spans="1:13" s="37" customFormat="1" ht="12">
      <c r="A34" s="28"/>
      <c r="B34" s="48" t="s">
        <v>55</v>
      </c>
      <c r="C34" s="48"/>
      <c r="D34" s="48"/>
      <c r="E34" s="50">
        <v>32</v>
      </c>
      <c r="F34" s="164">
        <f t="shared" si="3"/>
        <v>0</v>
      </c>
      <c r="G34" s="135"/>
      <c r="H34" s="136"/>
      <c r="I34" s="137"/>
      <c r="J34" s="137">
        <v>0</v>
      </c>
      <c r="K34" s="137">
        <v>0</v>
      </c>
      <c r="L34" s="136">
        <v>0</v>
      </c>
      <c r="M34" s="138">
        <v>0</v>
      </c>
    </row>
    <row r="35" spans="1:13" s="37" customFormat="1" ht="12">
      <c r="A35" s="28"/>
      <c r="B35" s="48" t="s">
        <v>37</v>
      </c>
      <c r="C35" s="48"/>
      <c r="D35" s="48"/>
      <c r="E35" s="50">
        <v>33</v>
      </c>
      <c r="F35" s="164">
        <f t="shared" si="3"/>
        <v>100000</v>
      </c>
      <c r="G35" s="135"/>
      <c r="H35" s="136">
        <v>100000</v>
      </c>
      <c r="I35" s="137"/>
      <c r="J35" s="137">
        <v>0</v>
      </c>
      <c r="K35" s="137">
        <v>0</v>
      </c>
      <c r="L35" s="136">
        <v>0</v>
      </c>
      <c r="M35" s="138">
        <f>M20</f>
        <v>138000</v>
      </c>
    </row>
    <row r="36" spans="1:13" s="37" customFormat="1" ht="12">
      <c r="A36" s="28"/>
      <c r="B36" s="48" t="s">
        <v>39</v>
      </c>
      <c r="C36" s="48"/>
      <c r="D36" s="48"/>
      <c r="E36" s="50">
        <v>34</v>
      </c>
      <c r="F36" s="164">
        <f t="shared" si="3"/>
        <v>0</v>
      </c>
      <c r="G36" s="135"/>
      <c r="H36" s="136">
        <v>0</v>
      </c>
      <c r="I36" s="137"/>
      <c r="J36" s="137">
        <v>0</v>
      </c>
      <c r="K36" s="137">
        <v>0</v>
      </c>
      <c r="L36" s="136">
        <v>0</v>
      </c>
      <c r="M36" s="138">
        <v>0</v>
      </c>
    </row>
    <row r="37" spans="1:13" s="37" customFormat="1" ht="12">
      <c r="A37" s="28"/>
      <c r="B37" s="48" t="s">
        <v>57</v>
      </c>
      <c r="C37" s="48"/>
      <c r="D37" s="48"/>
      <c r="E37" s="50">
        <v>35</v>
      </c>
      <c r="F37" s="164">
        <f t="shared" si="3"/>
        <v>2499818</v>
      </c>
      <c r="G37" s="135"/>
      <c r="H37" s="136">
        <v>2409000</v>
      </c>
      <c r="I37" s="137"/>
      <c r="J37" s="137">
        <v>90818</v>
      </c>
      <c r="K37" s="137">
        <v>0</v>
      </c>
      <c r="L37" s="136">
        <v>0</v>
      </c>
      <c r="M37" s="138">
        <v>3569578</v>
      </c>
    </row>
    <row r="38" spans="1:13" s="37" customFormat="1" ht="12">
      <c r="A38" s="28"/>
      <c r="B38" s="48" t="s">
        <v>58</v>
      </c>
      <c r="C38" s="48"/>
      <c r="D38" s="48"/>
      <c r="E38" s="50">
        <v>36</v>
      </c>
      <c r="F38" s="164">
        <f t="shared" si="3"/>
        <v>51472000</v>
      </c>
      <c r="G38" s="135"/>
      <c r="H38" s="136">
        <v>51472000</v>
      </c>
      <c r="I38" s="137"/>
      <c r="J38" s="137">
        <v>0</v>
      </c>
      <c r="K38" s="137">
        <v>0</v>
      </c>
      <c r="L38" s="136">
        <v>0</v>
      </c>
      <c r="M38" s="138">
        <v>49027000</v>
      </c>
    </row>
    <row r="39" spans="1:13" s="37" customFormat="1" ht="12">
      <c r="A39" s="28"/>
      <c r="B39" s="48" t="s">
        <v>60</v>
      </c>
      <c r="C39" s="48"/>
      <c r="D39" s="48"/>
      <c r="E39" s="50">
        <v>37</v>
      </c>
      <c r="F39" s="164">
        <f t="shared" si="3"/>
        <v>155515173</v>
      </c>
      <c r="G39" s="135"/>
      <c r="H39" s="136">
        <v>153218000</v>
      </c>
      <c r="I39" s="137"/>
      <c r="J39" s="137">
        <v>2297173</v>
      </c>
      <c r="K39" s="137">
        <v>0</v>
      </c>
      <c r="L39" s="136">
        <v>0</v>
      </c>
      <c r="M39" s="138">
        <v>153303301</v>
      </c>
    </row>
    <row r="40" spans="1:13" s="37" customFormat="1" ht="12">
      <c r="A40" s="28"/>
      <c r="B40" s="48" t="s">
        <v>61</v>
      </c>
      <c r="C40" s="48"/>
      <c r="D40" s="48"/>
      <c r="E40" s="50">
        <v>38</v>
      </c>
      <c r="F40" s="164">
        <f t="shared" si="3"/>
        <v>74784454</v>
      </c>
      <c r="G40" s="135"/>
      <c r="H40" s="136">
        <v>74527000</v>
      </c>
      <c r="I40" s="137"/>
      <c r="J40" s="137">
        <v>257454</v>
      </c>
      <c r="K40" s="137">
        <v>0</v>
      </c>
      <c r="L40" s="136">
        <v>0</v>
      </c>
      <c r="M40" s="138">
        <v>70390837</v>
      </c>
    </row>
    <row r="41" spans="1:13" s="37" customFormat="1" ht="12">
      <c r="A41" s="28"/>
      <c r="B41" s="48" t="s">
        <v>46</v>
      </c>
      <c r="C41" s="48"/>
      <c r="D41" s="48"/>
      <c r="E41" s="50">
        <v>39</v>
      </c>
      <c r="F41" s="164">
        <f t="shared" si="3"/>
        <v>22999565</v>
      </c>
      <c r="G41" s="135"/>
      <c r="H41" s="136">
        <v>16301000</v>
      </c>
      <c r="I41" s="137"/>
      <c r="J41" s="137">
        <v>6698565</v>
      </c>
      <c r="K41" s="137">
        <v>0</v>
      </c>
      <c r="L41" s="136">
        <v>0</v>
      </c>
      <c r="M41" s="138">
        <v>22319777</v>
      </c>
    </row>
    <row r="42" spans="1:13" s="37" customFormat="1" ht="12">
      <c r="A42" s="28"/>
      <c r="B42" s="48" t="s">
        <v>62</v>
      </c>
      <c r="C42" s="48"/>
      <c r="D42" s="48"/>
      <c r="E42" s="50">
        <v>40</v>
      </c>
      <c r="F42" s="164">
        <f t="shared" si="3"/>
        <v>12393097</v>
      </c>
      <c r="G42" s="135"/>
      <c r="H42" s="136">
        <v>12360000</v>
      </c>
      <c r="I42" s="137"/>
      <c r="J42" s="137">
        <v>33097</v>
      </c>
      <c r="K42" s="137">
        <v>0</v>
      </c>
      <c r="L42" s="136">
        <v>0</v>
      </c>
      <c r="M42" s="138">
        <v>15440599</v>
      </c>
    </row>
    <row r="43" spans="1:13" s="37" customFormat="1" ht="12">
      <c r="A43" s="28"/>
      <c r="B43" s="48" t="s">
        <v>63</v>
      </c>
      <c r="C43" s="48"/>
      <c r="D43" s="48"/>
      <c r="E43" s="50">
        <v>41</v>
      </c>
      <c r="F43" s="164">
        <f t="shared" si="3"/>
        <v>61123369</v>
      </c>
      <c r="G43" s="135"/>
      <c r="H43" s="136">
        <v>60878000</v>
      </c>
      <c r="I43" s="137"/>
      <c r="J43" s="137">
        <v>245369</v>
      </c>
      <c r="K43" s="137">
        <v>0</v>
      </c>
      <c r="L43" s="136">
        <v>0</v>
      </c>
      <c r="M43" s="138">
        <v>60641342</v>
      </c>
    </row>
    <row r="44" spans="1:13" s="37" customFormat="1" ht="12">
      <c r="A44" s="28"/>
      <c r="B44" s="48" t="s">
        <v>64</v>
      </c>
      <c r="C44" s="48"/>
      <c r="D44" s="48"/>
      <c r="E44" s="50">
        <v>42</v>
      </c>
      <c r="F44" s="164">
        <f t="shared" si="3"/>
        <v>1774000</v>
      </c>
      <c r="G44" s="135"/>
      <c r="H44" s="139" t="s">
        <v>99</v>
      </c>
      <c r="I44" s="137"/>
      <c r="J44" s="137">
        <v>0</v>
      </c>
      <c r="K44" s="137">
        <v>274000</v>
      </c>
      <c r="L44" s="136">
        <v>1500000</v>
      </c>
      <c r="M44" s="138">
        <v>875000</v>
      </c>
    </row>
    <row r="45" spans="1:13" s="37" customFormat="1" ht="12">
      <c r="A45" s="65"/>
      <c r="B45" s="66" t="s">
        <v>50</v>
      </c>
      <c r="C45" s="66"/>
      <c r="D45" s="66"/>
      <c r="E45" s="67">
        <v>43</v>
      </c>
      <c r="F45" s="165">
        <f t="shared" si="3"/>
        <v>18000000</v>
      </c>
      <c r="G45" s="141"/>
      <c r="H45" s="142">
        <v>18000000</v>
      </c>
      <c r="I45" s="143"/>
      <c r="J45" s="143">
        <v>0</v>
      </c>
      <c r="K45" s="143">
        <v>0</v>
      </c>
      <c r="L45" s="142">
        <v>0</v>
      </c>
      <c r="M45" s="144">
        <v>17991547</v>
      </c>
    </row>
    <row r="46" spans="1:13" s="37" customFormat="1" ht="12.75" thickBot="1">
      <c r="A46" s="73" t="s">
        <v>66</v>
      </c>
      <c r="B46" s="74"/>
      <c r="C46" s="74"/>
      <c r="D46" s="74"/>
      <c r="E46" s="40">
        <v>44</v>
      </c>
      <c r="F46" s="147">
        <f>F29+F34+F38+F43+F44+F45-F4-F27</f>
        <v>900000</v>
      </c>
      <c r="G46" s="146">
        <f>G29+G34+G38+G43+G44+G45+-G4-G27</f>
        <v>0</v>
      </c>
      <c r="H46" s="146">
        <f>H29+H34+H38+H43+H45-H4-H27</f>
        <v>900000</v>
      </c>
      <c r="I46" s="146">
        <f>I29+I34+I38+I43+I44+I45-I4-I27</f>
        <v>0</v>
      </c>
      <c r="J46" s="146">
        <f>J29+J34+J38+J43+J44+J45-J4-J27</f>
        <v>0</v>
      </c>
      <c r="K46" s="146">
        <f>K29+K34+K38+K43+K44+K45-K4-K27</f>
        <v>0</v>
      </c>
      <c r="L46" s="146">
        <f>L29+L34+L38+L43+L44+L45-L4-L27</f>
        <v>0</v>
      </c>
      <c r="M46" s="147">
        <f>M29+M34+M38+M43+M44+M45-M4-M27</f>
        <v>3191360</v>
      </c>
    </row>
    <row r="47" spans="1:13" ht="13.5" thickBot="1">
      <c r="A47" s="54" t="s">
        <v>67</v>
      </c>
      <c r="B47" s="55"/>
      <c r="C47" s="55"/>
      <c r="D47" s="55"/>
      <c r="E47" s="21">
        <v>45</v>
      </c>
      <c r="F47" s="161">
        <f>F28-F3</f>
        <v>900000.3999999762</v>
      </c>
      <c r="G47" s="114">
        <f aca="true" t="shared" si="6" ref="G47:M47">G28-G3</f>
        <v>0</v>
      </c>
      <c r="H47" s="115">
        <f t="shared" si="6"/>
        <v>900000</v>
      </c>
      <c r="I47" s="116">
        <f t="shared" si="6"/>
        <v>0</v>
      </c>
      <c r="J47" s="116">
        <f t="shared" si="6"/>
        <v>0.40000000037252903</v>
      </c>
      <c r="K47" s="116">
        <f t="shared" si="6"/>
        <v>0</v>
      </c>
      <c r="L47" s="115">
        <f t="shared" si="6"/>
        <v>0</v>
      </c>
      <c r="M47" s="117">
        <f t="shared" si="6"/>
        <v>3214544</v>
      </c>
    </row>
    <row r="48" spans="1:5" ht="12.75">
      <c r="A48" s="80" t="s">
        <v>68</v>
      </c>
      <c r="B48" s="80"/>
      <c r="C48" s="80"/>
      <c r="D48" s="189">
        <v>39139</v>
      </c>
      <c r="E48" s="81"/>
    </row>
    <row r="49" spans="5:13" s="80" customFormat="1" ht="12">
      <c r="E49" s="81"/>
      <c r="F49" s="37"/>
      <c r="H49" s="92"/>
      <c r="I49" s="92"/>
      <c r="J49" s="92"/>
      <c r="K49" s="92"/>
      <c r="L49" s="92"/>
      <c r="M49" s="92"/>
    </row>
    <row r="50" spans="1:13" s="80" customFormat="1" ht="12">
      <c r="A50" s="84" t="s">
        <v>100</v>
      </c>
      <c r="E50" s="81"/>
      <c r="F50" s="167"/>
      <c r="H50" s="92"/>
      <c r="J50" s="156"/>
      <c r="L50" s="92"/>
      <c r="M50" s="92"/>
    </row>
    <row r="51" spans="1:13" s="80" customFormat="1" ht="12">
      <c r="A51" s="84"/>
      <c r="B51" s="84"/>
      <c r="C51" s="84"/>
      <c r="D51" s="84"/>
      <c r="E51" s="81"/>
      <c r="F51" s="37"/>
      <c r="H51" s="92"/>
      <c r="I51" s="92"/>
      <c r="J51" s="92"/>
      <c r="K51" s="92"/>
      <c r="L51" s="92"/>
      <c r="M51" s="92"/>
    </row>
    <row r="52" spans="1:6" s="92" customFormat="1" ht="12">
      <c r="A52" s="84"/>
      <c r="B52" s="84"/>
      <c r="C52" s="84"/>
      <c r="D52" s="84"/>
      <c r="E52" s="90"/>
      <c r="F52" s="37"/>
    </row>
    <row r="53" spans="1:6" s="92" customFormat="1" ht="12">
      <c r="A53" s="84"/>
      <c r="B53" s="84"/>
      <c r="C53" s="84"/>
      <c r="D53" s="84"/>
      <c r="E53" s="90"/>
      <c r="F53" s="37"/>
    </row>
    <row r="54" spans="1:6" s="92" customFormat="1" ht="12">
      <c r="A54" s="84"/>
      <c r="B54" s="84"/>
      <c r="C54" s="84"/>
      <c r="D54" s="84"/>
      <c r="E54" s="90"/>
      <c r="F54" s="37"/>
    </row>
  </sheetData>
  <mergeCells count="3">
    <mergeCell ref="A1:D1"/>
    <mergeCell ref="I1:L1"/>
    <mergeCell ref="C2:D2"/>
  </mergeCells>
  <printOptions horizontalCentered="1" verticalCentered="1"/>
  <pageMargins left="0.31496062992125984" right="0.2755905511811024" top="0.35433070866141736" bottom="0.35433070866141736" header="0.1968503937007874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Foukalova</dc:creator>
  <cp:keywords/>
  <dc:description/>
  <cp:lastModifiedBy>Janicek</cp:lastModifiedBy>
  <cp:lastPrinted>2007-03-09T16:24:33Z</cp:lastPrinted>
  <dcterms:created xsi:type="dcterms:W3CDTF">2007-02-17T11:42:05Z</dcterms:created>
  <dcterms:modified xsi:type="dcterms:W3CDTF">2007-03-11T22:05:05Z</dcterms:modified>
  <cp:category/>
  <cp:version/>
  <cp:contentType/>
  <cp:contentStatus/>
</cp:coreProperties>
</file>