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9120" activeTab="3"/>
  </bookViews>
  <sheets>
    <sheet name="str1-3" sheetId="1" r:id="rId1"/>
    <sheet name="str4" sheetId="2" r:id="rId2"/>
    <sheet name="od str 5" sheetId="3" r:id="rId3"/>
    <sheet name="pril1-CP" sheetId="4" r:id="rId4"/>
    <sheet name="příl.2-osnova rozp." sheetId="5" r:id="rId5"/>
    <sheet name="příl.3-opravy" sheetId="6" r:id="rId6"/>
    <sheet name="příl.4-odhad odpisu07" sheetId="7" r:id="rId7"/>
  </sheets>
  <definedNames>
    <definedName name="_xlnm.Print_Titles" localSheetId="6">'příl.4-odhad odpisu07'!$A:$B</definedName>
  </definedNames>
  <calcPr fullCalcOnLoad="1"/>
</workbook>
</file>

<file path=xl/sharedStrings.xml><?xml version="1.0" encoding="utf-8"?>
<sst xmlns="http://schemas.openxmlformats.org/spreadsheetml/2006/main" count="767" uniqueCount="496">
  <si>
    <t xml:space="preserve">   vklad NEI pro Program</t>
  </si>
  <si>
    <t>Příspěvek 2. Plán rozdělení prostředků na celouniverzitní aktivity a režijní pracoviště</t>
  </si>
  <si>
    <t>Příspěvek celkem</t>
  </si>
  <si>
    <t>Příspěvek 2. Celkem</t>
  </si>
  <si>
    <r>
      <t xml:space="preserve">RMU </t>
    </r>
    <r>
      <rPr>
        <vertAlign val="superscript"/>
        <sz val="10"/>
        <rFont val="Arial CE"/>
        <family val="2"/>
      </rPr>
      <t>1)</t>
    </r>
  </si>
  <si>
    <t>SUKB</t>
  </si>
  <si>
    <t>(v tis.Kč)</t>
  </si>
  <si>
    <t>index</t>
  </si>
  <si>
    <t>ř.</t>
  </si>
  <si>
    <t xml:space="preserve">   Činnost</t>
  </si>
  <si>
    <t xml:space="preserve">   C e l k e m</t>
  </si>
  <si>
    <t>Fakulta</t>
  </si>
  <si>
    <t>LF</t>
  </si>
  <si>
    <t>FF</t>
  </si>
  <si>
    <t>PrF</t>
  </si>
  <si>
    <t>FSS</t>
  </si>
  <si>
    <t>PřF</t>
  </si>
  <si>
    <t>FI</t>
  </si>
  <si>
    <t>PdF</t>
  </si>
  <si>
    <t>FSpS</t>
  </si>
  <si>
    <t>ESF</t>
  </si>
  <si>
    <t>MU</t>
  </si>
  <si>
    <t>celkem</t>
  </si>
  <si>
    <t>ÚVT</t>
  </si>
  <si>
    <t>RMU</t>
  </si>
  <si>
    <t>IV. Přínos fakult celkem</t>
  </si>
  <si>
    <t>vzděl.č.</t>
  </si>
  <si>
    <t>ostatní</t>
  </si>
  <si>
    <t>váha kritéria</t>
  </si>
  <si>
    <t>Přínos</t>
  </si>
  <si>
    <t>na studijní</t>
  </si>
  <si>
    <t>programy</t>
  </si>
  <si>
    <t>obory</t>
  </si>
  <si>
    <t>na</t>
  </si>
  <si>
    <t>kredity</t>
  </si>
  <si>
    <t>V. Financování celouniverzitních aktivit a režijních pracovišť</t>
  </si>
  <si>
    <t>H</t>
  </si>
  <si>
    <t>a</t>
  </si>
  <si>
    <t>D</t>
  </si>
  <si>
    <t>přep.</t>
  </si>
  <si>
    <t>podíl</t>
  </si>
  <si>
    <t>přínos</t>
  </si>
  <si>
    <t>počet</t>
  </si>
  <si>
    <t>plocha</t>
  </si>
  <si>
    <t>ze vzděl.</t>
  </si>
  <si>
    <t>dotace</t>
  </si>
  <si>
    <t>stud.</t>
  </si>
  <si>
    <t>zam.</t>
  </si>
  <si>
    <t>činnosti</t>
  </si>
  <si>
    <t>výzkum</t>
  </si>
  <si>
    <t>kap.</t>
  </si>
  <si>
    <t>plochy</t>
  </si>
  <si>
    <t>odpisy</t>
  </si>
  <si>
    <t>CJV</t>
  </si>
  <si>
    <t>CZS</t>
  </si>
  <si>
    <t>plán</t>
  </si>
  <si>
    <t>č.</t>
  </si>
  <si>
    <t>akce</t>
  </si>
  <si>
    <t>velká údržba</t>
  </si>
  <si>
    <t xml:space="preserve"> celkem účtováno přes rektorát</t>
  </si>
  <si>
    <t>is.muni.cz (inf.systém MU)</t>
  </si>
  <si>
    <t xml:space="preserve"> celkem účtováno přes FI</t>
  </si>
  <si>
    <t>81 - SKM</t>
  </si>
  <si>
    <t>96 - CJV</t>
  </si>
  <si>
    <t>97 - CZS</t>
  </si>
  <si>
    <t>z toho</t>
  </si>
  <si>
    <t>bez CA</t>
  </si>
  <si>
    <t>CA</t>
  </si>
  <si>
    <t>RR</t>
  </si>
  <si>
    <t>č.ř.</t>
  </si>
  <si>
    <t>MU celkem</t>
  </si>
  <si>
    <t>činnost</t>
  </si>
  <si>
    <t xml:space="preserve">Hospodářské </t>
  </si>
  <si>
    <t>středisko</t>
  </si>
  <si>
    <t>fakulty celkem</t>
  </si>
  <si>
    <t>Seznam příloh:</t>
  </si>
  <si>
    <t xml:space="preserve">příloha 1 - </t>
  </si>
  <si>
    <t xml:space="preserve">příloha 2 -  </t>
  </si>
  <si>
    <t>Plán</t>
  </si>
  <si>
    <t>Upravený</t>
  </si>
  <si>
    <t>Skutečnost</t>
  </si>
  <si>
    <t xml:space="preserve">   z toho:</t>
  </si>
  <si>
    <t xml:space="preserve">v tom - </t>
  </si>
  <si>
    <t>mzdy</t>
  </si>
  <si>
    <t>OON</t>
  </si>
  <si>
    <t>energie</t>
  </si>
  <si>
    <t>opravy, údržba</t>
  </si>
  <si>
    <t>materiál</t>
  </si>
  <si>
    <t>služby</t>
  </si>
  <si>
    <t>cestovné</t>
  </si>
  <si>
    <t>stipendia</t>
  </si>
  <si>
    <t>C-doktorská stipendia</t>
  </si>
  <si>
    <t>112*</t>
  </si>
  <si>
    <t>D-zahr.st.,CEEPUS,AKTION,Socrates</t>
  </si>
  <si>
    <t>113*</t>
  </si>
  <si>
    <t>F-vzdělávací projekty, I-rozvojové programy, J,M,H,E</t>
  </si>
  <si>
    <t>G-FRVŠ</t>
  </si>
  <si>
    <t>116*</t>
  </si>
  <si>
    <t>Ostatní dotace ze SR a od úz.celků bez VaV</t>
  </si>
  <si>
    <t>151*,161*</t>
  </si>
  <si>
    <t>Výzkumné záměry</t>
  </si>
  <si>
    <t>Projekty VaV ze SR a od úz.celků</t>
  </si>
  <si>
    <t>Doplňková činnost</t>
  </si>
  <si>
    <t>8*</t>
  </si>
  <si>
    <t>111*</t>
  </si>
  <si>
    <t>211*</t>
  </si>
  <si>
    <t>Čerpání fondů</t>
  </si>
  <si>
    <t>4*</t>
  </si>
  <si>
    <t>na vzděl.č.</t>
  </si>
  <si>
    <t>z toho vzdělávací č.</t>
  </si>
  <si>
    <t>přidělená</t>
  </si>
  <si>
    <t>přep.poč.</t>
  </si>
  <si>
    <t>koef.</t>
  </si>
  <si>
    <t>na V+V</t>
  </si>
  <si>
    <t>profesorů</t>
  </si>
  <si>
    <t>docentů</t>
  </si>
  <si>
    <t>ak.prac.</t>
  </si>
  <si>
    <t>abs.Mgr.</t>
  </si>
  <si>
    <t>stud.Ph.D.</t>
  </si>
  <si>
    <t>úspěš.</t>
  </si>
  <si>
    <t>tis. Kč</t>
  </si>
  <si>
    <t>CEP,CEZ</t>
  </si>
  <si>
    <t>VaV</t>
  </si>
  <si>
    <t>Ii</t>
  </si>
  <si>
    <t>P</t>
  </si>
  <si>
    <t>U</t>
  </si>
  <si>
    <t>A</t>
  </si>
  <si>
    <t>S</t>
  </si>
  <si>
    <t>Ki</t>
  </si>
  <si>
    <t>s</t>
  </si>
  <si>
    <t>c</t>
  </si>
  <si>
    <t>Qr</t>
  </si>
  <si>
    <t>Qr(vztaž)</t>
  </si>
  <si>
    <t>Qm</t>
  </si>
  <si>
    <t>Cesnet - poplatky</t>
  </si>
  <si>
    <t>dotace na</t>
  </si>
  <si>
    <t>na MU</t>
  </si>
  <si>
    <t>Podíl</t>
  </si>
  <si>
    <t>na spec.</t>
  </si>
  <si>
    <t>Celkem MU</t>
  </si>
  <si>
    <t>spec.výzk.</t>
  </si>
  <si>
    <t>spec.výzkum</t>
  </si>
  <si>
    <t>Přínos na</t>
  </si>
  <si>
    <t>specif.v</t>
  </si>
  <si>
    <t>na specif.</t>
  </si>
  <si>
    <t>odpis</t>
  </si>
  <si>
    <t>na tvorbě</t>
  </si>
  <si>
    <t>odpisů</t>
  </si>
  <si>
    <t>Ostatní</t>
  </si>
  <si>
    <t>Koeficient</t>
  </si>
  <si>
    <t>SKM</t>
  </si>
  <si>
    <t>zůstatek</t>
  </si>
  <si>
    <t>HS</t>
  </si>
  <si>
    <t>program</t>
  </si>
  <si>
    <t>94 - VMU</t>
  </si>
  <si>
    <t>Poříčí 31</t>
  </si>
  <si>
    <t>Poříčí 7</t>
  </si>
  <si>
    <t xml:space="preserve">příloha 3 -  </t>
  </si>
  <si>
    <t>Podíl na</t>
  </si>
  <si>
    <t>přínosu</t>
  </si>
  <si>
    <t>na ploše</t>
  </si>
  <si>
    <t>VMU</t>
  </si>
  <si>
    <t>příspěvek</t>
  </si>
  <si>
    <t>Fak. celk.</t>
  </si>
  <si>
    <t>G2004</t>
  </si>
  <si>
    <t>nedot.</t>
  </si>
  <si>
    <t>Celkem</t>
  </si>
  <si>
    <t>po</t>
  </si>
  <si>
    <t>Odp ND</t>
  </si>
  <si>
    <t>Odp D</t>
  </si>
  <si>
    <t>Odp RS</t>
  </si>
  <si>
    <t>Vkl NEI</t>
  </si>
  <si>
    <t>RCA</t>
  </si>
  <si>
    <t>RS</t>
  </si>
  <si>
    <t>Přísp 1</t>
  </si>
  <si>
    <t>Přísp 2</t>
  </si>
  <si>
    <t>dot.</t>
  </si>
  <si>
    <t>snížené</t>
  </si>
  <si>
    <t>vklad</t>
  </si>
  <si>
    <t>rež. souč.</t>
  </si>
  <si>
    <r>
      <t>152*,153*,157*,159*,167*,169*,</t>
    </r>
    <r>
      <rPr>
        <sz val="8"/>
        <color indexed="10"/>
        <rFont val="Arial CE"/>
        <family val="0"/>
      </rPr>
      <t>19*</t>
    </r>
    <r>
      <rPr>
        <sz val="8"/>
        <rFont val="Arial CE"/>
        <family val="2"/>
      </rPr>
      <t>,257*,259*,267*,269*</t>
    </r>
  </si>
  <si>
    <t>Schváleno v AS fakulty dne:</t>
  </si>
  <si>
    <t>Podpis:</t>
  </si>
  <si>
    <t>82 - Správa UKB</t>
  </si>
  <si>
    <t>99 - RMU</t>
  </si>
  <si>
    <t>NIV pro Program 233 330</t>
  </si>
  <si>
    <t xml:space="preserve">   Podprogram 233 333 - reko (Joštova, Kotlářská)</t>
  </si>
  <si>
    <t>CP2 Centralizované aktivity MU</t>
  </si>
  <si>
    <t xml:space="preserve">veletrh Gaudeamus </t>
  </si>
  <si>
    <t>energetický management</t>
  </si>
  <si>
    <t>údržba areálu UKB (rozvoj.území Bohunice)</t>
  </si>
  <si>
    <t>audit vč.účet. a daň.poradenství, služby INTRASTAT</t>
  </si>
  <si>
    <t>vstupní a výst.prohlídky zaměstnanců MU</t>
  </si>
  <si>
    <t>poplatky, spojené s členstvím MU v zahr.org.+RVŠ</t>
  </si>
  <si>
    <t>provozní náklady ILBIT - do nastěhování fakult  (4 437 tis./rok)</t>
  </si>
  <si>
    <t>xxx</t>
  </si>
  <si>
    <t xml:space="preserve"> celkem nové náklady - účtováno přes ÚVT</t>
  </si>
  <si>
    <t>součet CP1 + CP2 + CP3</t>
  </si>
  <si>
    <t>bez</t>
  </si>
  <si>
    <t>84 - SPSSN</t>
  </si>
  <si>
    <t>dotační</t>
  </si>
  <si>
    <t>nedotační</t>
  </si>
  <si>
    <t>SPSSN</t>
  </si>
  <si>
    <t>VPC</t>
  </si>
  <si>
    <t>UCT</t>
  </si>
  <si>
    <t>odvod</t>
  </si>
  <si>
    <t>na rozvoj</t>
  </si>
  <si>
    <t xml:space="preserve">odvoz </t>
  </si>
  <si>
    <t>na provoz</t>
  </si>
  <si>
    <t>přinos</t>
  </si>
  <si>
    <t xml:space="preserve">přínos </t>
  </si>
  <si>
    <t>rozdělení</t>
  </si>
  <si>
    <t>83 - UCT</t>
  </si>
  <si>
    <t>předpoklad</t>
  </si>
  <si>
    <t>poznámka</t>
  </si>
  <si>
    <t>Kotlářská 2</t>
  </si>
  <si>
    <t>Grohova 9</t>
  </si>
  <si>
    <r>
      <t xml:space="preserve">   financování nedotačních odpisů fakult </t>
    </r>
    <r>
      <rPr>
        <sz val="9"/>
        <rFont val="Arial CE"/>
        <family val="0"/>
      </rPr>
      <t>(odpisy majetku, který nebyl pořízen z dotace)</t>
    </r>
  </si>
  <si>
    <t xml:space="preserve">   financování nedotačních odpisů režijních pracovišť</t>
  </si>
  <si>
    <t>výměna NEI/INV</t>
  </si>
  <si>
    <t>CP2</t>
  </si>
  <si>
    <t>CP3 (RR)</t>
  </si>
  <si>
    <t>CP1</t>
  </si>
  <si>
    <t xml:space="preserve">RMU </t>
  </si>
  <si>
    <t>režijní prac.(ř.52-61)</t>
  </si>
  <si>
    <t>příspěvek 2</t>
  </si>
  <si>
    <t>přísp. 1</t>
  </si>
  <si>
    <t>přísp. 2</t>
  </si>
  <si>
    <t xml:space="preserve">pojištění zahr.cest </t>
  </si>
  <si>
    <t>rok 2006</t>
  </si>
  <si>
    <t>r o k   2 0 0 6</t>
  </si>
  <si>
    <t>Dotační odpisy MU (výměna NIV/INV na Program 233 330)</t>
  </si>
  <si>
    <t>Financování odpisů režijních součástí (nedotačních)</t>
  </si>
  <si>
    <t xml:space="preserve">91 - VPC </t>
  </si>
  <si>
    <t xml:space="preserve">92 - ÚVT </t>
  </si>
  <si>
    <t>pojištění majetku MU a studentů</t>
  </si>
  <si>
    <t>Program 233 332 (rež.nákl.prac.UKB), 2006 převod do rozp.RMU</t>
  </si>
  <si>
    <t>interní vzdělávání</t>
  </si>
  <si>
    <t>právní poradenství</t>
  </si>
  <si>
    <t xml:space="preserve">znalecké posudky </t>
  </si>
  <si>
    <t>provoz auly (vč.260 tis.-oprava varhan)</t>
  </si>
  <si>
    <t>www stránky MU (překlady,digitalizace ...)</t>
  </si>
  <si>
    <t>ediční činnost</t>
  </si>
  <si>
    <t>Universitas</t>
  </si>
  <si>
    <t>Spolufinancování CTT</t>
  </si>
  <si>
    <t>pěvecký sbor MU</t>
  </si>
  <si>
    <t>oponentury VZ</t>
  </si>
  <si>
    <t>nájem Řečkovice</t>
  </si>
  <si>
    <t>stěhování PřF do/z Řečkovic a Údolní</t>
  </si>
  <si>
    <t>daň z nemovitostí</t>
  </si>
  <si>
    <t>SW licence (antivir.ochrana, ALEPH,..)</t>
  </si>
  <si>
    <t>věcná břemena</t>
  </si>
  <si>
    <t>obnova vybavení CPS</t>
  </si>
  <si>
    <t>všeobecná tělesná výchova</t>
  </si>
  <si>
    <t>pronájmy pro KSA</t>
  </si>
  <si>
    <t>akademické soutěže studentů 2006</t>
  </si>
  <si>
    <t xml:space="preserve"> celkem účtováno přes FSpS</t>
  </si>
  <si>
    <t>výuka jazyků</t>
  </si>
  <si>
    <t>celkem účtováno přes CJV</t>
  </si>
  <si>
    <r>
      <t xml:space="preserve">CP1  Finanční činnosti </t>
    </r>
    <r>
      <rPr>
        <sz val="9"/>
        <rFont val="Arial CE"/>
        <family val="2"/>
      </rPr>
      <t>(ř. 1+2+3+4)</t>
    </r>
  </si>
  <si>
    <r>
      <t xml:space="preserve">nájem Údolní (bez tělocvičny) </t>
    </r>
    <r>
      <rPr>
        <sz val="9"/>
        <rFont val="Arial CE"/>
        <family val="0"/>
      </rPr>
      <t>+ pozemek nám.Míru</t>
    </r>
  </si>
  <si>
    <r>
      <t xml:space="preserve">Hosp.středisko: </t>
    </r>
    <r>
      <rPr>
        <b/>
        <i/>
        <sz val="10"/>
        <rFont val="Arial CE"/>
        <family val="2"/>
      </rPr>
      <t>doplnit č.HS a název</t>
    </r>
  </si>
  <si>
    <t>rok 2007</t>
  </si>
  <si>
    <t xml:space="preserve">I. Normativní prostředky z MŠMT </t>
  </si>
  <si>
    <t xml:space="preserve">   dotace na specifický výzkum</t>
  </si>
  <si>
    <r>
      <t>Rozdělení příspěvku</t>
    </r>
    <r>
      <rPr>
        <b/>
        <vertAlign val="superscript"/>
        <sz val="18"/>
        <rFont val="Arial CE"/>
        <family val="0"/>
      </rPr>
      <t xml:space="preserve"> </t>
    </r>
    <r>
      <rPr>
        <b/>
        <sz val="18"/>
        <rFont val="Arial CE"/>
        <family val="2"/>
      </rPr>
      <t xml:space="preserve"> MŠMT a dotace na specifický výzkum na rok 2007 v rámci MU</t>
    </r>
  </si>
  <si>
    <t>2007/06</t>
  </si>
  <si>
    <t>III. Výpočet přínosu na specifický výzkum pro rok 2007</t>
  </si>
  <si>
    <t>r o k   2 0 0 7</t>
  </si>
  <si>
    <t>II. Výpočet přínosu fakult na výši příspěvku MŠMT na vzdělávací činnost pro MU na rok 2007</t>
  </si>
  <si>
    <t xml:space="preserve">   příspěvek na vzdělávací činnost</t>
  </si>
  <si>
    <r>
      <t xml:space="preserve">Příspěvek 1. Snížení přiděleného příspěvku 2007, viz příloha 1 </t>
    </r>
    <r>
      <rPr>
        <sz val="9"/>
        <rFont val="Arial CE"/>
        <family val="0"/>
      </rPr>
      <t>(CP1)</t>
    </r>
  </si>
  <si>
    <r>
      <t xml:space="preserve">Financování celouniverzitních aktivit  v roce 2007 </t>
    </r>
    <r>
      <rPr>
        <b/>
        <sz val="8"/>
        <rFont val="Arial CE"/>
        <family val="0"/>
      </rPr>
      <t>(</t>
    </r>
    <r>
      <rPr>
        <sz val="8"/>
        <rFont val="Arial CE"/>
        <family val="0"/>
      </rPr>
      <t>z příspěvku MŠMT na ukazatel A)</t>
    </r>
  </si>
  <si>
    <t>převod</t>
  </si>
  <si>
    <t xml:space="preserve">plán </t>
  </si>
  <si>
    <t>do FPP</t>
  </si>
  <si>
    <t xml:space="preserve">  na Program</t>
  </si>
  <si>
    <t xml:space="preserve">  na ostatní akce</t>
  </si>
  <si>
    <t xml:space="preserve">Financování nedotačních odpisů fakult </t>
  </si>
  <si>
    <t>85 - IBA</t>
  </si>
  <si>
    <t xml:space="preserve">   Původní plán na podprogram 233 332 - UKB</t>
  </si>
  <si>
    <t xml:space="preserve">internacionalizace MU  </t>
  </si>
  <si>
    <t>jazykové kurzy</t>
  </si>
  <si>
    <t xml:space="preserve">databáze absolventů </t>
  </si>
  <si>
    <t xml:space="preserve">U3V </t>
  </si>
  <si>
    <t xml:space="preserve">Poradenské centrum </t>
  </si>
  <si>
    <t>spolufinancování projektů VVI</t>
  </si>
  <si>
    <t>posudky na rozvojové projekty</t>
  </si>
  <si>
    <t>studentské projekty (program rektora)</t>
  </si>
  <si>
    <t xml:space="preserve">nájem Tomešova </t>
  </si>
  <si>
    <t>LF - nájemné Dětská nemocnice (k.psychol.)</t>
  </si>
  <si>
    <t xml:space="preserve">       úhrada reko formou nájemného (čas.rozlišeno)</t>
  </si>
  <si>
    <t xml:space="preserve">       úhrada nájemného ve FNB, Jihlavská</t>
  </si>
  <si>
    <t xml:space="preserve">       úhrada nájemného Bieblova (soc.lék.)</t>
  </si>
  <si>
    <t xml:space="preserve">nájem a stěhování archivu MU </t>
  </si>
  <si>
    <t>stěhování do UKB - LF</t>
  </si>
  <si>
    <t xml:space="preserve">stěhování do UKB - PřF </t>
  </si>
  <si>
    <t>celouniverzitní podpora e-learningu</t>
  </si>
  <si>
    <t xml:space="preserve">rozvoj IS MU </t>
  </si>
  <si>
    <t>digitální knihovna-Bartošek-nové</t>
  </si>
  <si>
    <t>rozvoj a údržba multim.serveru-nové</t>
  </si>
  <si>
    <t>inteligentni budovy a GIS-nové</t>
  </si>
  <si>
    <t>VT pro IC Bohunice-nové (na dokrytí rozvoj. projektu)</t>
  </si>
  <si>
    <t>bezdrátové základny MU</t>
  </si>
  <si>
    <t xml:space="preserve">počítačové studovny </t>
  </si>
  <si>
    <t>nájem Šumavská</t>
  </si>
  <si>
    <t xml:space="preserve"> celkem účtováno přes SPSSN</t>
  </si>
  <si>
    <t>CP4 - režijní pracoviště</t>
  </si>
  <si>
    <t>SKM (81)</t>
  </si>
  <si>
    <t>SUKB (82)</t>
  </si>
  <si>
    <t>UCT (83)</t>
  </si>
  <si>
    <t>SPSSN (84)</t>
  </si>
  <si>
    <t>IBA (85)</t>
  </si>
  <si>
    <t>ÚVT (92)</t>
  </si>
  <si>
    <t>VMU (94)</t>
  </si>
  <si>
    <t>CZS (97)</t>
  </si>
  <si>
    <t>RMU (99)</t>
  </si>
  <si>
    <t>CP1 + CP2 + CP3+ CP4</t>
  </si>
  <si>
    <t>odpis 2004</t>
  </si>
  <si>
    <t>odpis 12/2005</t>
  </si>
  <si>
    <t>odpis 2005</t>
  </si>
  <si>
    <t xml:space="preserve">odpisy 06 </t>
  </si>
  <si>
    <t>odpis 12/2006</t>
  </si>
  <si>
    <t>odhad 2007 (12/06 x 12)</t>
  </si>
  <si>
    <t>IBA</t>
  </si>
  <si>
    <t>vydav</t>
  </si>
  <si>
    <t>z toho fak.</t>
  </si>
  <si>
    <t>centralizace</t>
  </si>
  <si>
    <t>rozdíl</t>
  </si>
  <si>
    <t>Pozn.: IBA - odpisy 2006 byly v nákladech jen 5 měs.</t>
  </si>
  <si>
    <t>V Brně dne 30.1.2007</t>
  </si>
  <si>
    <t>Zpracovala: Foukalová</t>
  </si>
  <si>
    <r>
      <t xml:space="preserve">Odhad odpisů 2007 po HS </t>
    </r>
    <r>
      <rPr>
        <sz val="9"/>
        <rFont val="Arial CE"/>
        <family val="0"/>
      </rPr>
      <t>(bez ZC vyřaz.majetku)</t>
    </r>
  </si>
  <si>
    <r>
      <t xml:space="preserve">odhad 2007 </t>
    </r>
    <r>
      <rPr>
        <b/>
        <sz val="8"/>
        <rFont val="Arial"/>
        <family val="2"/>
      </rPr>
      <t>(v tis. Kč)</t>
    </r>
  </si>
  <si>
    <r>
      <t>odhad 2007</t>
    </r>
    <r>
      <rPr>
        <sz val="8"/>
        <rFont val="Arial"/>
        <family val="2"/>
      </rPr>
      <t xml:space="preserve"> (v tis. Kč) - jen HS, která dostanou příspěvek i na odpisy</t>
    </r>
  </si>
  <si>
    <t>provozní pasport (technologický pasport budov )</t>
  </si>
  <si>
    <t>časopis muni.cz vč.fotobanky</t>
  </si>
  <si>
    <t>veletrhy zahraniční</t>
  </si>
  <si>
    <t>CP4  režijní pracoviště celkem</t>
  </si>
  <si>
    <r>
      <t>CP3   rezerva rektora</t>
    </r>
    <r>
      <rPr>
        <b/>
        <sz val="8"/>
        <rFont val="Arial CE"/>
        <family val="0"/>
      </rPr>
      <t xml:space="preserve"> </t>
    </r>
    <r>
      <rPr>
        <sz val="8"/>
        <rFont val="Arial CE"/>
        <family val="0"/>
      </rPr>
      <t>(1% z příspěvku na ukazatel A,max.16 mil.)</t>
    </r>
  </si>
  <si>
    <r>
      <t xml:space="preserve">rezerva </t>
    </r>
    <r>
      <rPr>
        <sz val="8"/>
        <rFont val="Arial CE"/>
        <family val="0"/>
      </rPr>
      <t>(1% z příspěvku na ukazatel A, max.16 mil.)</t>
    </r>
  </si>
  <si>
    <t>Rozpočet 2007</t>
  </si>
  <si>
    <t>Převody z fondů/použití fondů</t>
  </si>
  <si>
    <t>fondů</t>
  </si>
  <si>
    <t>FPP</t>
  </si>
  <si>
    <t>FÚUP</t>
  </si>
  <si>
    <t>FO</t>
  </si>
  <si>
    <t>Fstip</t>
  </si>
  <si>
    <t>Náklady celkem (ř.2+14až25)</t>
  </si>
  <si>
    <t xml:space="preserve"> A-vzděl.č.,specif.VaV,SKM,vlastní,fondy:</t>
  </si>
  <si>
    <t>odvody D54</t>
  </si>
  <si>
    <t>115*,118*,114*</t>
  </si>
  <si>
    <t>13* bez 139*,14*</t>
  </si>
  <si>
    <t>OPRLZ, strukturální fondy aj.proj.spoluf.EU</t>
  </si>
  <si>
    <t>119*, 139*</t>
  </si>
  <si>
    <t xml:space="preserve">Účelové příspěvky  na VaV </t>
  </si>
  <si>
    <t>212*</t>
  </si>
  <si>
    <t>Projekty VaV z dotací ze zahr.</t>
  </si>
  <si>
    <t>261*</t>
  </si>
  <si>
    <t>251*</t>
  </si>
  <si>
    <t>Výnosy celkem (ř.27 až 43)</t>
  </si>
  <si>
    <t>A-příspěvek na vzdělávací činnost</t>
  </si>
  <si>
    <t>Dotace na SKM, přísp.na ubytovací a soc.stip.</t>
  </si>
  <si>
    <t>12*, 117*</t>
  </si>
  <si>
    <t>Účelové příspěvky bez VaV</t>
  </si>
  <si>
    <t xml:space="preserve">VaV - dotace na specif. výzkum </t>
  </si>
  <si>
    <t>VaV - Výzkumné záměry</t>
  </si>
  <si>
    <t>VaV - ze SR a od úz.celků</t>
  </si>
  <si>
    <t>Vlastní zdroje (hl.č.za úplatu)</t>
  </si>
  <si>
    <t>Hospodářský výsledek dílčí (ř.27+32+36+41+42+43-2-25)</t>
  </si>
  <si>
    <t>Hospodářský výsledek (ř.26-1)</t>
  </si>
  <si>
    <t>Komentář:</t>
  </si>
  <si>
    <t>Náklady na tvorbu sociálního fondu ve výši 2 % z mezd (z ř.3) plánujte na ř. 5, tj. plán celkových odvodů bude 35+2=37 % resp. u dotačních projektů na řádky odpovídající příslušnému zdroji financování</t>
  </si>
  <si>
    <t>Výměnu NEI příspěvku za příspěvek na kapitálové výdaje plánujte v nákladech do ř.13 a plánovanou částku uveďte zde:</t>
  </si>
  <si>
    <t>Příspěvek na nedotační odpisy plánujte ve výnosech na ř. 27 (výnos bude součástí rozpisu rozdělení příspěvku na HS), náklad je součástí celkových nákladů na účetní odpisy na ř.11)</t>
  </si>
  <si>
    <t>Náklady na dotační odpisy plánujte na ř. 27, odpovídající částku účtovanou dle vyhl.504 do výnosů plánujte na ř. 41.</t>
  </si>
  <si>
    <t>Prostředky získané ze SR jako spolupříjemci (partneři) dotačních projektů plánujte - projekty VaV na ř. 24 a 40, ostatní (většinou projekty spolufinancované EU) na ř. 20 a 35</t>
  </si>
  <si>
    <r>
      <t>111*,12*,117*,152*,153*,157*,159*,167*,169*,</t>
    </r>
    <r>
      <rPr>
        <sz val="8"/>
        <color indexed="10"/>
        <rFont val="Arial CE"/>
        <family val="0"/>
      </rPr>
      <t>19*</t>
    </r>
    <r>
      <rPr>
        <sz val="8"/>
        <rFont val="Arial CE"/>
        <family val="2"/>
      </rPr>
      <t>,211*,257*,259*,267*,269*,4*</t>
    </r>
  </si>
  <si>
    <r>
      <t>213*,214*,</t>
    </r>
    <r>
      <rPr>
        <sz val="8"/>
        <rFont val="Arial CE"/>
        <family val="2"/>
      </rPr>
      <t>22*</t>
    </r>
  </si>
  <si>
    <r>
      <t xml:space="preserve">   dotační odpisy MU </t>
    </r>
    <r>
      <rPr>
        <sz val="8"/>
        <rFont val="Arial CE"/>
        <family val="0"/>
      </rPr>
      <t>(výměna NIV příspěvku za příspěvek na kapitálové výdaje na Program 233 330)</t>
    </r>
  </si>
  <si>
    <t xml:space="preserve">   centralizované aktivity (CP2 přílohy 1)</t>
  </si>
  <si>
    <r>
      <t xml:space="preserve">   rezerva rektora - RR </t>
    </r>
    <r>
      <rPr>
        <sz val="8"/>
        <rFont val="Arial CE"/>
        <family val="0"/>
      </rPr>
      <t>(1% z přínosu na vzdělávací činnost, max. 16 mil., CP3 přílohy 1)</t>
    </r>
  </si>
  <si>
    <r>
      <t xml:space="preserve">Příspěvek 1. Celkem </t>
    </r>
    <r>
      <rPr>
        <sz val="10"/>
        <rFont val="Arial CE"/>
        <family val="0"/>
      </rPr>
      <t>(CP 1 přílohy 1)</t>
    </r>
  </si>
  <si>
    <t xml:space="preserve">   součet CA (CP1+CP2+CP3 přílohy 1)</t>
  </si>
  <si>
    <r>
      <t xml:space="preserve">   režijní pracoviště ze vzděl.č.</t>
    </r>
    <r>
      <rPr>
        <sz val="9"/>
        <rFont val="Arial CE"/>
        <family val="0"/>
      </rPr>
      <t xml:space="preserve"> (CP4 přílohy 1)</t>
    </r>
  </si>
  <si>
    <t xml:space="preserve">   přínos na vzdělavací č. a nespec.výzkum celkem (ř.3)</t>
  </si>
  <si>
    <t xml:space="preserve">   Příspěvek. Celkem (ř.9+ř.14)</t>
  </si>
  <si>
    <t xml:space="preserve">   K rozdělení fakultám (ř.15-ř.16)</t>
  </si>
  <si>
    <t>VI. Příspěvek fakult do centralizovaných zdrojů pro účetní období kalendářního roku 2007</t>
  </si>
  <si>
    <t>celk.</t>
  </si>
  <si>
    <t>nezahrnuty odpisy ostatních HS (SKM, SUKB, IBA, VMU)</t>
  </si>
  <si>
    <t xml:space="preserve">rozdíl </t>
  </si>
  <si>
    <t>po odpoč.</t>
  </si>
  <si>
    <t>přísp1</t>
  </si>
  <si>
    <t>2007-2006</t>
  </si>
  <si>
    <t>CP</t>
  </si>
  <si>
    <t>k.součet</t>
  </si>
  <si>
    <t>(CP1)</t>
  </si>
  <si>
    <t>bez dotace na odpisy fak.</t>
  </si>
  <si>
    <t>změna výp.odvodu</t>
  </si>
  <si>
    <t>index 07/06</t>
  </si>
  <si>
    <r>
      <t xml:space="preserve">a) Rozpis příspěvku a dotace na specifický výzkum na příslušná hosp.střediska (HS) </t>
    </r>
    <r>
      <rPr>
        <sz val="10"/>
        <rFont val="Arial CE"/>
        <family val="2"/>
      </rPr>
      <t>- bez rozpisu centralizovaných prostředků (CP)</t>
    </r>
  </si>
  <si>
    <t>VII. Rozpis příspěvku a dotace na specifický výzkum na jednotlivá hospodářská střediska pro rok 2007</t>
  </si>
  <si>
    <t>rozpis</t>
  </si>
  <si>
    <r>
      <t xml:space="preserve">b) Rozpis příspěvku a dotace na specifický výzkum </t>
    </r>
    <r>
      <rPr>
        <sz val="10"/>
        <rFont val="Arial CE"/>
        <family val="0"/>
      </rPr>
      <t xml:space="preserve">včetně </t>
    </r>
    <r>
      <rPr>
        <sz val="10"/>
        <rFont val="Arial CE"/>
        <family val="2"/>
      </rPr>
      <t>rozpisu centralizovaných prostředků na příslušná HS</t>
    </r>
  </si>
  <si>
    <t>Financování celouniverzitních aktivit a režijních pracovišť MU v roce 2007</t>
  </si>
  <si>
    <t>Osnova rozpočtu na rok 2007</t>
  </si>
  <si>
    <t>č</t>
  </si>
  <si>
    <t xml:space="preserve">fakulta </t>
  </si>
  <si>
    <t>název akce</t>
  </si>
  <si>
    <t>místo</t>
  </si>
  <si>
    <t xml:space="preserve">zhotovitel </t>
  </si>
  <si>
    <t>realizace</t>
  </si>
  <si>
    <t>Výměna oken dvorní fasády I.et.</t>
  </si>
  <si>
    <t>Veveří 70</t>
  </si>
  <si>
    <t>Vým.střeš. oken a opr.fasády Yps.</t>
  </si>
  <si>
    <t>Ypsilantiho</t>
  </si>
  <si>
    <t>střešní okna a část fasády</t>
  </si>
  <si>
    <t xml:space="preserve">Okna Yps. Nátěr, opal, repas, těs. </t>
  </si>
  <si>
    <t>Vin.BZ  Nátěr oken, mříží, střechy</t>
  </si>
  <si>
    <t>Vinohrady</t>
  </si>
  <si>
    <t>Opr. dvor.fasády nástavby 4.patra</t>
  </si>
  <si>
    <t>Opr. rozvodů ÚT suterén Poř.31</t>
  </si>
  <si>
    <t>Oprava vozovky v průjezdu Poř.7</t>
  </si>
  <si>
    <t>Opr. nádvorních komunikací  P31</t>
  </si>
  <si>
    <t>výměna oken a fol. B-dvorní fasáda</t>
  </si>
  <si>
    <t>Botan.68</t>
  </si>
  <si>
    <t>Malování místností C</t>
  </si>
  <si>
    <t>Botan. 68</t>
  </si>
  <si>
    <t>oprava podlahových krytin PVC v "C"</t>
  </si>
  <si>
    <t>Oprava a nátěry oken i dveří tělocv.</t>
  </si>
  <si>
    <t>Údolní 3</t>
  </si>
  <si>
    <t>Oprava střechy a terasy</t>
  </si>
  <si>
    <t>Heinr.24</t>
  </si>
  <si>
    <t xml:space="preserve">FF </t>
  </si>
  <si>
    <t>Odstranění vlhkosti-suterén Enávrh</t>
  </si>
  <si>
    <t>reko v suter. rozv. vody vč.požární</t>
  </si>
  <si>
    <t>Gorkého 7</t>
  </si>
  <si>
    <t>Odizolování suterénu dvůr Jas. 18</t>
  </si>
  <si>
    <t>Jaselsk.18</t>
  </si>
  <si>
    <t xml:space="preserve">ESF </t>
  </si>
  <si>
    <t>Oprava 4 ks výtahů</t>
  </si>
  <si>
    <t>Lipová 41a</t>
  </si>
  <si>
    <t xml:space="preserve">PřF </t>
  </si>
  <si>
    <t>O.kotle, zásob.TUV, radiát, rozvod.</t>
  </si>
  <si>
    <t>Tvrdého 12</t>
  </si>
  <si>
    <t>oprava soc.zař. ZTI, povrchy</t>
  </si>
  <si>
    <t>op.kanal. Suterén zp.kl. Povrchy</t>
  </si>
  <si>
    <t>oprava střechy - tašky, okapy</t>
  </si>
  <si>
    <t>oprava plotu a nátěr</t>
  </si>
  <si>
    <t>op.oken, těsnění, parapety, nátěry</t>
  </si>
  <si>
    <t>Op.střechy vrátnice SO10, úpravy</t>
  </si>
  <si>
    <t>Oprava kopule a střech vč.nátěrů</t>
  </si>
  <si>
    <t>Hvězdárna</t>
  </si>
  <si>
    <t>cena opravy kopule 3,2 mil.</t>
  </si>
  <si>
    <t>vytápění hvězdárny - moder.akum.</t>
  </si>
  <si>
    <t>opravy soc zařízení, ZTI, povrchy</t>
  </si>
  <si>
    <t>opravy zednické. Nátěry, malby</t>
  </si>
  <si>
    <t>Reko areálové kanalizace a komun.</t>
  </si>
  <si>
    <t>Vinařská 5</t>
  </si>
  <si>
    <t>pouze NEINV</t>
  </si>
  <si>
    <t>Telč</t>
  </si>
  <si>
    <t>Op.fasády k zámku vč.oken a klem</t>
  </si>
  <si>
    <t>Telč č.p.2</t>
  </si>
  <si>
    <t>součet v Kč</t>
  </si>
  <si>
    <t>celkem s rezervou 500 tis.Kč</t>
  </si>
  <si>
    <t xml:space="preserve"> </t>
  </si>
  <si>
    <t>V Brně 31.1.2007</t>
  </si>
  <si>
    <t xml:space="preserve">  Způsob rozdělení vychází ze Směrnice rektora č.1/2007 . Vnitřní pravidla hospodaření MU pro rok 2007 a Pravidel rozdělení norm.příspěvku a dotace v r.2007.</t>
  </si>
  <si>
    <t>Odhad odpisů 2007</t>
  </si>
  <si>
    <t xml:space="preserve">příloha 4 -  </t>
  </si>
  <si>
    <r>
      <t xml:space="preserve">   Podprogram 233 332 - UKB (plán 75 750) </t>
    </r>
    <r>
      <rPr>
        <i/>
        <vertAlign val="superscript"/>
        <sz val="9"/>
        <rFont val="Arial CE"/>
        <family val="0"/>
      </rPr>
      <t>*)</t>
    </r>
  </si>
  <si>
    <t>*)</t>
  </si>
  <si>
    <t>Celkový plán NIV pro Program 233 330 na rok 2007 je</t>
  </si>
  <si>
    <t>z toho z CP 2007</t>
  </si>
  <si>
    <r>
      <t xml:space="preserve">CJV (96) </t>
    </r>
    <r>
      <rPr>
        <vertAlign val="superscript"/>
        <sz val="9"/>
        <rFont val="Arial CE"/>
        <family val="0"/>
      </rPr>
      <t>**)</t>
    </r>
  </si>
  <si>
    <t>**)</t>
  </si>
  <si>
    <t>V plánu u CJV byl zohledněn nárůst zaměstnanců (abolutní navýšení o 3,550 mil. Kč)</t>
  </si>
  <si>
    <t>rezerva</t>
  </si>
  <si>
    <t xml:space="preserve">Příspěvek do centralizovaných zdrojů celkem </t>
  </si>
  <si>
    <t xml:space="preserve">           z Fondu provozních prostředků RMU</t>
  </si>
  <si>
    <t xml:space="preserve">Plán akcí - velké opravy  2007  </t>
  </si>
  <si>
    <t xml:space="preserve">Účelové příspěvky bez VaV </t>
  </si>
  <si>
    <t xml:space="preserve">Účelové příspěvky na VaV </t>
  </si>
  <si>
    <t>údaje o odpisech jen těch HS, která dostanou příspěvek na odpisy</t>
  </si>
  <si>
    <r>
      <t xml:space="preserve">rež.prac. </t>
    </r>
    <r>
      <rPr>
        <sz val="9"/>
        <rFont val="Arial CE"/>
        <family val="0"/>
      </rPr>
      <t>bez CA (CP4)</t>
    </r>
  </si>
  <si>
    <t>V Brně 6.2.2007</t>
  </si>
  <si>
    <t>Plán financování centralizovaných oprav 2007</t>
  </si>
  <si>
    <t>odpočtu</t>
  </si>
  <si>
    <t xml:space="preserve">CA </t>
  </si>
  <si>
    <t>(CP2 až 4)</t>
  </si>
  <si>
    <t>přiděleno</t>
  </si>
  <si>
    <t>v %</t>
  </si>
  <si>
    <t>z přínosu</t>
  </si>
  <si>
    <r>
      <t>1)</t>
    </r>
    <r>
      <rPr>
        <i/>
        <sz val="9"/>
        <rFont val="Arial CE"/>
        <family val="2"/>
      </rPr>
      <t xml:space="preserve"> ve sl. CA pro rok 2007 včetně financování nedotačních odpisů fakult i režijních součástí a vkladu NEI do Programu 233 330</t>
    </r>
  </si>
  <si>
    <t>nedotační odpisy fakult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</si>
</sst>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  <numFmt numFmtId="165" formatCode="0.0000"/>
    <numFmt numFmtId="166" formatCode="0.0"/>
    <numFmt numFmtId="167" formatCode="#,##0.0"/>
    <numFmt numFmtId="168" formatCode="0.000000"/>
    <numFmt numFmtId="169" formatCode="0.0000000"/>
    <numFmt numFmtId="170" formatCode="0.000"/>
    <numFmt numFmtId="171" formatCode="0.000000000"/>
    <numFmt numFmtId="172" formatCode="#,##0.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.000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%"/>
    <numFmt numFmtId="186" formatCode="#,##0\ &quot;Kč&quot;"/>
    <numFmt numFmtId="187" formatCode="#,##0.00000000"/>
    <numFmt numFmtId="188" formatCode="0.00000000"/>
    <numFmt numFmtId="189" formatCode="#,##0.000000"/>
    <numFmt numFmtId="190" formatCode="#,##0.0000000"/>
    <numFmt numFmtId="191" formatCode="_-* #,##0.0\ _K_č_-;\-* #,##0.0\ _K_č_-;_-* &quot;-&quot;??\ _K_č_-;_-@_-"/>
    <numFmt numFmtId="192" formatCode="#,##0.00000"/>
  </numFmts>
  <fonts count="62">
    <font>
      <sz val="10"/>
      <name val="Arial CE"/>
      <family val="0"/>
    </font>
    <font>
      <i/>
      <sz val="10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8"/>
      <name val="Arial CE"/>
      <family val="2"/>
    </font>
    <font>
      <i/>
      <sz val="9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sz val="10"/>
      <color indexed="10"/>
      <name val="Arial CE"/>
      <family val="2"/>
    </font>
    <font>
      <b/>
      <sz val="8"/>
      <name val="Arial CE"/>
      <family val="2"/>
    </font>
    <font>
      <b/>
      <sz val="18"/>
      <name val="Arial CE"/>
      <family val="2"/>
    </font>
    <font>
      <sz val="18"/>
      <name val="Arial CE"/>
      <family val="2"/>
    </font>
    <font>
      <i/>
      <vertAlign val="superscript"/>
      <sz val="9"/>
      <name val="Arial CE"/>
      <family val="0"/>
    </font>
    <font>
      <sz val="8"/>
      <color indexed="10"/>
      <name val="Arial CE"/>
      <family val="0"/>
    </font>
    <font>
      <sz val="9"/>
      <color indexed="10"/>
      <name val="Arial CE"/>
      <family val="0"/>
    </font>
    <font>
      <sz val="11"/>
      <name val="Times New Roman CE"/>
      <family val="0"/>
    </font>
    <font>
      <b/>
      <sz val="10"/>
      <color indexed="10"/>
      <name val="Arial CE"/>
      <family val="0"/>
    </font>
    <font>
      <b/>
      <i/>
      <sz val="8"/>
      <name val="Arial CE"/>
      <family val="0"/>
    </font>
    <font>
      <b/>
      <sz val="8"/>
      <color indexed="8"/>
      <name val="Arial CE"/>
      <family val="0"/>
    </font>
    <font>
      <sz val="8"/>
      <name val="Arial"/>
      <family val="2"/>
    </font>
    <font>
      <i/>
      <sz val="8"/>
      <color indexed="8"/>
      <name val="Arial CE"/>
      <family val="0"/>
    </font>
    <font>
      <sz val="10"/>
      <color indexed="8"/>
      <name val="Arial CE"/>
      <family val="0"/>
    </font>
    <font>
      <sz val="8"/>
      <color indexed="8"/>
      <name val="Arial CE"/>
      <family val="0"/>
    </font>
    <font>
      <vertAlign val="superscript"/>
      <sz val="10"/>
      <name val="Arial CE"/>
      <family val="2"/>
    </font>
    <font>
      <sz val="9"/>
      <color indexed="8"/>
      <name val="Arial CE"/>
      <family val="2"/>
    </font>
    <font>
      <b/>
      <sz val="12"/>
      <color indexed="8"/>
      <name val="Arial CE"/>
      <family val="0"/>
    </font>
    <font>
      <sz val="12"/>
      <color indexed="8"/>
      <name val="Arial CE"/>
      <family val="0"/>
    </font>
    <font>
      <b/>
      <sz val="10"/>
      <color indexed="59"/>
      <name val="Arial CE"/>
      <family val="2"/>
    </font>
    <font>
      <i/>
      <vertAlign val="superscript"/>
      <sz val="10"/>
      <name val="Arial CE"/>
      <family val="2"/>
    </font>
    <font>
      <b/>
      <vertAlign val="superscript"/>
      <sz val="18"/>
      <name val="Arial CE"/>
      <family val="0"/>
    </font>
    <font>
      <sz val="10"/>
      <name val="Arial"/>
      <family val="0"/>
    </font>
    <font>
      <b/>
      <i/>
      <sz val="9"/>
      <name val="Arial CE"/>
      <family val="2"/>
    </font>
    <font>
      <b/>
      <sz val="9"/>
      <color indexed="12"/>
      <name val="Arial CE"/>
      <family val="0"/>
    </font>
    <font>
      <sz val="9"/>
      <color indexed="12"/>
      <name val="Arial CE"/>
      <family val="0"/>
    </font>
    <font>
      <i/>
      <sz val="9"/>
      <color indexed="40"/>
      <name val="Arial CE"/>
      <family val="2"/>
    </font>
    <font>
      <sz val="9"/>
      <color indexed="40"/>
      <name val="Arial CE"/>
      <family val="2"/>
    </font>
    <font>
      <i/>
      <sz val="8"/>
      <color indexed="40"/>
      <name val="Arial CE"/>
      <family val="2"/>
    </font>
    <font>
      <sz val="8"/>
      <color indexed="40"/>
      <name val="Arial CE"/>
      <family val="2"/>
    </font>
    <font>
      <i/>
      <vertAlign val="superscript"/>
      <sz val="8"/>
      <color indexed="8"/>
      <name val="Arial CE"/>
      <family val="0"/>
    </font>
    <font>
      <i/>
      <sz val="9"/>
      <color indexed="8"/>
      <name val="Arial CE"/>
      <family val="0"/>
    </font>
    <font>
      <sz val="8"/>
      <color indexed="12"/>
      <name val="Arial CE"/>
      <family val="2"/>
    </font>
    <font>
      <b/>
      <sz val="9"/>
      <color indexed="8"/>
      <name val="Arial CE"/>
      <family val="0"/>
    </font>
    <font>
      <b/>
      <sz val="8"/>
      <name val="Arial"/>
      <family val="2"/>
    </font>
    <font>
      <i/>
      <sz val="8"/>
      <name val="Arial"/>
      <family val="2"/>
    </font>
    <font>
      <sz val="8"/>
      <color indexed="10"/>
      <name val="Arial"/>
      <family val="0"/>
    </font>
    <font>
      <b/>
      <i/>
      <sz val="9"/>
      <color indexed="8"/>
      <name val="Arial CE"/>
      <family val="0"/>
    </font>
    <font>
      <sz val="10"/>
      <color indexed="12"/>
      <name val="Arial CE"/>
      <family val="2"/>
    </font>
    <font>
      <sz val="9"/>
      <color indexed="41"/>
      <name val="Arial CE"/>
      <family val="2"/>
    </font>
    <font>
      <i/>
      <sz val="8"/>
      <color indexed="12"/>
      <name val="Arial CE"/>
      <family val="0"/>
    </font>
    <font>
      <sz val="10"/>
      <color indexed="63"/>
      <name val="Arial"/>
      <family val="0"/>
    </font>
    <font>
      <b/>
      <sz val="10"/>
      <color indexed="63"/>
      <name val="Arial"/>
      <family val="0"/>
    </font>
    <font>
      <i/>
      <sz val="10"/>
      <color indexed="63"/>
      <name val="Arial"/>
      <family val="0"/>
    </font>
    <font>
      <i/>
      <vertAlign val="superscript"/>
      <sz val="8"/>
      <name val="Arial CE"/>
      <family val="0"/>
    </font>
    <font>
      <vertAlign val="superscript"/>
      <sz val="9"/>
      <name val="Arial CE"/>
      <family val="0"/>
    </font>
    <font>
      <b/>
      <i/>
      <sz val="8"/>
      <color indexed="9"/>
      <name val="Arial CE"/>
      <family val="0"/>
    </font>
    <font>
      <b/>
      <sz val="10"/>
      <color indexed="8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</fills>
  <borders count="17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hair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 style="medium"/>
    </border>
    <border>
      <left style="hair"/>
      <right style="hair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medium"/>
      <top style="hair"/>
      <bottom style="hair"/>
    </border>
    <border>
      <left style="medium"/>
      <right style="thin"/>
      <top style="medium"/>
      <bottom style="hair"/>
    </border>
    <border>
      <left style="medium"/>
      <right style="medium"/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thin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hair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hair"/>
      <bottom style="medium"/>
    </border>
    <border>
      <left style="thin"/>
      <right style="thin"/>
      <top style="thin"/>
      <bottom style="medium"/>
    </border>
    <border>
      <left style="hair"/>
      <right style="medium"/>
      <top style="medium"/>
      <bottom>
        <color indexed="63"/>
      </bottom>
    </border>
    <border>
      <left style="hair"/>
      <right style="medium"/>
      <top style="hair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medium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hair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hair"/>
    </border>
    <border>
      <left style="medium"/>
      <right style="medium"/>
      <top>
        <color indexed="63"/>
      </top>
      <bottom style="thin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thin"/>
      <bottom style="thin"/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36" fillId="0" borderId="0">
      <alignment/>
      <protection/>
    </xf>
    <xf numFmtId="9" fontId="0" fillId="0" borderId="0" applyFont="0" applyFill="0" applyBorder="0" applyAlignment="0" applyProtection="0"/>
  </cellStyleXfs>
  <cellXfs count="130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4" xfId="0" applyNumberForma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7" xfId="0" applyBorder="1" applyAlignment="1">
      <alignment horizontal="center"/>
    </xf>
    <xf numFmtId="0" fontId="5" fillId="0" borderId="0" xfId="0" applyFont="1" applyAlignment="1">
      <alignment/>
    </xf>
    <xf numFmtId="0" fontId="5" fillId="0" borderId="8" xfId="0" applyFont="1" applyBorder="1" applyAlignment="1">
      <alignment/>
    </xf>
    <xf numFmtId="0" fontId="0" fillId="0" borderId="0" xfId="0" applyBorder="1" applyAlignment="1">
      <alignment horizontal="center"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3" fontId="0" fillId="0" borderId="9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11" xfId="0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0" xfId="0" applyFont="1" applyFill="1" applyBorder="1" applyAlignment="1">
      <alignment/>
    </xf>
    <xf numFmtId="0" fontId="12" fillId="0" borderId="10" xfId="0" applyFont="1" applyBorder="1" applyAlignment="1">
      <alignment/>
    </xf>
    <xf numFmtId="3" fontId="12" fillId="0" borderId="13" xfId="0" applyNumberFormat="1" applyFont="1" applyBorder="1" applyAlignment="1">
      <alignment/>
    </xf>
    <xf numFmtId="0" fontId="5" fillId="0" borderId="14" xfId="0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12" fillId="0" borderId="2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/>
    </xf>
    <xf numFmtId="3" fontId="1" fillId="0" borderId="9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0" fontId="0" fillId="0" borderId="20" xfId="0" applyFont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14" fillId="0" borderId="2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12" fillId="0" borderId="5" xfId="0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left"/>
    </xf>
    <xf numFmtId="0" fontId="5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left"/>
    </xf>
    <xf numFmtId="0" fontId="5" fillId="0" borderId="28" xfId="0" applyFont="1" applyBorder="1" applyAlignment="1">
      <alignment/>
    </xf>
    <xf numFmtId="0" fontId="6" fillId="0" borderId="29" xfId="0" applyFont="1" applyBorder="1" applyAlignment="1">
      <alignment horizontal="left"/>
    </xf>
    <xf numFmtId="0" fontId="5" fillId="0" borderId="2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3" fontId="0" fillId="0" borderId="30" xfId="0" applyNumberFormat="1" applyFont="1" applyBorder="1" applyAlignment="1">
      <alignment/>
    </xf>
    <xf numFmtId="3" fontId="0" fillId="0" borderId="31" xfId="0" applyNumberFormat="1" applyFont="1" applyBorder="1" applyAlignment="1">
      <alignment/>
    </xf>
    <xf numFmtId="3" fontId="1" fillId="0" borderId="30" xfId="0" applyNumberFormat="1" applyFont="1" applyBorder="1" applyAlignment="1">
      <alignment/>
    </xf>
    <xf numFmtId="3" fontId="0" fillId="2" borderId="7" xfId="0" applyNumberFormat="1" applyFont="1" applyFill="1" applyBorder="1" applyAlignment="1">
      <alignment/>
    </xf>
    <xf numFmtId="3" fontId="0" fillId="2" borderId="32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2" fillId="2" borderId="7" xfId="0" applyNumberFormat="1" applyFont="1" applyFill="1" applyBorder="1" applyAlignment="1">
      <alignment/>
    </xf>
    <xf numFmtId="3" fontId="12" fillId="2" borderId="32" xfId="0" applyNumberFormat="1" applyFont="1" applyFill="1" applyBorder="1" applyAlignment="1">
      <alignment/>
    </xf>
    <xf numFmtId="3" fontId="13" fillId="2" borderId="7" xfId="0" applyNumberFormat="1" applyFont="1" applyFill="1" applyBorder="1" applyAlignment="1">
      <alignment/>
    </xf>
    <xf numFmtId="0" fontId="12" fillId="2" borderId="11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2" borderId="33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33" xfId="0" applyFont="1" applyFill="1" applyBorder="1" applyAlignment="1">
      <alignment horizontal="center"/>
    </xf>
    <xf numFmtId="3" fontId="13" fillId="2" borderId="32" xfId="0" applyNumberFormat="1" applyFont="1" applyFill="1" applyBorder="1" applyAlignment="1">
      <alignment/>
    </xf>
    <xf numFmtId="3" fontId="12" fillId="2" borderId="12" xfId="0" applyNumberFormat="1" applyFont="1" applyFill="1" applyBorder="1" applyAlignment="1">
      <alignment/>
    </xf>
    <xf numFmtId="3" fontId="1" fillId="0" borderId="34" xfId="0" applyNumberFormat="1" applyFont="1" applyBorder="1" applyAlignment="1">
      <alignment/>
    </xf>
    <xf numFmtId="3" fontId="1" fillId="0" borderId="35" xfId="0" applyNumberFormat="1" applyFont="1" applyBorder="1" applyAlignment="1">
      <alignment/>
    </xf>
    <xf numFmtId="3" fontId="1" fillId="0" borderId="36" xfId="0" applyNumberFormat="1" applyFont="1" applyBorder="1" applyAlignment="1">
      <alignment/>
    </xf>
    <xf numFmtId="3" fontId="1" fillId="0" borderId="37" xfId="0" applyNumberFormat="1" applyFont="1" applyBorder="1" applyAlignment="1">
      <alignment/>
    </xf>
    <xf numFmtId="3" fontId="1" fillId="0" borderId="38" xfId="0" applyNumberFormat="1" applyFont="1" applyBorder="1" applyAlignment="1">
      <alignment/>
    </xf>
    <xf numFmtId="0" fontId="1" fillId="0" borderId="39" xfId="0" applyFont="1" applyBorder="1" applyAlignment="1">
      <alignment horizontal="center"/>
    </xf>
    <xf numFmtId="3" fontId="1" fillId="0" borderId="40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3" fontId="1" fillId="2" borderId="32" xfId="0" applyNumberFormat="1" applyFont="1" applyFill="1" applyBorder="1" applyAlignment="1">
      <alignment/>
    </xf>
    <xf numFmtId="3" fontId="0" fillId="2" borderId="12" xfId="0" applyNumberFormat="1" applyFont="1" applyFill="1" applyBorder="1" applyAlignment="1">
      <alignment/>
    </xf>
    <xf numFmtId="3" fontId="1" fillId="0" borderId="41" xfId="0" applyNumberFormat="1" applyFont="1" applyBorder="1" applyAlignment="1">
      <alignment/>
    </xf>
    <xf numFmtId="3" fontId="1" fillId="0" borderId="42" xfId="0" applyNumberFormat="1" applyFont="1" applyBorder="1" applyAlignment="1">
      <alignment/>
    </xf>
    <xf numFmtId="3" fontId="0" fillId="0" borderId="43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44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1" fillId="0" borderId="44" xfId="0" applyNumberFormat="1" applyFont="1" applyBorder="1" applyAlignment="1">
      <alignment/>
    </xf>
    <xf numFmtId="0" fontId="5" fillId="0" borderId="46" xfId="0" applyFont="1" applyBorder="1" applyAlignment="1">
      <alignment/>
    </xf>
    <xf numFmtId="0" fontId="0" fillId="0" borderId="28" xfId="0" applyFont="1" applyBorder="1" applyAlignment="1">
      <alignment/>
    </xf>
    <xf numFmtId="0" fontId="12" fillId="2" borderId="47" xfId="0" applyFont="1" applyFill="1" applyBorder="1" applyAlignment="1">
      <alignment/>
    </xf>
    <xf numFmtId="0" fontId="12" fillId="2" borderId="10" xfId="0" applyFont="1" applyFill="1" applyBorder="1" applyAlignment="1">
      <alignment/>
    </xf>
    <xf numFmtId="0" fontId="5" fillId="2" borderId="40" xfId="0" applyFont="1" applyFill="1" applyBorder="1" applyAlignment="1">
      <alignment horizontal="center"/>
    </xf>
    <xf numFmtId="0" fontId="15" fillId="2" borderId="38" xfId="0" applyFont="1" applyFill="1" applyBorder="1" applyAlignment="1">
      <alignment horizontal="left"/>
    </xf>
    <xf numFmtId="0" fontId="12" fillId="2" borderId="21" xfId="0" applyFont="1" applyFill="1" applyBorder="1" applyAlignment="1">
      <alignment/>
    </xf>
    <xf numFmtId="0" fontId="12" fillId="2" borderId="2" xfId="0" applyFont="1" applyFill="1" applyBorder="1" applyAlignment="1">
      <alignment/>
    </xf>
    <xf numFmtId="0" fontId="15" fillId="2" borderId="5" xfId="0" applyFont="1" applyFill="1" applyBorder="1" applyAlignment="1">
      <alignment horizontal="left"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3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18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8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5" fillId="0" borderId="0" xfId="0" applyFont="1" applyAlignment="1">
      <alignment/>
    </xf>
    <xf numFmtId="3" fontId="1" fillId="0" borderId="49" xfId="0" applyNumberFormat="1" applyFont="1" applyBorder="1" applyAlignment="1">
      <alignment/>
    </xf>
    <xf numFmtId="3" fontId="1" fillId="0" borderId="50" xfId="0" applyNumberFormat="1" applyFont="1" applyBorder="1" applyAlignment="1">
      <alignment/>
    </xf>
    <xf numFmtId="3" fontId="1" fillId="0" borderId="51" xfId="0" applyNumberFormat="1" applyFont="1" applyBorder="1" applyAlignment="1">
      <alignment/>
    </xf>
    <xf numFmtId="3" fontId="1" fillId="0" borderId="52" xfId="0" applyNumberFormat="1" applyFont="1" applyBorder="1" applyAlignment="1">
      <alignment/>
    </xf>
    <xf numFmtId="3" fontId="1" fillId="2" borderId="11" xfId="0" applyNumberFormat="1" applyFont="1" applyFill="1" applyBorder="1" applyAlignment="1">
      <alignment/>
    </xf>
    <xf numFmtId="3" fontId="1" fillId="0" borderId="53" xfId="0" applyNumberFormat="1" applyFont="1" applyBorder="1" applyAlignment="1">
      <alignment/>
    </xf>
    <xf numFmtId="3" fontId="1" fillId="0" borderId="54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55" xfId="0" applyFont="1" applyBorder="1" applyAlignment="1">
      <alignment horizontal="center"/>
    </xf>
    <xf numFmtId="3" fontId="0" fillId="0" borderId="56" xfId="0" applyNumberFormat="1" applyFont="1" applyBorder="1" applyAlignment="1">
      <alignment/>
    </xf>
    <xf numFmtId="0" fontId="0" fillId="0" borderId="57" xfId="0" applyBorder="1" applyAlignment="1">
      <alignment horizontal="center"/>
    </xf>
    <xf numFmtId="0" fontId="0" fillId="0" borderId="23" xfId="0" applyBorder="1" applyAlignment="1">
      <alignment/>
    </xf>
    <xf numFmtId="3" fontId="0" fillId="0" borderId="58" xfId="0" applyNumberFormat="1" applyBorder="1" applyAlignment="1">
      <alignment/>
    </xf>
    <xf numFmtId="3" fontId="12" fillId="2" borderId="55" xfId="0" applyNumberFormat="1" applyFont="1" applyFill="1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59" xfId="0" applyNumberFormat="1" applyFont="1" applyBorder="1" applyAlignment="1">
      <alignment/>
    </xf>
    <xf numFmtId="3" fontId="0" fillId="2" borderId="55" xfId="0" applyNumberFormat="1" applyFont="1" applyFill="1" applyBorder="1" applyAlignment="1">
      <alignment/>
    </xf>
    <xf numFmtId="3" fontId="0" fillId="0" borderId="60" xfId="0" applyNumberFormat="1" applyFont="1" applyBorder="1" applyAlignment="1">
      <alignment/>
    </xf>
    <xf numFmtId="3" fontId="12" fillId="2" borderId="61" xfId="0" applyNumberFormat="1" applyFont="1" applyFill="1" applyBorder="1" applyAlignment="1">
      <alignment/>
    </xf>
    <xf numFmtId="3" fontId="0" fillId="0" borderId="48" xfId="0" applyNumberFormat="1" applyFont="1" applyBorder="1" applyAlignment="1">
      <alignment/>
    </xf>
    <xf numFmtId="3" fontId="0" fillId="0" borderId="62" xfId="0" applyNumberFormat="1" applyFont="1" applyBorder="1" applyAlignment="1">
      <alignment/>
    </xf>
    <xf numFmtId="3" fontId="0" fillId="2" borderId="61" xfId="0" applyNumberFormat="1" applyFont="1" applyFill="1" applyBorder="1" applyAlignment="1">
      <alignment/>
    </xf>
    <xf numFmtId="3" fontId="0" fillId="0" borderId="63" xfId="0" applyNumberFormat="1" applyFont="1" applyBorder="1" applyAlignment="1">
      <alignment/>
    </xf>
    <xf numFmtId="0" fontId="1" fillId="0" borderId="64" xfId="0" applyFont="1" applyBorder="1" applyAlignment="1">
      <alignment/>
    </xf>
    <xf numFmtId="3" fontId="13" fillId="2" borderId="65" xfId="0" applyNumberFormat="1" applyFont="1" applyFill="1" applyBorder="1" applyAlignment="1">
      <alignment/>
    </xf>
    <xf numFmtId="3" fontId="1" fillId="0" borderId="64" xfId="0" applyNumberFormat="1" applyFont="1" applyBorder="1" applyAlignment="1">
      <alignment/>
    </xf>
    <xf numFmtId="3" fontId="1" fillId="2" borderId="65" xfId="0" applyNumberFormat="1" applyFont="1" applyFill="1" applyBorder="1" applyAlignment="1">
      <alignment/>
    </xf>
    <xf numFmtId="3" fontId="1" fillId="0" borderId="66" xfId="0" applyNumberFormat="1" applyFont="1" applyBorder="1" applyAlignment="1">
      <alignment/>
    </xf>
    <xf numFmtId="3" fontId="1" fillId="0" borderId="67" xfId="0" applyNumberFormat="1" applyFont="1" applyBorder="1" applyAlignment="1">
      <alignment/>
    </xf>
    <xf numFmtId="3" fontId="1" fillId="0" borderId="29" xfId="0" applyNumberFormat="1" applyFont="1" applyBorder="1" applyAlignment="1">
      <alignment/>
    </xf>
    <xf numFmtId="3" fontId="1" fillId="0" borderId="68" xfId="0" applyNumberFormat="1" applyFont="1" applyBorder="1" applyAlignment="1">
      <alignment/>
    </xf>
    <xf numFmtId="3" fontId="1" fillId="0" borderId="69" xfId="0" applyNumberFormat="1" applyFont="1" applyBorder="1" applyAlignment="1">
      <alignment/>
    </xf>
    <xf numFmtId="3" fontId="1" fillId="0" borderId="70" xfId="0" applyNumberFormat="1" applyFont="1" applyBorder="1" applyAlignment="1">
      <alignment/>
    </xf>
    <xf numFmtId="3" fontId="1" fillId="0" borderId="71" xfId="0" applyNumberFormat="1" applyFont="1" applyBorder="1" applyAlignment="1">
      <alignment/>
    </xf>
    <xf numFmtId="3" fontId="1" fillId="0" borderId="72" xfId="0" applyNumberFormat="1" applyFont="1" applyBorder="1" applyAlignment="1">
      <alignment/>
    </xf>
    <xf numFmtId="3" fontId="1" fillId="0" borderId="73" xfId="0" applyNumberFormat="1" applyFont="1" applyBorder="1" applyAlignment="1">
      <alignment/>
    </xf>
    <xf numFmtId="3" fontId="1" fillId="0" borderId="74" xfId="0" applyNumberFormat="1" applyFont="1" applyBorder="1" applyAlignment="1">
      <alignment/>
    </xf>
    <xf numFmtId="3" fontId="1" fillId="0" borderId="75" xfId="0" applyNumberFormat="1" applyFont="1" applyBorder="1" applyAlignment="1">
      <alignment/>
    </xf>
    <xf numFmtId="0" fontId="0" fillId="0" borderId="76" xfId="0" applyFont="1" applyFill="1" applyBorder="1" applyAlignment="1">
      <alignment horizontal="center"/>
    </xf>
    <xf numFmtId="0" fontId="0" fillId="0" borderId="77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14" fillId="0" borderId="0" xfId="0" applyFont="1" applyFill="1" applyAlignment="1">
      <alignment/>
    </xf>
    <xf numFmtId="0" fontId="0" fillId="0" borderId="78" xfId="0" applyFill="1" applyBorder="1" applyAlignment="1">
      <alignment/>
    </xf>
    <xf numFmtId="0" fontId="0" fillId="0" borderId="79" xfId="0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0" fillId="0" borderId="76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80" xfId="0" applyFill="1" applyBorder="1" applyAlignment="1">
      <alignment/>
    </xf>
    <xf numFmtId="0" fontId="0" fillId="0" borderId="81" xfId="0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0" fillId="0" borderId="77" xfId="0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left"/>
    </xf>
    <xf numFmtId="0" fontId="1" fillId="0" borderId="82" xfId="0" applyFont="1" applyFill="1" applyBorder="1" applyAlignment="1">
      <alignment horizontal="center"/>
    </xf>
    <xf numFmtId="166" fontId="1" fillId="0" borderId="9" xfId="0" applyNumberFormat="1" applyFont="1" applyFill="1" applyBorder="1" applyAlignment="1">
      <alignment horizontal="center"/>
    </xf>
    <xf numFmtId="166" fontId="1" fillId="0" borderId="18" xfId="0" applyNumberFormat="1" applyFont="1" applyFill="1" applyBorder="1" applyAlignment="1">
      <alignment horizontal="center"/>
    </xf>
    <xf numFmtId="166" fontId="1" fillId="0" borderId="41" xfId="0" applyNumberFormat="1" applyFont="1" applyFill="1" applyBorder="1" applyAlignment="1">
      <alignment horizontal="center"/>
    </xf>
    <xf numFmtId="0" fontId="0" fillId="0" borderId="19" xfId="0" applyFill="1" applyBorder="1" applyAlignment="1">
      <alignment/>
    </xf>
    <xf numFmtId="0" fontId="5" fillId="0" borderId="0" xfId="0" applyFont="1" applyFill="1" applyAlignment="1">
      <alignment horizontal="center"/>
    </xf>
    <xf numFmtId="0" fontId="1" fillId="0" borderId="21" xfId="0" applyFont="1" applyFill="1" applyBorder="1" applyAlignment="1">
      <alignment horizontal="left"/>
    </xf>
    <xf numFmtId="0" fontId="1" fillId="0" borderId="83" xfId="0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84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85" xfId="0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34" xfId="0" applyNumberFormat="1" applyFill="1" applyBorder="1" applyAlignment="1">
      <alignment/>
    </xf>
    <xf numFmtId="3" fontId="0" fillId="0" borderId="35" xfId="0" applyNumberForma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0" fillId="0" borderId="86" xfId="0" applyFill="1" applyBorder="1" applyAlignment="1">
      <alignment horizontal="center"/>
    </xf>
    <xf numFmtId="0" fontId="0" fillId="0" borderId="87" xfId="0" applyFill="1" applyBorder="1" applyAlignment="1">
      <alignment/>
    </xf>
    <xf numFmtId="4" fontId="0" fillId="0" borderId="28" xfId="0" applyNumberFormat="1" applyFill="1" applyBorder="1" applyAlignment="1">
      <alignment/>
    </xf>
    <xf numFmtId="4" fontId="0" fillId="0" borderId="67" xfId="0" applyNumberFormat="1" applyFill="1" applyBorder="1" applyAlignment="1">
      <alignment/>
    </xf>
    <xf numFmtId="0" fontId="0" fillId="0" borderId="88" xfId="0" applyFill="1" applyBorder="1" applyAlignment="1">
      <alignment horizontal="center"/>
    </xf>
    <xf numFmtId="0" fontId="0" fillId="0" borderId="89" xfId="0" applyFill="1" applyBorder="1" applyAlignment="1">
      <alignment/>
    </xf>
    <xf numFmtId="4" fontId="0" fillId="0" borderId="64" xfId="0" applyNumberFormat="1" applyFill="1" applyBorder="1" applyAlignment="1">
      <alignment/>
    </xf>
    <xf numFmtId="4" fontId="0" fillId="0" borderId="73" xfId="0" applyNumberFormat="1" applyFill="1" applyBorder="1" applyAlignment="1">
      <alignment/>
    </xf>
    <xf numFmtId="0" fontId="0" fillId="0" borderId="47" xfId="0" applyFill="1" applyBorder="1" applyAlignment="1">
      <alignment/>
    </xf>
    <xf numFmtId="0" fontId="0" fillId="0" borderId="90" xfId="0" applyFill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40" xfId="0" applyNumberFormat="1" applyFill="1" applyBorder="1" applyAlignment="1">
      <alignment/>
    </xf>
    <xf numFmtId="4" fontId="0" fillId="0" borderId="13" xfId="0" applyNumberFormat="1" applyFill="1" applyBorder="1" applyAlignment="1">
      <alignment/>
    </xf>
    <xf numFmtId="3" fontId="0" fillId="0" borderId="38" xfId="0" applyNumberFormat="1" applyFill="1" applyBorder="1" applyAlignment="1">
      <alignment/>
    </xf>
    <xf numFmtId="3" fontId="5" fillId="0" borderId="0" xfId="0" applyNumberFormat="1" applyFont="1" applyFill="1" applyAlignment="1">
      <alignment/>
    </xf>
    <xf numFmtId="4" fontId="5" fillId="0" borderId="0" xfId="0" applyNumberFormat="1" applyFont="1" applyFill="1" applyBorder="1" applyAlignment="1">
      <alignment/>
    </xf>
    <xf numFmtId="3" fontId="20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0" fillId="0" borderId="78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91" xfId="0" applyFont="1" applyFill="1" applyBorder="1" applyAlignment="1">
      <alignment horizontal="center"/>
    </xf>
    <xf numFmtId="0" fontId="0" fillId="0" borderId="8" xfId="0" applyFont="1" applyFill="1" applyBorder="1" applyAlignment="1">
      <alignment/>
    </xf>
    <xf numFmtId="0" fontId="0" fillId="0" borderId="92" xfId="0" applyFont="1" applyFill="1" applyBorder="1" applyAlignment="1">
      <alignment horizontal="center"/>
    </xf>
    <xf numFmtId="0" fontId="0" fillId="0" borderId="93" xfId="0" applyFont="1" applyFill="1" applyBorder="1" applyAlignment="1">
      <alignment horizontal="center"/>
    </xf>
    <xf numFmtId="0" fontId="0" fillId="0" borderId="80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94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9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93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95" xfId="0" applyFont="1" applyFill="1" applyBorder="1" applyAlignment="1">
      <alignment/>
    </xf>
    <xf numFmtId="0" fontId="0" fillId="0" borderId="96" xfId="0" applyFont="1" applyFill="1" applyBorder="1" applyAlignment="1">
      <alignment horizontal="center"/>
    </xf>
    <xf numFmtId="0" fontId="0" fillId="0" borderId="97" xfId="0" applyFont="1" applyFill="1" applyBorder="1" applyAlignment="1">
      <alignment horizontal="center"/>
    </xf>
    <xf numFmtId="0" fontId="0" fillId="0" borderId="9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99" xfId="0" applyFont="1" applyFill="1" applyBorder="1" applyAlignment="1">
      <alignment/>
    </xf>
    <xf numFmtId="3" fontId="0" fillId="0" borderId="92" xfId="0" applyNumberFormat="1" applyFont="1" applyFill="1" applyBorder="1" applyAlignment="1">
      <alignment/>
    </xf>
    <xf numFmtId="0" fontId="0" fillId="0" borderId="86" xfId="0" applyFont="1" applyFill="1" applyBorder="1" applyAlignment="1">
      <alignment horizontal="center"/>
    </xf>
    <xf numFmtId="0" fontId="0" fillId="0" borderId="87" xfId="0" applyFont="1" applyFill="1" applyBorder="1" applyAlignment="1">
      <alignment/>
    </xf>
    <xf numFmtId="3" fontId="0" fillId="0" borderId="100" xfId="0" applyNumberFormat="1" applyFont="1" applyFill="1" applyBorder="1" applyAlignment="1">
      <alignment/>
    </xf>
    <xf numFmtId="0" fontId="0" fillId="0" borderId="88" xfId="0" applyFont="1" applyFill="1" applyBorder="1" applyAlignment="1">
      <alignment horizontal="center"/>
    </xf>
    <xf numFmtId="0" fontId="0" fillId="0" borderId="89" xfId="0" applyFont="1" applyFill="1" applyBorder="1" applyAlignment="1">
      <alignment/>
    </xf>
    <xf numFmtId="3" fontId="0" fillId="0" borderId="71" xfId="0" applyNumberFormat="1" applyFont="1" applyFill="1" applyBorder="1" applyAlignment="1">
      <alignment/>
    </xf>
    <xf numFmtId="0" fontId="12" fillId="0" borderId="47" xfId="0" applyFont="1" applyFill="1" applyBorder="1" applyAlignment="1">
      <alignment/>
    </xf>
    <xf numFmtId="0" fontId="0" fillId="0" borderId="10" xfId="0" applyFill="1" applyBorder="1" applyAlignment="1">
      <alignment/>
    </xf>
    <xf numFmtId="3" fontId="0" fillId="0" borderId="13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2" fontId="0" fillId="0" borderId="13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43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76" xfId="0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84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83" xfId="0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101" xfId="0" applyFont="1" applyFill="1" applyBorder="1" applyAlignment="1">
      <alignment horizontal="center"/>
    </xf>
    <xf numFmtId="3" fontId="0" fillId="0" borderId="4" xfId="0" applyNumberFormat="1" applyFont="1" applyFill="1" applyBorder="1" applyAlignment="1">
      <alignment/>
    </xf>
    <xf numFmtId="3" fontId="0" fillId="0" borderId="56" xfId="0" applyNumberFormat="1" applyFont="1" applyFill="1" applyBorder="1" applyAlignment="1">
      <alignment/>
    </xf>
    <xf numFmtId="3" fontId="0" fillId="0" borderId="102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0" fontId="5" fillId="0" borderId="0" xfId="0" applyNumberFormat="1" applyFont="1" applyFill="1" applyBorder="1" applyAlignment="1">
      <alignment/>
    </xf>
    <xf numFmtId="0" fontId="12" fillId="0" borderId="21" xfId="0" applyFont="1" applyFill="1" applyBorder="1" applyAlignment="1">
      <alignment horizontal="center"/>
    </xf>
    <xf numFmtId="0" fontId="12" fillId="0" borderId="103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0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04" xfId="0" applyFill="1" applyBorder="1" applyAlignment="1">
      <alignment/>
    </xf>
    <xf numFmtId="3" fontId="12" fillId="0" borderId="8" xfId="0" applyNumberFormat="1" applyFont="1" applyFill="1" applyBorder="1" applyAlignment="1">
      <alignment/>
    </xf>
    <xf numFmtId="3" fontId="12" fillId="0" borderId="92" xfId="0" applyNumberFormat="1" applyFont="1" applyFill="1" applyBorder="1" applyAlignment="1">
      <alignment/>
    </xf>
    <xf numFmtId="3" fontId="12" fillId="0" borderId="35" xfId="0" applyNumberFormat="1" applyFont="1" applyFill="1" applyBorder="1" applyAlignment="1">
      <alignment/>
    </xf>
    <xf numFmtId="3" fontId="0" fillId="0" borderId="8" xfId="0" applyNumberFormat="1" applyFill="1" applyBorder="1" applyAlignment="1">
      <alignment/>
    </xf>
    <xf numFmtId="3" fontId="0" fillId="0" borderId="92" xfId="0" applyNumberFormat="1" applyFill="1" applyBorder="1" applyAlignment="1">
      <alignment/>
    </xf>
    <xf numFmtId="0" fontId="0" fillId="0" borderId="60" xfId="0" applyFill="1" applyBorder="1" applyAlignment="1">
      <alignment/>
    </xf>
    <xf numFmtId="3" fontId="12" fillId="0" borderId="86" xfId="0" applyNumberFormat="1" applyFont="1" applyFill="1" applyBorder="1" applyAlignment="1">
      <alignment/>
    </xf>
    <xf numFmtId="3" fontId="12" fillId="0" borderId="100" xfId="0" applyNumberFormat="1" applyFont="1" applyFill="1" applyBorder="1" applyAlignment="1">
      <alignment/>
    </xf>
    <xf numFmtId="3" fontId="12" fillId="0" borderId="29" xfId="0" applyNumberFormat="1" applyFont="1" applyFill="1" applyBorder="1" applyAlignment="1">
      <alignment/>
    </xf>
    <xf numFmtId="3" fontId="0" fillId="0" borderId="86" xfId="0" applyNumberFormat="1" applyFill="1" applyBorder="1" applyAlignment="1">
      <alignment/>
    </xf>
    <xf numFmtId="3" fontId="0" fillId="0" borderId="100" xfId="0" applyNumberFormat="1" applyFill="1" applyBorder="1" applyAlignment="1">
      <alignment/>
    </xf>
    <xf numFmtId="0" fontId="0" fillId="0" borderId="105" xfId="0" applyFill="1" applyBorder="1" applyAlignment="1">
      <alignment/>
    </xf>
    <xf numFmtId="3" fontId="12" fillId="0" borderId="88" xfId="0" applyNumberFormat="1" applyFont="1" applyFill="1" applyBorder="1" applyAlignment="1">
      <alignment/>
    </xf>
    <xf numFmtId="3" fontId="12" fillId="0" borderId="71" xfId="0" applyNumberFormat="1" applyFont="1" applyFill="1" applyBorder="1" applyAlignment="1">
      <alignment/>
    </xf>
    <xf numFmtId="3" fontId="12" fillId="0" borderId="74" xfId="0" applyNumberFormat="1" applyFont="1" applyFill="1" applyBorder="1" applyAlignment="1">
      <alignment/>
    </xf>
    <xf numFmtId="3" fontId="0" fillId="0" borderId="88" xfId="0" applyNumberFormat="1" applyFill="1" applyBorder="1" applyAlignment="1">
      <alignment/>
    </xf>
    <xf numFmtId="3" fontId="0" fillId="0" borderId="71" xfId="0" applyNumberFormat="1" applyFill="1" applyBorder="1" applyAlignment="1">
      <alignment/>
    </xf>
    <xf numFmtId="3" fontId="12" fillId="0" borderId="47" xfId="0" applyNumberFormat="1" applyFont="1" applyFill="1" applyBorder="1" applyAlignment="1">
      <alignment/>
    </xf>
    <xf numFmtId="3" fontId="12" fillId="0" borderId="13" xfId="0" applyNumberFormat="1" applyFont="1" applyFill="1" applyBorder="1" applyAlignment="1">
      <alignment/>
    </xf>
    <xf numFmtId="3" fontId="12" fillId="0" borderId="38" xfId="0" applyNumberFormat="1" applyFont="1" applyFill="1" applyBorder="1" applyAlignment="1">
      <alignment/>
    </xf>
    <xf numFmtId="3" fontId="0" fillId="0" borderId="47" xfId="0" applyNumberFormat="1" applyFill="1" applyBorder="1" applyAlignment="1">
      <alignment/>
    </xf>
    <xf numFmtId="4" fontId="5" fillId="0" borderId="0" xfId="0" applyNumberFormat="1" applyFont="1" applyFill="1" applyAlignment="1">
      <alignment/>
    </xf>
    <xf numFmtId="3" fontId="19" fillId="0" borderId="0" xfId="0" applyNumberFormat="1" applyFont="1" applyAlignment="1">
      <alignment horizontal="right"/>
    </xf>
    <xf numFmtId="176" fontId="5" fillId="0" borderId="0" xfId="0" applyNumberFormat="1" applyFont="1" applyFill="1" applyBorder="1" applyAlignment="1">
      <alignment/>
    </xf>
    <xf numFmtId="0" fontId="20" fillId="0" borderId="0" xfId="0" applyFont="1" applyAlignment="1">
      <alignment horizontal="center"/>
    </xf>
    <xf numFmtId="3" fontId="20" fillId="0" borderId="0" xfId="0" applyNumberFormat="1" applyFont="1" applyAlignment="1">
      <alignment horizontal="right"/>
    </xf>
    <xf numFmtId="3" fontId="14" fillId="0" borderId="0" xfId="0" applyNumberFormat="1" applyFont="1" applyAlignment="1">
      <alignment/>
    </xf>
    <xf numFmtId="0" fontId="5" fillId="0" borderId="21" xfId="0" applyFont="1" applyBorder="1" applyAlignment="1">
      <alignment/>
    </xf>
    <xf numFmtId="0" fontId="5" fillId="0" borderId="5" xfId="0" applyFont="1" applyBorder="1" applyAlignment="1">
      <alignment horizontal="left"/>
    </xf>
    <xf numFmtId="0" fontId="5" fillId="0" borderId="48" xfId="0" applyFont="1" applyBorder="1" applyAlignment="1">
      <alignment/>
    </xf>
    <xf numFmtId="0" fontId="6" fillId="0" borderId="70" xfId="0" applyFont="1" applyBorder="1" applyAlignment="1">
      <alignment horizontal="left"/>
    </xf>
    <xf numFmtId="0" fontId="2" fillId="0" borderId="0" xfId="21" applyFont="1">
      <alignment/>
      <protection/>
    </xf>
    <xf numFmtId="0" fontId="5" fillId="0" borderId="0" xfId="21" applyFont="1" applyAlignment="1">
      <alignment horizontal="center"/>
      <protection/>
    </xf>
    <xf numFmtId="0" fontId="5" fillId="0" borderId="0" xfId="21" applyFont="1">
      <alignment/>
      <protection/>
    </xf>
    <xf numFmtId="0" fontId="6" fillId="0" borderId="0" xfId="21" applyFont="1">
      <alignment/>
      <protection/>
    </xf>
    <xf numFmtId="0" fontId="0" fillId="0" borderId="0" xfId="21" applyFont="1">
      <alignment/>
      <protection/>
    </xf>
    <xf numFmtId="0" fontId="0" fillId="0" borderId="0" xfId="21" applyFont="1" applyAlignment="1">
      <alignment horizontal="center"/>
      <protection/>
    </xf>
    <xf numFmtId="0" fontId="5" fillId="0" borderId="78" xfId="21" applyFont="1" applyBorder="1">
      <alignment/>
      <protection/>
    </xf>
    <xf numFmtId="0" fontId="5" fillId="0" borderId="106" xfId="21" applyFont="1" applyBorder="1" applyAlignment="1">
      <alignment horizontal="center"/>
      <protection/>
    </xf>
    <xf numFmtId="0" fontId="5" fillId="0" borderId="76" xfId="21" applyFont="1" applyBorder="1">
      <alignment/>
      <protection/>
    </xf>
    <xf numFmtId="0" fontId="5" fillId="0" borderId="21" xfId="21" applyFont="1" applyBorder="1">
      <alignment/>
      <protection/>
    </xf>
    <xf numFmtId="0" fontId="5" fillId="0" borderId="6" xfId="21" applyFont="1" applyBorder="1" applyAlignment="1">
      <alignment horizontal="center"/>
      <protection/>
    </xf>
    <xf numFmtId="0" fontId="5" fillId="0" borderId="84" xfId="21" applyFont="1" applyBorder="1">
      <alignment/>
      <protection/>
    </xf>
    <xf numFmtId="0" fontId="6" fillId="0" borderId="0" xfId="21" applyFont="1">
      <alignment/>
      <protection/>
    </xf>
    <xf numFmtId="0" fontId="5" fillId="0" borderId="0" xfId="21" applyFont="1">
      <alignment/>
      <protection/>
    </xf>
    <xf numFmtId="0" fontId="6" fillId="0" borderId="0" xfId="21" applyFont="1" applyAlignment="1">
      <alignment horizontal="center"/>
      <protection/>
    </xf>
    <xf numFmtId="0" fontId="9" fillId="0" borderId="0" xfId="21" applyFont="1">
      <alignment/>
      <protection/>
    </xf>
    <xf numFmtId="0" fontId="23" fillId="0" borderId="0" xfId="21" applyFont="1">
      <alignment/>
      <protection/>
    </xf>
    <xf numFmtId="0" fontId="5" fillId="0" borderId="0" xfId="21" applyFont="1" applyBorder="1">
      <alignment/>
      <protection/>
    </xf>
    <xf numFmtId="0" fontId="5" fillId="0" borderId="8" xfId="21" applyFont="1" applyBorder="1">
      <alignment/>
      <protection/>
    </xf>
    <xf numFmtId="0" fontId="5" fillId="0" borderId="36" xfId="21" applyFont="1" applyBorder="1" applyAlignment="1">
      <alignment horizontal="center"/>
      <protection/>
    </xf>
    <xf numFmtId="0" fontId="5" fillId="0" borderId="66" xfId="21" applyFont="1" applyBorder="1" applyAlignment="1">
      <alignment horizontal="center"/>
      <protection/>
    </xf>
    <xf numFmtId="0" fontId="5" fillId="0" borderId="100" xfId="21" applyFont="1" applyBorder="1">
      <alignment/>
      <protection/>
    </xf>
    <xf numFmtId="0" fontId="5" fillId="0" borderId="107" xfId="21" applyFont="1" applyBorder="1" applyAlignment="1">
      <alignment horizontal="center"/>
      <protection/>
    </xf>
    <xf numFmtId="0" fontId="10" fillId="0" borderId="0" xfId="21" applyFont="1">
      <alignment/>
      <protection/>
    </xf>
    <xf numFmtId="0" fontId="5" fillId="0" borderId="108" xfId="21" applyFont="1" applyBorder="1" applyAlignment="1">
      <alignment horizontal="center"/>
      <protection/>
    </xf>
    <xf numFmtId="0" fontId="10" fillId="2" borderId="109" xfId="21" applyFont="1" applyFill="1" applyBorder="1" applyAlignment="1">
      <alignment horizontal="center"/>
      <protection/>
    </xf>
    <xf numFmtId="0" fontId="10" fillId="2" borderId="110" xfId="21" applyFont="1" applyFill="1" applyBorder="1" applyAlignment="1">
      <alignment horizontal="center"/>
      <protection/>
    </xf>
    <xf numFmtId="0" fontId="5" fillId="0" borderId="109" xfId="21" applyFont="1" applyBorder="1">
      <alignment/>
      <protection/>
    </xf>
    <xf numFmtId="0" fontId="10" fillId="0" borderId="8" xfId="21" applyFont="1" applyBorder="1">
      <alignment/>
      <protection/>
    </xf>
    <xf numFmtId="0" fontId="10" fillId="0" borderId="0" xfId="21" applyFont="1">
      <alignment/>
      <protection/>
    </xf>
    <xf numFmtId="0" fontId="5" fillId="0" borderId="111" xfId="21" applyFont="1" applyBorder="1" applyAlignment="1">
      <alignment horizontal="center"/>
      <protection/>
    </xf>
    <xf numFmtId="0" fontId="5" fillId="0" borderId="0" xfId="21" applyFont="1" applyBorder="1">
      <alignment/>
      <protection/>
    </xf>
    <xf numFmtId="0" fontId="5" fillId="0" borderId="100" xfId="21" applyFont="1" applyBorder="1" applyAlignment="1">
      <alignment horizontal="center"/>
      <protection/>
    </xf>
    <xf numFmtId="0" fontId="5" fillId="0" borderId="28" xfId="21" applyFont="1" applyBorder="1">
      <alignment/>
      <protection/>
    </xf>
    <xf numFmtId="0" fontId="20" fillId="0" borderId="0" xfId="21" applyFont="1">
      <alignment/>
      <protection/>
    </xf>
    <xf numFmtId="3" fontId="5" fillId="0" borderId="66" xfId="21" applyNumberFormat="1" applyFont="1" applyBorder="1" applyAlignment="1">
      <alignment horizontal="right"/>
      <protection/>
    </xf>
    <xf numFmtId="3" fontId="6" fillId="0" borderId="0" xfId="21" applyNumberFormat="1" applyFont="1">
      <alignment/>
      <protection/>
    </xf>
    <xf numFmtId="3" fontId="0" fillId="0" borderId="4" xfId="0" applyNumberFormat="1" applyFont="1" applyBorder="1" applyAlignment="1">
      <alignment/>
    </xf>
    <xf numFmtId="0" fontId="0" fillId="0" borderId="35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1" fillId="0" borderId="0" xfId="0" applyNumberFormat="1" applyFont="1" applyAlignment="1">
      <alignment/>
    </xf>
    <xf numFmtId="0" fontId="12" fillId="0" borderId="12" xfId="0" applyFont="1" applyBorder="1" applyAlignment="1">
      <alignment horizontal="center"/>
    </xf>
    <xf numFmtId="3" fontId="12" fillId="0" borderId="112" xfId="0" applyNumberFormat="1" applyFont="1" applyBorder="1" applyAlignment="1">
      <alignment/>
    </xf>
    <xf numFmtId="0" fontId="5" fillId="0" borderId="79" xfId="21" applyFont="1" applyBorder="1">
      <alignment/>
      <protection/>
    </xf>
    <xf numFmtId="0" fontId="0" fillId="0" borderId="53" xfId="0" applyBorder="1" applyAlignment="1">
      <alignment/>
    </xf>
    <xf numFmtId="3" fontId="0" fillId="0" borderId="113" xfId="0" applyNumberFormat="1" applyBorder="1" applyAlignment="1">
      <alignment/>
    </xf>
    <xf numFmtId="3" fontId="12" fillId="0" borderId="0" xfId="0" applyNumberFormat="1" applyFont="1" applyAlignment="1">
      <alignment/>
    </xf>
    <xf numFmtId="0" fontId="12" fillId="0" borderId="57" xfId="0" applyFont="1" applyBorder="1" applyAlignment="1">
      <alignment horizontal="center"/>
    </xf>
    <xf numFmtId="3" fontId="12" fillId="0" borderId="58" xfId="0" applyNumberFormat="1" applyFont="1" applyBorder="1" applyAlignment="1">
      <alignment/>
    </xf>
    <xf numFmtId="0" fontId="12" fillId="0" borderId="67" xfId="0" applyFont="1" applyBorder="1" applyAlignment="1">
      <alignment/>
    </xf>
    <xf numFmtId="0" fontId="12" fillId="0" borderId="73" xfId="0" applyFont="1" applyBorder="1" applyAlignment="1">
      <alignment/>
    </xf>
    <xf numFmtId="0" fontId="12" fillId="0" borderId="24" xfId="0" applyFont="1" applyBorder="1" applyAlignment="1">
      <alignment/>
    </xf>
    <xf numFmtId="0" fontId="0" fillId="0" borderId="78" xfId="0" applyFont="1" applyFill="1" applyBorder="1" applyAlignment="1">
      <alignment/>
    </xf>
    <xf numFmtId="0" fontId="0" fillId="0" borderId="106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12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6" xfId="0" applyFont="1" applyFill="1" applyBorder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12" fillId="0" borderId="101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0" fontId="0" fillId="0" borderId="114" xfId="0" applyFon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3" fontId="12" fillId="0" borderId="58" xfId="0" applyNumberFormat="1" applyFont="1" applyFill="1" applyBorder="1" applyAlignment="1">
      <alignment/>
    </xf>
    <xf numFmtId="2" fontId="0" fillId="0" borderId="25" xfId="0" applyNumberFormat="1" applyFont="1" applyFill="1" applyBorder="1" applyAlignment="1">
      <alignment horizontal="center"/>
    </xf>
    <xf numFmtId="3" fontId="0" fillId="0" borderId="0" xfId="22" applyNumberFormat="1" applyFont="1" applyFill="1" applyBorder="1">
      <alignment/>
      <protection/>
    </xf>
    <xf numFmtId="0" fontId="0" fillId="0" borderId="8" xfId="0" applyFont="1" applyFill="1" applyBorder="1" applyAlignment="1">
      <alignment horizontal="center"/>
    </xf>
    <xf numFmtId="0" fontId="0" fillId="0" borderId="36" xfId="0" applyFont="1" applyFill="1" applyBorder="1" applyAlignment="1">
      <alignment/>
    </xf>
    <xf numFmtId="3" fontId="12" fillId="0" borderId="4" xfId="0" applyNumberFormat="1" applyFont="1" applyFill="1" applyBorder="1" applyAlignment="1">
      <alignment/>
    </xf>
    <xf numFmtId="2" fontId="0" fillId="0" borderId="35" xfId="0" applyNumberFormat="1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0" fillId="0" borderId="37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43" xfId="0" applyNumberFormat="1" applyFont="1" applyFill="1" applyBorder="1" applyAlignment="1">
      <alignment/>
    </xf>
    <xf numFmtId="3" fontId="12" fillId="0" borderId="112" xfId="0" applyNumberFormat="1" applyFont="1" applyFill="1" applyBorder="1" applyAlignment="1">
      <alignment/>
    </xf>
    <xf numFmtId="2" fontId="0" fillId="0" borderId="38" xfId="0" applyNumberFormat="1" applyFont="1" applyFill="1" applyBorder="1" applyAlignment="1">
      <alignment horizontal="center"/>
    </xf>
    <xf numFmtId="0" fontId="12" fillId="0" borderId="115" xfId="0" applyFont="1" applyBorder="1" applyAlignment="1">
      <alignment/>
    </xf>
    <xf numFmtId="0" fontId="12" fillId="0" borderId="59" xfId="0" applyFont="1" applyBorder="1" applyAlignment="1">
      <alignment/>
    </xf>
    <xf numFmtId="0" fontId="12" fillId="0" borderId="116" xfId="0" applyFont="1" applyBorder="1" applyAlignment="1">
      <alignment/>
    </xf>
    <xf numFmtId="3" fontId="12" fillId="0" borderId="56" xfId="0" applyNumberFormat="1" applyFont="1" applyBorder="1" applyAlignment="1">
      <alignment/>
    </xf>
    <xf numFmtId="3" fontId="12" fillId="0" borderId="102" xfId="0" applyNumberFormat="1" applyFont="1" applyBorder="1" applyAlignment="1">
      <alignment/>
    </xf>
    <xf numFmtId="0" fontId="12" fillId="0" borderId="117" xfId="0" applyFont="1" applyBorder="1" applyAlignment="1">
      <alignment horizontal="left"/>
    </xf>
    <xf numFmtId="0" fontId="12" fillId="0" borderId="118" xfId="0" applyFont="1" applyBorder="1" applyAlignment="1">
      <alignment/>
    </xf>
    <xf numFmtId="0" fontId="12" fillId="0" borderId="119" xfId="0" applyFont="1" applyBorder="1" applyAlignment="1">
      <alignment/>
    </xf>
    <xf numFmtId="0" fontId="12" fillId="0" borderId="55" xfId="0" applyFont="1" applyBorder="1" applyAlignment="1">
      <alignment horizontal="center"/>
    </xf>
    <xf numFmtId="0" fontId="12" fillId="0" borderId="65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27" fillId="0" borderId="3" xfId="0" applyFont="1" applyBorder="1" applyAlignment="1">
      <alignment horizontal="center"/>
    </xf>
    <xf numFmtId="3" fontId="27" fillId="0" borderId="15" xfId="0" applyNumberFormat="1" applyFont="1" applyBorder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78" xfId="0" applyFont="1" applyBorder="1" applyAlignment="1">
      <alignment/>
    </xf>
    <xf numFmtId="0" fontId="0" fillId="0" borderId="106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120" xfId="0" applyFont="1" applyBorder="1" applyAlignment="1">
      <alignment horizontal="center"/>
    </xf>
    <xf numFmtId="0" fontId="0" fillId="0" borderId="121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122" xfId="0" applyFont="1" applyBorder="1" applyAlignment="1">
      <alignment horizontal="center"/>
    </xf>
    <xf numFmtId="0" fontId="0" fillId="0" borderId="123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3" fontId="0" fillId="0" borderId="0" xfId="0" applyNumberFormat="1" applyFont="1" applyAlignment="1">
      <alignment/>
    </xf>
    <xf numFmtId="0" fontId="0" fillId="0" borderId="86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0" fillId="0" borderId="124" xfId="0" applyFont="1" applyBorder="1" applyAlignment="1">
      <alignment horizontal="center"/>
    </xf>
    <xf numFmtId="0" fontId="0" fillId="0" borderId="125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9" xfId="0" applyFont="1" applyFill="1" applyBorder="1" applyAlignment="1">
      <alignment/>
    </xf>
    <xf numFmtId="3" fontId="12" fillId="0" borderId="126" xfId="0" applyNumberFormat="1" applyFont="1" applyBorder="1" applyAlignment="1">
      <alignment/>
    </xf>
    <xf numFmtId="3" fontId="0" fillId="0" borderId="127" xfId="0" applyNumberFormat="1" applyFont="1" applyBorder="1" applyAlignment="1">
      <alignment/>
    </xf>
    <xf numFmtId="0" fontId="29" fillId="0" borderId="0" xfId="0" applyFont="1" applyAlignment="1">
      <alignment/>
    </xf>
    <xf numFmtId="0" fontId="0" fillId="0" borderId="50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84" xfId="0" applyFont="1" applyBorder="1" applyAlignment="1">
      <alignment horizontal="center"/>
    </xf>
    <xf numFmtId="0" fontId="0" fillId="0" borderId="128" xfId="0" applyFont="1" applyBorder="1" applyAlignment="1">
      <alignment horizontal="center"/>
    </xf>
    <xf numFmtId="3" fontId="0" fillId="0" borderId="92" xfId="0" applyNumberFormat="1" applyFont="1" applyBorder="1" applyAlignment="1">
      <alignment/>
    </xf>
    <xf numFmtId="3" fontId="0" fillId="0" borderId="93" xfId="0" applyNumberFormat="1" applyFont="1" applyBorder="1" applyAlignment="1">
      <alignment/>
    </xf>
    <xf numFmtId="3" fontId="0" fillId="0" borderId="100" xfId="0" applyNumberFormat="1" applyFont="1" applyBorder="1" applyAlignment="1">
      <alignment/>
    </xf>
    <xf numFmtId="3" fontId="0" fillId="0" borderId="129" xfId="0" applyNumberFormat="1" applyFont="1" applyBorder="1" applyAlignment="1">
      <alignment/>
    </xf>
    <xf numFmtId="0" fontId="0" fillId="0" borderId="61" xfId="0" applyFont="1" applyBorder="1" applyAlignment="1">
      <alignment horizontal="center"/>
    </xf>
    <xf numFmtId="3" fontId="0" fillId="0" borderId="107" xfId="0" applyNumberFormat="1" applyFont="1" applyBorder="1" applyAlignment="1">
      <alignment/>
    </xf>
    <xf numFmtId="3" fontId="0" fillId="0" borderId="130" xfId="0" applyNumberFormat="1" applyFont="1" applyBorder="1" applyAlignment="1">
      <alignment/>
    </xf>
    <xf numFmtId="3" fontId="1" fillId="0" borderId="93" xfId="0" applyNumberFormat="1" applyFont="1" applyBorder="1" applyAlignment="1">
      <alignment/>
    </xf>
    <xf numFmtId="0" fontId="0" fillId="0" borderId="65" xfId="0" applyFont="1" applyBorder="1" applyAlignment="1">
      <alignment horizontal="center"/>
    </xf>
    <xf numFmtId="3" fontId="12" fillId="2" borderId="131" xfId="0" applyNumberFormat="1" applyFont="1" applyFill="1" applyBorder="1" applyAlignment="1">
      <alignment/>
    </xf>
    <xf numFmtId="0" fontId="0" fillId="0" borderId="131" xfId="0" applyFont="1" applyBorder="1" applyAlignment="1">
      <alignment horizontal="center"/>
    </xf>
    <xf numFmtId="0" fontId="0" fillId="0" borderId="14" xfId="0" applyFont="1" applyFill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32" xfId="0" applyNumberFormat="1" applyFont="1" applyBorder="1" applyAlignment="1">
      <alignment/>
    </xf>
    <xf numFmtId="3" fontId="0" fillId="2" borderId="131" xfId="0" applyNumberFormat="1" applyFont="1" applyFill="1" applyBorder="1" applyAlignment="1">
      <alignment/>
    </xf>
    <xf numFmtId="3" fontId="0" fillId="0" borderId="133" xfId="0" applyNumberFormat="1" applyFont="1" applyBorder="1" applyAlignment="1">
      <alignment/>
    </xf>
    <xf numFmtId="0" fontId="0" fillId="0" borderId="28" xfId="0" applyFont="1" applyFill="1" applyBorder="1" applyAlignment="1">
      <alignment/>
    </xf>
    <xf numFmtId="3" fontId="0" fillId="0" borderId="41" xfId="0" applyNumberFormat="1" applyFont="1" applyBorder="1" applyAlignment="1">
      <alignment/>
    </xf>
    <xf numFmtId="3" fontId="1" fillId="0" borderId="26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3" fontId="1" fillId="0" borderId="129" xfId="0" applyNumberFormat="1" applyFont="1" applyBorder="1" applyAlignment="1">
      <alignment/>
    </xf>
    <xf numFmtId="3" fontId="1" fillId="0" borderId="100" xfId="0" applyNumberFormat="1" applyFont="1" applyBorder="1" applyAlignment="1">
      <alignment/>
    </xf>
    <xf numFmtId="4" fontId="13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3" fontId="14" fillId="0" borderId="0" xfId="0" applyNumberFormat="1" applyFont="1" applyFill="1" applyBorder="1" applyAlignment="1">
      <alignment/>
    </xf>
    <xf numFmtId="3" fontId="12" fillId="2" borderId="57" xfId="0" applyNumberFormat="1" applyFont="1" applyFill="1" applyBorder="1" applyAlignment="1">
      <alignment/>
    </xf>
    <xf numFmtId="0" fontId="31" fillId="0" borderId="0" xfId="0" applyFont="1" applyFill="1" applyAlignment="1">
      <alignment/>
    </xf>
    <xf numFmtId="2" fontId="31" fillId="0" borderId="0" xfId="0" applyNumberFormat="1" applyFont="1" applyFill="1" applyAlignment="1">
      <alignment/>
    </xf>
    <xf numFmtId="1" fontId="31" fillId="0" borderId="0" xfId="0" applyNumberFormat="1" applyFont="1" applyFill="1" applyAlignment="1">
      <alignment/>
    </xf>
    <xf numFmtId="0" fontId="28" fillId="0" borderId="0" xfId="0" applyFont="1" applyFill="1" applyAlignment="1">
      <alignment/>
    </xf>
    <xf numFmtId="167" fontId="24" fillId="0" borderId="0" xfId="0" applyNumberFormat="1" applyFont="1" applyFill="1" applyAlignment="1">
      <alignment/>
    </xf>
    <xf numFmtId="167" fontId="24" fillId="0" borderId="78" xfId="0" applyNumberFormat="1" applyFont="1" applyFill="1" applyBorder="1" applyAlignment="1">
      <alignment/>
    </xf>
    <xf numFmtId="0" fontId="24" fillId="0" borderId="76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Alignment="1">
      <alignment/>
    </xf>
    <xf numFmtId="0" fontId="24" fillId="0" borderId="92" xfId="0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3" fontId="28" fillId="0" borderId="92" xfId="0" applyNumberFormat="1" applyFont="1" applyFill="1" applyBorder="1" applyAlignment="1">
      <alignment/>
    </xf>
    <xf numFmtId="3" fontId="28" fillId="0" borderId="93" xfId="0" applyNumberFormat="1" applyFont="1" applyFill="1" applyBorder="1" applyAlignment="1">
      <alignment/>
    </xf>
    <xf numFmtId="3" fontId="24" fillId="0" borderId="0" xfId="0" applyNumberFormat="1" applyFont="1" applyFill="1" applyBorder="1" applyAlignment="1">
      <alignment/>
    </xf>
    <xf numFmtId="3" fontId="28" fillId="0" borderId="0" xfId="0" applyNumberFormat="1" applyFont="1" applyFill="1" applyBorder="1" applyAlignment="1">
      <alignment/>
    </xf>
    <xf numFmtId="3" fontId="28" fillId="0" borderId="41" xfId="0" applyNumberFormat="1" applyFont="1" applyFill="1" applyBorder="1" applyAlignment="1">
      <alignment/>
    </xf>
    <xf numFmtId="3" fontId="28" fillId="0" borderId="100" xfId="0" applyNumberFormat="1" applyFont="1" applyFill="1" applyBorder="1" applyAlignment="1">
      <alignment/>
    </xf>
    <xf numFmtId="3" fontId="28" fillId="0" borderId="129" xfId="0" applyNumberFormat="1" applyFont="1" applyFill="1" applyBorder="1" applyAlignment="1">
      <alignment/>
    </xf>
    <xf numFmtId="3" fontId="28" fillId="0" borderId="55" xfId="0" applyNumberFormat="1" applyFont="1" applyFill="1" applyBorder="1" applyAlignment="1">
      <alignment/>
    </xf>
    <xf numFmtId="3" fontId="28" fillId="0" borderId="71" xfId="0" applyNumberFormat="1" applyFont="1" applyFill="1" applyBorder="1" applyAlignment="1">
      <alignment/>
    </xf>
    <xf numFmtId="3" fontId="28" fillId="0" borderId="7" xfId="0" applyNumberFormat="1" applyFont="1" applyFill="1" applyBorder="1" applyAlignment="1">
      <alignment/>
    </xf>
    <xf numFmtId="0" fontId="28" fillId="0" borderId="92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3" fontId="28" fillId="0" borderId="0" xfId="0" applyNumberFormat="1" applyFont="1" applyFill="1" applyAlignment="1">
      <alignment/>
    </xf>
    <xf numFmtId="0" fontId="28" fillId="0" borderId="0" xfId="0" applyFont="1" applyFill="1" applyBorder="1" applyAlignment="1">
      <alignment horizontal="center"/>
    </xf>
    <xf numFmtId="1" fontId="28" fillId="0" borderId="0" xfId="0" applyNumberFormat="1" applyFont="1" applyFill="1" applyAlignment="1">
      <alignment/>
    </xf>
    <xf numFmtId="0" fontId="26" fillId="0" borderId="0" xfId="0" applyFont="1" applyFill="1" applyAlignment="1">
      <alignment/>
    </xf>
    <xf numFmtId="167" fontId="28" fillId="0" borderId="0" xfId="0" applyNumberFormat="1" applyFont="1" applyFill="1" applyAlignment="1">
      <alignment/>
    </xf>
    <xf numFmtId="2" fontId="28" fillId="0" borderId="0" xfId="0" applyNumberFormat="1" applyFont="1" applyFill="1" applyAlignment="1">
      <alignment/>
    </xf>
    <xf numFmtId="0" fontId="32" fillId="0" borderId="0" xfId="0" applyFont="1" applyFill="1" applyAlignment="1">
      <alignment/>
    </xf>
    <xf numFmtId="0" fontId="27" fillId="0" borderId="0" xfId="0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1" fontId="28" fillId="0" borderId="0" xfId="0" applyNumberFormat="1" applyFont="1" applyFill="1" applyBorder="1" applyAlignment="1">
      <alignment/>
    </xf>
    <xf numFmtId="3" fontId="28" fillId="0" borderId="134" xfId="0" applyNumberFormat="1" applyFont="1" applyFill="1" applyBorder="1" applyAlignment="1">
      <alignment/>
    </xf>
    <xf numFmtId="4" fontId="28" fillId="0" borderId="66" xfId="0" applyNumberFormat="1" applyFont="1" applyFill="1" applyBorder="1" applyAlignment="1">
      <alignment/>
    </xf>
    <xf numFmtId="3" fontId="33" fillId="0" borderId="0" xfId="0" applyNumberFormat="1" applyFont="1" applyFill="1" applyBorder="1" applyAlignment="1">
      <alignment/>
    </xf>
    <xf numFmtId="0" fontId="13" fillId="0" borderId="46" xfId="0" applyFont="1" applyBorder="1" applyAlignment="1">
      <alignment horizontal="center"/>
    </xf>
    <xf numFmtId="0" fontId="13" fillId="0" borderId="17" xfId="0" applyFont="1" applyBorder="1" applyAlignment="1">
      <alignment horizontal="left"/>
    </xf>
    <xf numFmtId="0" fontId="13" fillId="0" borderId="9" xfId="0" applyFont="1" applyBorder="1" applyAlignment="1">
      <alignment/>
    </xf>
    <xf numFmtId="3" fontId="13" fillId="2" borderId="135" xfId="0" applyNumberFormat="1" applyFont="1" applyFill="1" applyBorder="1" applyAlignment="1">
      <alignment/>
    </xf>
    <xf numFmtId="3" fontId="13" fillId="0" borderId="109" xfId="0" applyNumberFormat="1" applyFont="1" applyBorder="1" applyAlignment="1">
      <alignment/>
    </xf>
    <xf numFmtId="3" fontId="13" fillId="0" borderId="136" xfId="0" applyNumberFormat="1" applyFont="1" applyBorder="1" applyAlignment="1">
      <alignment/>
    </xf>
    <xf numFmtId="3" fontId="13" fillId="0" borderId="9" xfId="0" applyNumberFormat="1" applyFont="1" applyBorder="1" applyAlignment="1">
      <alignment/>
    </xf>
    <xf numFmtId="3" fontId="13" fillId="0" borderId="31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0" fontId="12" fillId="0" borderId="135" xfId="0" applyFont="1" applyBorder="1" applyAlignment="1">
      <alignment horizontal="center"/>
    </xf>
    <xf numFmtId="0" fontId="12" fillId="0" borderId="96" xfId="0" applyFont="1" applyBorder="1" applyAlignment="1">
      <alignment/>
    </xf>
    <xf numFmtId="3" fontId="12" fillId="2" borderId="135" xfId="0" applyNumberFormat="1" applyFont="1" applyFill="1" applyBorder="1" applyAlignment="1">
      <alignment/>
    </xf>
    <xf numFmtId="3" fontId="12" fillId="0" borderId="96" xfId="0" applyNumberFormat="1" applyFont="1" applyBorder="1" applyAlignment="1">
      <alignment/>
    </xf>
    <xf numFmtId="3" fontId="12" fillId="0" borderId="136" xfId="0" applyNumberFormat="1" applyFont="1" applyBorder="1" applyAlignment="1">
      <alignment/>
    </xf>
    <xf numFmtId="3" fontId="12" fillId="0" borderId="137" xfId="0" applyNumberFormat="1" applyFont="1" applyBorder="1" applyAlignment="1">
      <alignment/>
    </xf>
    <xf numFmtId="4" fontId="1" fillId="0" borderId="0" xfId="0" applyNumberFormat="1" applyFont="1" applyFill="1" applyBorder="1" applyAlignment="1">
      <alignment/>
    </xf>
    <xf numFmtId="0" fontId="34" fillId="0" borderId="0" xfId="0" applyFont="1" applyAlignment="1">
      <alignment/>
    </xf>
    <xf numFmtId="3" fontId="1" fillId="0" borderId="0" xfId="0" applyNumberFormat="1" applyFont="1" applyAlignment="1">
      <alignment/>
    </xf>
    <xf numFmtId="3" fontId="22" fillId="0" borderId="0" xfId="0" applyNumberFormat="1" applyFont="1" applyFill="1" applyBorder="1" applyAlignment="1">
      <alignment/>
    </xf>
    <xf numFmtId="0" fontId="0" fillId="0" borderId="1" xfId="0" applyBorder="1" applyAlignment="1">
      <alignment/>
    </xf>
    <xf numFmtId="4" fontId="0" fillId="0" borderId="92" xfId="0" applyNumberFormat="1" applyFill="1" applyBorder="1" applyAlignment="1">
      <alignment/>
    </xf>
    <xf numFmtId="4" fontId="0" fillId="0" borderId="100" xfId="0" applyNumberFormat="1" applyFill="1" applyBorder="1" applyAlignment="1">
      <alignment/>
    </xf>
    <xf numFmtId="4" fontId="0" fillId="0" borderId="71" xfId="0" applyNumberFormat="1" applyFill="1" applyBorder="1" applyAlignment="1">
      <alignment/>
    </xf>
    <xf numFmtId="0" fontId="11" fillId="0" borderId="15" xfId="21" applyFont="1" applyBorder="1" applyAlignment="1">
      <alignment horizontal="center"/>
      <protection/>
    </xf>
    <xf numFmtId="0" fontId="11" fillId="0" borderId="101" xfId="21" applyFont="1" applyBorder="1" applyAlignment="1">
      <alignment horizontal="center"/>
      <protection/>
    </xf>
    <xf numFmtId="0" fontId="5" fillId="3" borderId="47" xfId="21" applyFont="1" applyFill="1" applyBorder="1">
      <alignment/>
      <protection/>
    </xf>
    <xf numFmtId="0" fontId="5" fillId="3" borderId="10" xfId="21" applyFont="1" applyFill="1" applyBorder="1" applyAlignment="1">
      <alignment horizontal="center"/>
      <protection/>
    </xf>
    <xf numFmtId="0" fontId="11" fillId="3" borderId="90" xfId="21" applyFont="1" applyFill="1" applyBorder="1" applyAlignment="1">
      <alignment horizontal="center"/>
      <protection/>
    </xf>
    <xf numFmtId="0" fontId="5" fillId="0" borderId="7" xfId="21" applyFont="1" applyBorder="1">
      <alignment/>
      <protection/>
    </xf>
    <xf numFmtId="0" fontId="5" fillId="0" borderId="92" xfId="21" applyFont="1" applyFill="1" applyBorder="1" applyAlignment="1">
      <alignment horizontal="center"/>
      <protection/>
    </xf>
    <xf numFmtId="0" fontId="10" fillId="0" borderId="92" xfId="21" applyFont="1" applyBorder="1" applyAlignment="1">
      <alignment horizontal="center"/>
      <protection/>
    </xf>
    <xf numFmtId="0" fontId="10" fillId="0" borderId="14" xfId="21" applyFont="1" applyBorder="1">
      <alignment/>
      <protection/>
    </xf>
    <xf numFmtId="3" fontId="10" fillId="0" borderId="138" xfId="21" applyNumberFormat="1" applyFont="1" applyBorder="1" applyAlignment="1">
      <alignment horizontal="right"/>
      <protection/>
    </xf>
    <xf numFmtId="0" fontId="10" fillId="0" borderId="28" xfId="21" applyFont="1" applyBorder="1">
      <alignment/>
      <protection/>
    </xf>
    <xf numFmtId="3" fontId="10" fillId="0" borderId="66" xfId="21" applyNumberFormat="1" applyFont="1" applyBorder="1" applyAlignment="1">
      <alignment horizontal="right"/>
      <protection/>
    </xf>
    <xf numFmtId="0" fontId="37" fillId="0" borderId="8" xfId="21" applyFont="1" applyBorder="1">
      <alignment/>
      <protection/>
    </xf>
    <xf numFmtId="0" fontId="37" fillId="0" borderId="41" xfId="21" applyFont="1" applyBorder="1" applyAlignment="1">
      <alignment horizontal="center"/>
      <protection/>
    </xf>
    <xf numFmtId="0" fontId="10" fillId="0" borderId="48" xfId="21" applyFont="1" applyBorder="1">
      <alignment/>
      <protection/>
    </xf>
    <xf numFmtId="3" fontId="10" fillId="0" borderId="125" xfId="21" applyNumberFormat="1" applyFont="1" applyBorder="1" applyAlignment="1">
      <alignment horizontal="right"/>
      <protection/>
    </xf>
    <xf numFmtId="3" fontId="10" fillId="0" borderId="138" xfId="21" applyNumberFormat="1" applyFont="1" applyBorder="1">
      <alignment/>
      <protection/>
    </xf>
    <xf numFmtId="0" fontId="5" fillId="0" borderId="100" xfId="21" applyFont="1" applyFill="1" applyBorder="1">
      <alignment/>
      <protection/>
    </xf>
    <xf numFmtId="3" fontId="5" fillId="0" borderId="66" xfId="21" applyNumberFormat="1" applyFont="1" applyBorder="1">
      <alignment/>
      <protection/>
    </xf>
    <xf numFmtId="3" fontId="5" fillId="0" borderId="66" xfId="21" applyNumberFormat="1" applyFont="1" applyFill="1" applyBorder="1">
      <alignment/>
      <protection/>
    </xf>
    <xf numFmtId="0" fontId="5" fillId="0" borderId="111" xfId="21" applyFont="1" applyFill="1" applyBorder="1">
      <alignment/>
      <protection/>
    </xf>
    <xf numFmtId="3" fontId="5" fillId="0" borderId="108" xfId="21" applyNumberFormat="1" applyFont="1" applyFill="1" applyBorder="1">
      <alignment/>
      <protection/>
    </xf>
    <xf numFmtId="0" fontId="5" fillId="0" borderId="138" xfId="21" applyFont="1" applyFill="1" applyBorder="1" applyAlignment="1">
      <alignment horizontal="center"/>
      <protection/>
    </xf>
    <xf numFmtId="0" fontId="5" fillId="0" borderId="77" xfId="21" applyFont="1" applyFill="1" applyBorder="1">
      <alignment/>
      <protection/>
    </xf>
    <xf numFmtId="3" fontId="5" fillId="0" borderId="138" xfId="21" applyNumberFormat="1" applyFont="1" applyFill="1" applyBorder="1">
      <alignment/>
      <protection/>
    </xf>
    <xf numFmtId="3" fontId="10" fillId="0" borderId="138" xfId="21" applyNumberFormat="1" applyFont="1" applyFill="1" applyBorder="1">
      <alignment/>
      <protection/>
    </xf>
    <xf numFmtId="3" fontId="10" fillId="2" borderId="109" xfId="21" applyNumberFormat="1" applyFont="1" applyFill="1" applyBorder="1">
      <alignment/>
      <protection/>
    </xf>
    <xf numFmtId="3" fontId="5" fillId="0" borderId="109" xfId="21" applyNumberFormat="1" applyFont="1" applyBorder="1">
      <alignment/>
      <protection/>
    </xf>
    <xf numFmtId="3" fontId="5" fillId="0" borderId="36" xfId="21" applyNumberFormat="1" applyFont="1" applyBorder="1" applyAlignment="1">
      <alignment horizontal="right"/>
      <protection/>
    </xf>
    <xf numFmtId="0" fontId="5" fillId="0" borderId="41" xfId="21" applyFont="1" applyBorder="1">
      <alignment/>
      <protection/>
    </xf>
    <xf numFmtId="0" fontId="10" fillId="2" borderId="17" xfId="21" applyFont="1" applyFill="1" applyBorder="1" applyAlignment="1">
      <alignment horizontal="center"/>
      <protection/>
    </xf>
    <xf numFmtId="0" fontId="5" fillId="0" borderId="139" xfId="21" applyFont="1" applyBorder="1" applyAlignment="1">
      <alignment horizontal="center"/>
      <protection/>
    </xf>
    <xf numFmtId="0" fontId="5" fillId="0" borderId="139" xfId="21" applyFont="1" applyBorder="1">
      <alignment/>
      <protection/>
    </xf>
    <xf numFmtId="3" fontId="5" fillId="0" borderId="139" xfId="21" applyNumberFormat="1" applyFont="1" applyBorder="1">
      <alignment/>
      <protection/>
    </xf>
    <xf numFmtId="0" fontId="11" fillId="3" borderId="10" xfId="21" applyFont="1" applyFill="1" applyBorder="1" applyAlignment="1">
      <alignment horizontal="center"/>
      <protection/>
    </xf>
    <xf numFmtId="3" fontId="11" fillId="3" borderId="37" xfId="21" applyNumberFormat="1" applyFont="1" applyFill="1" applyBorder="1">
      <alignment/>
      <protection/>
    </xf>
    <xf numFmtId="0" fontId="5" fillId="0" borderId="84" xfId="21" applyFont="1" applyBorder="1" applyAlignment="1">
      <alignment horizontal="center"/>
      <protection/>
    </xf>
    <xf numFmtId="0" fontId="5" fillId="0" borderId="2" xfId="21" applyFont="1" applyBorder="1" applyAlignment="1">
      <alignment horizontal="center"/>
      <protection/>
    </xf>
    <xf numFmtId="0" fontId="5" fillId="0" borderId="0" xfId="21" applyFont="1" applyFill="1" applyBorder="1" applyAlignment="1">
      <alignment horizontal="center"/>
      <protection/>
    </xf>
    <xf numFmtId="3" fontId="11" fillId="0" borderId="0" xfId="21" applyNumberFormat="1" applyFont="1" applyFill="1" applyBorder="1">
      <alignment/>
      <protection/>
    </xf>
    <xf numFmtId="0" fontId="0" fillId="0" borderId="15" xfId="0" applyFont="1" applyFill="1" applyBorder="1" applyAlignment="1">
      <alignment horizontal="center"/>
    </xf>
    <xf numFmtId="0" fontId="0" fillId="0" borderId="101" xfId="0" applyFont="1" applyFill="1" applyBorder="1" applyAlignment="1">
      <alignment horizontal="center"/>
    </xf>
    <xf numFmtId="3" fontId="0" fillId="0" borderId="58" xfId="0" applyNumberFormat="1" applyFont="1" applyFill="1" applyBorder="1" applyAlignment="1">
      <alignment/>
    </xf>
    <xf numFmtId="3" fontId="0" fillId="0" borderId="112" xfId="0" applyNumberFormat="1" applyFont="1" applyFill="1" applyBorder="1" applyAlignment="1">
      <alignment/>
    </xf>
    <xf numFmtId="4" fontId="0" fillId="0" borderId="92" xfId="0" applyNumberFormat="1" applyFont="1" applyFill="1" applyBorder="1" applyAlignment="1">
      <alignment/>
    </xf>
    <xf numFmtId="4" fontId="0" fillId="0" borderId="100" xfId="0" applyNumberFormat="1" applyFont="1" applyFill="1" applyBorder="1" applyAlignment="1">
      <alignment/>
    </xf>
    <xf numFmtId="4" fontId="0" fillId="0" borderId="71" xfId="0" applyNumberFormat="1" applyFont="1" applyFill="1" applyBorder="1" applyAlignment="1">
      <alignment/>
    </xf>
    <xf numFmtId="3" fontId="0" fillId="0" borderId="93" xfId="0" applyNumberFormat="1" applyFill="1" applyBorder="1" applyAlignment="1">
      <alignment/>
    </xf>
    <xf numFmtId="3" fontId="0" fillId="0" borderId="129" xfId="0" applyNumberFormat="1" applyFill="1" applyBorder="1" applyAlignment="1">
      <alignment/>
    </xf>
    <xf numFmtId="3" fontId="0" fillId="0" borderId="75" xfId="0" applyNumberFormat="1" applyFill="1" applyBorder="1" applyAlignment="1">
      <alignment/>
    </xf>
    <xf numFmtId="164" fontId="5" fillId="0" borderId="92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0" fillId="0" borderId="92" xfId="0" applyNumberFormat="1" applyFont="1" applyFill="1" applyBorder="1" applyAlignment="1">
      <alignment/>
    </xf>
    <xf numFmtId="164" fontId="5" fillId="0" borderId="100" xfId="0" applyNumberFormat="1" applyFont="1" applyFill="1" applyBorder="1" applyAlignment="1">
      <alignment/>
    </xf>
    <xf numFmtId="164" fontId="0" fillId="0" borderId="28" xfId="0" applyNumberFormat="1" applyFont="1" applyFill="1" applyBorder="1" applyAlignment="1">
      <alignment/>
    </xf>
    <xf numFmtId="164" fontId="0" fillId="0" borderId="100" xfId="0" applyNumberFormat="1" applyFont="1" applyFill="1" applyBorder="1" applyAlignment="1">
      <alignment/>
    </xf>
    <xf numFmtId="164" fontId="5" fillId="0" borderId="71" xfId="0" applyNumberFormat="1" applyFont="1" applyFill="1" applyBorder="1" applyAlignment="1">
      <alignment/>
    </xf>
    <xf numFmtId="164" fontId="0" fillId="0" borderId="64" xfId="0" applyNumberFormat="1" applyFont="1" applyFill="1" applyBorder="1" applyAlignment="1">
      <alignment/>
    </xf>
    <xf numFmtId="164" fontId="0" fillId="0" borderId="71" xfId="0" applyNumberFormat="1" applyFont="1" applyFill="1" applyBorder="1" applyAlignment="1">
      <alignment/>
    </xf>
    <xf numFmtId="164" fontId="0" fillId="0" borderId="13" xfId="0" applyNumberFormat="1" applyFont="1" applyFill="1" applyBorder="1" applyAlignment="1">
      <alignment/>
    </xf>
    <xf numFmtId="164" fontId="0" fillId="0" borderId="90" xfId="0" applyNumberFormat="1" applyFont="1" applyFill="1" applyBorder="1" applyAlignment="1">
      <alignment/>
    </xf>
    <xf numFmtId="164" fontId="0" fillId="0" borderId="140" xfId="0" applyNumberFormat="1" applyFont="1" applyFill="1" applyBorder="1" applyAlignment="1">
      <alignment/>
    </xf>
    <xf numFmtId="164" fontId="0" fillId="0" borderId="134" xfId="0" applyNumberFormat="1" applyFont="1" applyFill="1" applyBorder="1" applyAlignment="1">
      <alignment/>
    </xf>
    <xf numFmtId="164" fontId="0" fillId="0" borderId="141" xfId="0" applyNumberFormat="1" applyFont="1" applyFill="1" applyBorder="1" applyAlignment="1">
      <alignment/>
    </xf>
    <xf numFmtId="3" fontId="0" fillId="0" borderId="93" xfId="0" applyNumberFormat="1" applyFont="1" applyFill="1" applyBorder="1" applyAlignment="1">
      <alignment/>
    </xf>
    <xf numFmtId="3" fontId="0" fillId="0" borderId="129" xfId="0" applyNumberFormat="1" applyFont="1" applyFill="1" applyBorder="1" applyAlignment="1">
      <alignment/>
    </xf>
    <xf numFmtId="3" fontId="0" fillId="0" borderId="75" xfId="0" applyNumberFormat="1" applyFont="1" applyFill="1" applyBorder="1" applyAlignment="1">
      <alignment/>
    </xf>
    <xf numFmtId="14" fontId="19" fillId="0" borderId="0" xfId="21" applyNumberFormat="1" applyFont="1">
      <alignment/>
      <protection/>
    </xf>
    <xf numFmtId="0" fontId="5" fillId="0" borderId="0" xfId="21" applyFont="1" applyAlignment="1">
      <alignment horizontal="right"/>
      <protection/>
    </xf>
    <xf numFmtId="0" fontId="6" fillId="0" borderId="106" xfId="21" applyFont="1" applyBorder="1" applyAlignment="1">
      <alignment horizontal="center"/>
      <protection/>
    </xf>
    <xf numFmtId="0" fontId="5" fillId="0" borderId="106" xfId="21" applyFont="1" applyBorder="1" applyAlignment="1">
      <alignment horizontal="center"/>
      <protection/>
    </xf>
    <xf numFmtId="0" fontId="6" fillId="0" borderId="6" xfId="21" applyFont="1" applyBorder="1" applyAlignment="1">
      <alignment horizontal="center"/>
      <protection/>
    </xf>
    <xf numFmtId="0" fontId="5" fillId="0" borderId="6" xfId="21" applyFont="1" applyBorder="1" applyAlignment="1">
      <alignment horizontal="center"/>
      <protection/>
    </xf>
    <xf numFmtId="0" fontId="11" fillId="0" borderId="84" xfId="21" applyFont="1" applyBorder="1" applyAlignment="1">
      <alignment horizontal="center"/>
      <protection/>
    </xf>
    <xf numFmtId="3" fontId="6" fillId="3" borderId="10" xfId="21" applyNumberFormat="1" applyFont="1" applyFill="1" applyBorder="1" applyAlignment="1">
      <alignment horizontal="right"/>
      <protection/>
    </xf>
    <xf numFmtId="3" fontId="6" fillId="3" borderId="13" xfId="21" applyNumberFormat="1" applyFont="1" applyFill="1" applyBorder="1" applyAlignment="1">
      <alignment horizontal="right"/>
      <protection/>
    </xf>
    <xf numFmtId="3" fontId="5" fillId="3" borderId="37" xfId="21" applyNumberFormat="1" applyFont="1" applyFill="1" applyBorder="1" applyAlignment="1">
      <alignment horizontal="right"/>
      <protection/>
    </xf>
    <xf numFmtId="0" fontId="5" fillId="2" borderId="142" xfId="21" applyFont="1" applyFill="1" applyBorder="1" applyAlignment="1">
      <alignment horizontal="center"/>
      <protection/>
    </xf>
    <xf numFmtId="0" fontId="5" fillId="2" borderId="143" xfId="21" applyFont="1" applyFill="1" applyBorder="1">
      <alignment/>
      <protection/>
    </xf>
    <xf numFmtId="3" fontId="6" fillId="2" borderId="144" xfId="21" applyNumberFormat="1" applyFont="1" applyFill="1" applyBorder="1" applyAlignment="1">
      <alignment horizontal="right"/>
      <protection/>
    </xf>
    <xf numFmtId="3" fontId="6" fillId="2" borderId="144" xfId="21" applyNumberFormat="1" applyFont="1" applyFill="1" applyBorder="1">
      <alignment/>
      <protection/>
    </xf>
    <xf numFmtId="3" fontId="5" fillId="2" borderId="144" xfId="21" applyNumberFormat="1" applyFont="1" applyFill="1" applyBorder="1">
      <alignment/>
      <protection/>
    </xf>
    <xf numFmtId="3" fontId="6" fillId="0" borderId="138" xfId="21" applyNumberFormat="1" applyFont="1" applyFill="1" applyBorder="1" applyAlignment="1">
      <alignment horizontal="right"/>
      <protection/>
    </xf>
    <xf numFmtId="3" fontId="6" fillId="0" borderId="138" xfId="21" applyNumberFormat="1" applyFont="1" applyFill="1" applyBorder="1">
      <alignment/>
      <protection/>
    </xf>
    <xf numFmtId="0" fontId="5" fillId="0" borderId="140" xfId="21" applyFont="1" applyFill="1" applyBorder="1">
      <alignment/>
      <protection/>
    </xf>
    <xf numFmtId="3" fontId="6" fillId="0" borderId="36" xfId="21" applyNumberFormat="1" applyFont="1" applyFill="1" applyBorder="1" applyAlignment="1">
      <alignment horizontal="right"/>
      <protection/>
    </xf>
    <xf numFmtId="3" fontId="6" fillId="0" borderId="36" xfId="21" applyNumberFormat="1" applyFont="1" applyFill="1" applyBorder="1">
      <alignment/>
      <protection/>
    </xf>
    <xf numFmtId="3" fontId="5" fillId="0" borderId="36" xfId="21" applyNumberFormat="1" applyFont="1" applyFill="1" applyBorder="1">
      <alignment/>
      <protection/>
    </xf>
    <xf numFmtId="0" fontId="5" fillId="2" borderId="97" xfId="21" applyFont="1" applyFill="1" applyBorder="1" applyAlignment="1">
      <alignment horizontal="center"/>
      <protection/>
    </xf>
    <xf numFmtId="0" fontId="5" fillId="2" borderId="110" xfId="21" applyFont="1" applyFill="1" applyBorder="1">
      <alignment/>
      <protection/>
    </xf>
    <xf numFmtId="3" fontId="6" fillId="2" borderId="109" xfId="21" applyNumberFormat="1" applyFont="1" applyFill="1" applyBorder="1" applyAlignment="1">
      <alignment horizontal="right"/>
      <protection/>
    </xf>
    <xf numFmtId="3" fontId="6" fillId="2" borderId="109" xfId="21" applyNumberFormat="1" applyFont="1" applyFill="1" applyBorder="1">
      <alignment/>
      <protection/>
    </xf>
    <xf numFmtId="3" fontId="5" fillId="2" borderId="109" xfId="21" applyNumberFormat="1" applyFont="1" applyFill="1" applyBorder="1">
      <alignment/>
      <protection/>
    </xf>
    <xf numFmtId="3" fontId="5" fillId="2" borderId="109" xfId="21" applyNumberFormat="1" applyFont="1" applyFill="1" applyBorder="1" applyAlignment="1">
      <alignment horizontal="right"/>
      <protection/>
    </xf>
    <xf numFmtId="3" fontId="9" fillId="0" borderId="138" xfId="21" applyNumberFormat="1" applyFont="1" applyBorder="1" applyAlignment="1">
      <alignment horizontal="center"/>
      <protection/>
    </xf>
    <xf numFmtId="3" fontId="9" fillId="0" borderId="138" xfId="21" applyNumberFormat="1" applyFont="1" applyBorder="1" applyAlignment="1">
      <alignment horizontal="right"/>
      <protection/>
    </xf>
    <xf numFmtId="3" fontId="9" fillId="0" borderId="66" xfId="21" applyNumberFormat="1" applyFont="1" applyBorder="1" applyAlignment="1">
      <alignment horizontal="center"/>
      <protection/>
    </xf>
    <xf numFmtId="3" fontId="9" fillId="0" borderId="66" xfId="21" applyNumberFormat="1" applyFont="1" applyBorder="1" applyAlignment="1">
      <alignment horizontal="right"/>
      <protection/>
    </xf>
    <xf numFmtId="3" fontId="9" fillId="0" borderId="125" xfId="21" applyNumberFormat="1" applyFont="1" applyBorder="1" applyAlignment="1">
      <alignment horizontal="center"/>
      <protection/>
    </xf>
    <xf numFmtId="3" fontId="9" fillId="0" borderId="125" xfId="21" applyNumberFormat="1" applyFont="1" applyBorder="1" applyAlignment="1">
      <alignment horizontal="right"/>
      <protection/>
    </xf>
    <xf numFmtId="0" fontId="5" fillId="2" borderId="96" xfId="21" applyFont="1" applyFill="1" applyBorder="1">
      <alignment/>
      <protection/>
    </xf>
    <xf numFmtId="3" fontId="6" fillId="2" borderId="97" xfId="21" applyNumberFormat="1" applyFont="1" applyFill="1" applyBorder="1" applyAlignment="1">
      <alignment horizontal="right"/>
      <protection/>
    </xf>
    <xf numFmtId="0" fontId="37" fillId="0" borderId="50" xfId="21" applyFont="1" applyBorder="1" applyAlignment="1">
      <alignment horizontal="center"/>
      <protection/>
    </xf>
    <xf numFmtId="3" fontId="9" fillId="0" borderId="77" xfId="21" applyNumberFormat="1" applyFont="1" applyBorder="1" applyAlignment="1">
      <alignment horizontal="center"/>
      <protection/>
    </xf>
    <xf numFmtId="3" fontId="9" fillId="0" borderId="138" xfId="21" applyNumberFormat="1" applyFont="1" applyBorder="1">
      <alignment/>
      <protection/>
    </xf>
    <xf numFmtId="0" fontId="37" fillId="0" borderId="0" xfId="21" applyFont="1" applyBorder="1" applyAlignment="1">
      <alignment horizontal="center"/>
      <protection/>
    </xf>
    <xf numFmtId="3" fontId="9" fillId="0" borderId="0" xfId="21" applyNumberFormat="1" applyFont="1" applyBorder="1">
      <alignment/>
      <protection/>
    </xf>
    <xf numFmtId="3" fontId="9" fillId="0" borderId="36" xfId="21" applyNumberFormat="1" applyFont="1" applyBorder="1">
      <alignment/>
      <protection/>
    </xf>
    <xf numFmtId="3" fontId="10" fillId="0" borderId="36" xfId="21" applyNumberFormat="1" applyFont="1" applyBorder="1">
      <alignment/>
      <protection/>
    </xf>
    <xf numFmtId="3" fontId="5" fillId="3" borderId="37" xfId="21" applyNumberFormat="1" applyFont="1" applyFill="1" applyBorder="1" applyAlignment="1">
      <alignment horizontal="right"/>
      <protection/>
    </xf>
    <xf numFmtId="3" fontId="6" fillId="0" borderId="66" xfId="21" applyNumberFormat="1" applyFont="1" applyBorder="1">
      <alignment/>
      <protection/>
    </xf>
    <xf numFmtId="3" fontId="6" fillId="0" borderId="66" xfId="21" applyNumberFormat="1" applyFont="1" applyFill="1" applyBorder="1">
      <alignment/>
      <protection/>
    </xf>
    <xf numFmtId="3" fontId="6" fillId="0" borderId="108" xfId="21" applyNumberFormat="1" applyFont="1" applyFill="1" applyBorder="1">
      <alignment/>
      <protection/>
    </xf>
    <xf numFmtId="3" fontId="9" fillId="0" borderId="138" xfId="21" applyNumberFormat="1" applyFont="1" applyFill="1" applyBorder="1">
      <alignment/>
      <protection/>
    </xf>
    <xf numFmtId="0" fontId="40" fillId="0" borderId="8" xfId="21" applyFont="1" applyBorder="1">
      <alignment/>
      <protection/>
    </xf>
    <xf numFmtId="0" fontId="41" fillId="0" borderId="108" xfId="21" applyFont="1" applyBorder="1" applyAlignment="1">
      <alignment horizontal="center"/>
      <protection/>
    </xf>
    <xf numFmtId="0" fontId="41" fillId="0" borderId="77" xfId="21" applyFont="1" applyBorder="1">
      <alignment/>
      <protection/>
    </xf>
    <xf numFmtId="3" fontId="42" fillId="0" borderId="138" xfId="21" applyNumberFormat="1" applyFont="1" applyBorder="1">
      <alignment/>
      <protection/>
    </xf>
    <xf numFmtId="3" fontId="40" fillId="0" borderId="138" xfId="21" applyNumberFormat="1" applyFont="1" applyBorder="1">
      <alignment/>
      <protection/>
    </xf>
    <xf numFmtId="3" fontId="9" fillId="2" borderId="109" xfId="21" applyNumberFormat="1" applyFont="1" applyFill="1" applyBorder="1">
      <alignment/>
      <protection/>
    </xf>
    <xf numFmtId="3" fontId="6" fillId="0" borderId="139" xfId="21" applyNumberFormat="1" applyFont="1" applyBorder="1">
      <alignment/>
      <protection/>
    </xf>
    <xf numFmtId="0" fontId="5" fillId="0" borderId="17" xfId="21" applyFont="1" applyBorder="1">
      <alignment/>
      <protection/>
    </xf>
    <xf numFmtId="3" fontId="6" fillId="0" borderId="17" xfId="21" applyNumberFormat="1" applyFont="1" applyBorder="1">
      <alignment/>
      <protection/>
    </xf>
    <xf numFmtId="3" fontId="5" fillId="0" borderId="17" xfId="21" applyNumberFormat="1" applyFont="1" applyBorder="1">
      <alignment/>
      <protection/>
    </xf>
    <xf numFmtId="3" fontId="6" fillId="0" borderId="36" xfId="21" applyNumberFormat="1" applyFont="1" applyBorder="1" applyAlignment="1">
      <alignment horizontal="center"/>
      <protection/>
    </xf>
    <xf numFmtId="3" fontId="6" fillId="0" borderId="36" xfId="21" applyNumberFormat="1" applyFont="1" applyBorder="1" applyAlignment="1">
      <alignment horizontal="right"/>
      <protection/>
    </xf>
    <xf numFmtId="3" fontId="6" fillId="0" borderId="66" xfId="21" applyNumberFormat="1" applyFont="1" applyBorder="1" applyAlignment="1">
      <alignment horizontal="center"/>
      <protection/>
    </xf>
    <xf numFmtId="3" fontId="6" fillId="0" borderId="66" xfId="21" applyNumberFormat="1" applyFont="1" applyBorder="1" applyAlignment="1">
      <alignment horizontal="right"/>
      <protection/>
    </xf>
    <xf numFmtId="3" fontId="9" fillId="2" borderId="97" xfId="21" applyNumberFormat="1" applyFont="1" applyFill="1" applyBorder="1">
      <alignment/>
      <protection/>
    </xf>
    <xf numFmtId="3" fontId="6" fillId="0" borderId="109" xfId="21" applyNumberFormat="1" applyFont="1" applyBorder="1">
      <alignment/>
      <protection/>
    </xf>
    <xf numFmtId="3" fontId="15" fillId="3" borderId="37" xfId="21" applyNumberFormat="1" applyFont="1" applyFill="1" applyBorder="1">
      <alignment/>
      <protection/>
    </xf>
    <xf numFmtId="3" fontId="6" fillId="0" borderId="6" xfId="21" applyNumberFormat="1" applyFont="1" applyBorder="1">
      <alignment/>
      <protection/>
    </xf>
    <xf numFmtId="3" fontId="5" fillId="0" borderId="6" xfId="21" applyNumberFormat="1" applyFont="1" applyBorder="1">
      <alignment/>
      <protection/>
    </xf>
    <xf numFmtId="0" fontId="5" fillId="0" borderId="0" xfId="21" applyFont="1" applyFill="1" applyBorder="1">
      <alignment/>
      <protection/>
    </xf>
    <xf numFmtId="3" fontId="6" fillId="0" borderId="0" xfId="21" applyNumberFormat="1" applyFont="1" applyFill="1" applyBorder="1">
      <alignment/>
      <protection/>
    </xf>
    <xf numFmtId="3" fontId="5" fillId="0" borderId="0" xfId="21" applyNumberFormat="1" applyFont="1" applyFill="1" applyBorder="1">
      <alignment/>
      <protection/>
    </xf>
    <xf numFmtId="0" fontId="6" fillId="0" borderId="0" xfId="21" applyFont="1" applyFill="1">
      <alignment/>
      <protection/>
    </xf>
    <xf numFmtId="0" fontId="44" fillId="0" borderId="0" xfId="21" applyFont="1">
      <alignment/>
      <protection/>
    </xf>
    <xf numFmtId="0" fontId="26" fillId="0" borderId="0" xfId="21" applyFont="1" applyBorder="1">
      <alignment/>
      <protection/>
    </xf>
    <xf numFmtId="0" fontId="26" fillId="0" borderId="0" xfId="21" applyFont="1">
      <alignment/>
      <protection/>
    </xf>
    <xf numFmtId="3" fontId="26" fillId="0" borderId="0" xfId="21" applyNumberFormat="1" applyFont="1" applyBorder="1">
      <alignment/>
      <protection/>
    </xf>
    <xf numFmtId="3" fontId="26" fillId="0" borderId="0" xfId="21" applyNumberFormat="1" applyFont="1" applyBorder="1">
      <alignment/>
      <protection/>
    </xf>
    <xf numFmtId="3" fontId="45" fillId="0" borderId="0" xfId="21" applyNumberFormat="1" applyFont="1" applyBorder="1">
      <alignment/>
      <protection/>
    </xf>
    <xf numFmtId="0" fontId="5" fillId="0" borderId="145" xfId="21" applyFont="1" applyBorder="1">
      <alignment/>
      <protection/>
    </xf>
    <xf numFmtId="0" fontId="5" fillId="0" borderId="142" xfId="21" applyFont="1" applyBorder="1" applyAlignment="1">
      <alignment horizontal="center"/>
      <protection/>
    </xf>
    <xf numFmtId="0" fontId="11" fillId="0" borderId="146" xfId="21" applyFont="1" applyBorder="1" applyAlignment="1">
      <alignment horizontal="center"/>
      <protection/>
    </xf>
    <xf numFmtId="0" fontId="6" fillId="0" borderId="142" xfId="21" applyFont="1" applyBorder="1" applyAlignment="1">
      <alignment horizontal="center"/>
      <protection/>
    </xf>
    <xf numFmtId="0" fontId="5" fillId="0" borderId="147" xfId="21" applyFont="1" applyBorder="1" applyAlignment="1">
      <alignment horizontal="center"/>
      <protection/>
    </xf>
    <xf numFmtId="0" fontId="5" fillId="0" borderId="8" xfId="21" applyFont="1" applyBorder="1">
      <alignment/>
      <protection/>
    </xf>
    <xf numFmtId="0" fontId="5" fillId="0" borderId="92" xfId="21" applyFont="1" applyBorder="1" applyAlignment="1">
      <alignment horizontal="center"/>
      <protection/>
    </xf>
    <xf numFmtId="3" fontId="6" fillId="0" borderId="92" xfId="21" applyNumberFormat="1" applyFont="1" applyBorder="1">
      <alignment/>
      <protection/>
    </xf>
    <xf numFmtId="3" fontId="5" fillId="0" borderId="92" xfId="21" applyNumberFormat="1" applyFont="1" applyBorder="1">
      <alignment/>
      <protection/>
    </xf>
    <xf numFmtId="3" fontId="5" fillId="0" borderId="93" xfId="21" applyNumberFormat="1" applyFont="1" applyBorder="1">
      <alignment/>
      <protection/>
    </xf>
    <xf numFmtId="0" fontId="5" fillId="0" borderId="86" xfId="21" applyFont="1" applyBorder="1">
      <alignment/>
      <protection/>
    </xf>
    <xf numFmtId="0" fontId="5" fillId="0" borderId="100" xfId="21" applyFont="1" applyBorder="1" applyAlignment="1">
      <alignment horizontal="center"/>
      <protection/>
    </xf>
    <xf numFmtId="0" fontId="5" fillId="0" borderId="28" xfId="21" applyFont="1" applyBorder="1">
      <alignment/>
      <protection/>
    </xf>
    <xf numFmtId="3" fontId="6" fillId="0" borderId="100" xfId="21" applyNumberFormat="1" applyFont="1" applyBorder="1">
      <alignment/>
      <protection/>
    </xf>
    <xf numFmtId="3" fontId="5" fillId="0" borderId="100" xfId="21" applyNumberFormat="1" applyFont="1" applyBorder="1">
      <alignment/>
      <protection/>
    </xf>
    <xf numFmtId="3" fontId="5" fillId="0" borderId="129" xfId="21" applyNumberFormat="1" applyFont="1" applyBorder="1">
      <alignment/>
      <protection/>
    </xf>
    <xf numFmtId="0" fontId="46" fillId="0" borderId="0" xfId="21" applyFont="1">
      <alignment/>
      <protection/>
    </xf>
    <xf numFmtId="3" fontId="19" fillId="0" borderId="92" xfId="21" applyNumberFormat="1" applyFont="1" applyBorder="1">
      <alignment/>
      <protection/>
    </xf>
    <xf numFmtId="0" fontId="11" fillId="3" borderId="95" xfId="21" applyFont="1" applyFill="1" applyBorder="1">
      <alignment/>
      <protection/>
    </xf>
    <xf numFmtId="0" fontId="11" fillId="3" borderId="97" xfId="21" applyFont="1" applyFill="1" applyBorder="1" applyAlignment="1">
      <alignment horizontal="center"/>
      <protection/>
    </xf>
    <xf numFmtId="3" fontId="15" fillId="3" borderId="97" xfId="21" applyNumberFormat="1" applyFont="1" applyFill="1" applyBorder="1">
      <alignment/>
      <protection/>
    </xf>
    <xf numFmtId="3" fontId="11" fillId="3" borderId="97" xfId="21" applyNumberFormat="1" applyFont="1" applyFill="1" applyBorder="1">
      <alignment/>
      <protection/>
    </xf>
    <xf numFmtId="0" fontId="15" fillId="0" borderId="0" xfId="21" applyFont="1">
      <alignment/>
      <protection/>
    </xf>
    <xf numFmtId="0" fontId="11" fillId="0" borderId="21" xfId="21" applyFont="1" applyBorder="1">
      <alignment/>
      <protection/>
    </xf>
    <xf numFmtId="0" fontId="11" fillId="0" borderId="2" xfId="21" applyFont="1" applyBorder="1" applyAlignment="1">
      <alignment horizontal="center"/>
      <protection/>
    </xf>
    <xf numFmtId="3" fontId="6" fillId="0" borderId="84" xfId="21" applyNumberFormat="1" applyFont="1" applyBorder="1">
      <alignment/>
      <protection/>
    </xf>
    <xf numFmtId="3" fontId="5" fillId="0" borderId="84" xfId="21" applyNumberFormat="1" applyFont="1" applyBorder="1">
      <alignment/>
      <protection/>
    </xf>
    <xf numFmtId="0" fontId="28" fillId="0" borderId="0" xfId="21" applyFont="1">
      <alignment/>
      <protection/>
    </xf>
    <xf numFmtId="0" fontId="11" fillId="0" borderId="0" xfId="0" applyFont="1" applyAlignment="1">
      <alignment horizontal="left"/>
    </xf>
    <xf numFmtId="0" fontId="25" fillId="0" borderId="0" xfId="23" applyFont="1" applyAlignment="1">
      <alignment/>
      <protection/>
    </xf>
    <xf numFmtId="0" fontId="25" fillId="0" borderId="0" xfId="23" applyFont="1" applyAlignment="1">
      <alignment horizontal="center"/>
      <protection/>
    </xf>
    <xf numFmtId="0" fontId="25" fillId="0" borderId="0" xfId="23" applyFont="1">
      <alignment/>
      <protection/>
    </xf>
    <xf numFmtId="0" fontId="25" fillId="0" borderId="0" xfId="23" applyFont="1" applyAlignment="1">
      <alignment horizontal="left"/>
      <protection/>
    </xf>
    <xf numFmtId="0" fontId="48" fillId="0" borderId="145" xfId="23" applyFont="1" applyBorder="1" applyAlignment="1">
      <alignment horizontal="center"/>
      <protection/>
    </xf>
    <xf numFmtId="0" fontId="48" fillId="0" borderId="148" xfId="23" applyFont="1" applyBorder="1" applyAlignment="1">
      <alignment/>
      <protection/>
    </xf>
    <xf numFmtId="0" fontId="48" fillId="0" borderId="149" xfId="23" applyFont="1" applyBorder="1" applyAlignment="1">
      <alignment horizontal="center"/>
      <protection/>
    </xf>
    <xf numFmtId="0" fontId="48" fillId="0" borderId="52" xfId="23" applyFont="1" applyBorder="1" applyAlignment="1">
      <alignment/>
      <protection/>
    </xf>
    <xf numFmtId="0" fontId="48" fillId="0" borderId="11" xfId="23" applyFont="1" applyBorder="1" applyAlignment="1">
      <alignment horizontal="center"/>
      <protection/>
    </xf>
    <xf numFmtId="0" fontId="48" fillId="0" borderId="50" xfId="23" applyFont="1" applyBorder="1" applyAlignment="1">
      <alignment horizontal="center"/>
      <protection/>
    </xf>
    <xf numFmtId="0" fontId="48" fillId="0" borderId="54" xfId="23" applyFont="1" applyBorder="1" applyAlignment="1">
      <alignment horizontal="center"/>
      <protection/>
    </xf>
    <xf numFmtId="0" fontId="48" fillId="0" borderId="11" xfId="23" applyFont="1" applyBorder="1" applyAlignment="1">
      <alignment horizontal="center"/>
      <protection/>
    </xf>
    <xf numFmtId="0" fontId="48" fillId="0" borderId="50" xfId="23" applyFont="1" applyBorder="1" applyAlignment="1">
      <alignment horizontal="center"/>
      <protection/>
    </xf>
    <xf numFmtId="0" fontId="48" fillId="0" borderId="54" xfId="23" applyFont="1" applyBorder="1" applyAlignment="1">
      <alignment horizontal="center"/>
      <protection/>
    </xf>
    <xf numFmtId="0" fontId="48" fillId="0" borderId="11" xfId="23" applyFont="1" applyFill="1" applyBorder="1" applyAlignment="1">
      <alignment horizontal="center"/>
      <protection/>
    </xf>
    <xf numFmtId="0" fontId="48" fillId="0" borderId="50" xfId="23" applyFont="1" applyFill="1" applyBorder="1" applyAlignment="1">
      <alignment horizontal="center"/>
      <protection/>
    </xf>
    <xf numFmtId="0" fontId="48" fillId="0" borderId="54" xfId="23" applyFont="1" applyFill="1" applyBorder="1" applyAlignment="1">
      <alignment horizontal="center"/>
      <protection/>
    </xf>
    <xf numFmtId="0" fontId="48" fillId="0" borderId="11" xfId="23" applyFont="1" applyFill="1" applyBorder="1" applyAlignment="1">
      <alignment horizontal="center"/>
      <protection/>
    </xf>
    <xf numFmtId="0" fontId="48" fillId="0" borderId="50" xfId="23" applyFont="1" applyFill="1" applyBorder="1" applyAlignment="1">
      <alignment horizontal="center"/>
      <protection/>
    </xf>
    <xf numFmtId="0" fontId="48" fillId="0" borderId="54" xfId="23" applyFont="1" applyFill="1" applyBorder="1" applyAlignment="1">
      <alignment horizontal="center"/>
      <protection/>
    </xf>
    <xf numFmtId="0" fontId="48" fillId="0" borderId="11" xfId="0" applyFont="1" applyFill="1" applyBorder="1" applyAlignment="1">
      <alignment horizontal="center"/>
    </xf>
    <xf numFmtId="0" fontId="48" fillId="0" borderId="50" xfId="0" applyFont="1" applyFill="1" applyBorder="1" applyAlignment="1">
      <alignment horizontal="center"/>
    </xf>
    <xf numFmtId="0" fontId="48" fillId="0" borderId="54" xfId="0" applyFont="1" applyFill="1" applyBorder="1" applyAlignment="1">
      <alignment horizontal="center"/>
    </xf>
    <xf numFmtId="0" fontId="48" fillId="2" borderId="50" xfId="0" applyFont="1" applyFill="1" applyBorder="1" applyAlignment="1">
      <alignment horizontal="center"/>
    </xf>
    <xf numFmtId="0" fontId="49" fillId="0" borderId="95" xfId="23" applyFont="1" applyBorder="1" applyAlignment="1">
      <alignment horizontal="center"/>
      <protection/>
    </xf>
    <xf numFmtId="0" fontId="49" fillId="0" borderId="150" xfId="23" applyFont="1" applyBorder="1" applyAlignment="1">
      <alignment/>
      <protection/>
    </xf>
    <xf numFmtId="0" fontId="49" fillId="0" borderId="135" xfId="23" applyFont="1" applyBorder="1" applyAlignment="1">
      <alignment horizontal="center"/>
      <protection/>
    </xf>
    <xf numFmtId="0" fontId="49" fillId="0" borderId="97" xfId="23" applyFont="1" applyBorder="1" applyAlignment="1">
      <alignment horizontal="center"/>
      <protection/>
    </xf>
    <xf numFmtId="0" fontId="49" fillId="0" borderId="98" xfId="23" applyFont="1" applyBorder="1" applyAlignment="1">
      <alignment horizontal="center"/>
      <protection/>
    </xf>
    <xf numFmtId="0" fontId="49" fillId="0" borderId="135" xfId="23" applyFont="1" applyFill="1" applyBorder="1" applyAlignment="1">
      <alignment horizontal="center"/>
      <protection/>
    </xf>
    <xf numFmtId="0" fontId="49" fillId="0" borderId="97" xfId="23" applyFont="1" applyFill="1" applyBorder="1" applyAlignment="1">
      <alignment horizontal="center"/>
      <protection/>
    </xf>
    <xf numFmtId="0" fontId="49" fillId="0" borderId="98" xfId="23" applyFont="1" applyFill="1" applyBorder="1" applyAlignment="1">
      <alignment horizontal="center"/>
      <protection/>
    </xf>
    <xf numFmtId="0" fontId="49" fillId="0" borderId="0" xfId="23" applyFont="1">
      <alignment/>
      <protection/>
    </xf>
    <xf numFmtId="0" fontId="48" fillId="0" borderId="8" xfId="23" applyFont="1" applyBorder="1" applyAlignment="1">
      <alignment horizontal="center"/>
      <protection/>
    </xf>
    <xf numFmtId="0" fontId="48" fillId="0" borderId="35" xfId="23" applyFont="1" applyBorder="1" applyAlignment="1">
      <alignment/>
      <protection/>
    </xf>
    <xf numFmtId="4" fontId="25" fillId="0" borderId="7" xfId="23" applyNumberFormat="1" applyFont="1" applyBorder="1" applyAlignment="1">
      <alignment horizontal="right"/>
      <protection/>
    </xf>
    <xf numFmtId="4" fontId="25" fillId="0" borderId="92" xfId="23" applyNumberFormat="1" applyFont="1" applyBorder="1" applyAlignment="1">
      <alignment horizontal="right"/>
      <protection/>
    </xf>
    <xf numFmtId="4" fontId="25" fillId="0" borderId="93" xfId="23" applyNumberFormat="1" applyFont="1" applyBorder="1" applyAlignment="1">
      <alignment horizontal="right"/>
      <protection/>
    </xf>
    <xf numFmtId="4" fontId="25" fillId="0" borderId="93" xfId="23" applyNumberFormat="1" applyFont="1" applyBorder="1" applyAlignment="1">
      <alignment horizontal="right"/>
      <protection/>
    </xf>
    <xf numFmtId="4" fontId="25" fillId="0" borderId="93" xfId="23" applyNumberFormat="1" applyFont="1" applyFill="1" applyBorder="1">
      <alignment/>
      <protection/>
    </xf>
    <xf numFmtId="4" fontId="25" fillId="0" borderId="7" xfId="0" applyNumberFormat="1" applyFont="1" applyBorder="1" applyAlignment="1">
      <alignment horizontal="right"/>
    </xf>
    <xf numFmtId="4" fontId="25" fillId="0" borderId="92" xfId="0" applyNumberFormat="1" applyFont="1" applyBorder="1" applyAlignment="1">
      <alignment horizontal="right"/>
    </xf>
    <xf numFmtId="4" fontId="25" fillId="0" borderId="93" xfId="23" applyNumberFormat="1" applyFont="1" applyBorder="1">
      <alignment/>
      <protection/>
    </xf>
    <xf numFmtId="4" fontId="25" fillId="0" borderId="7" xfId="0" applyNumberFormat="1" applyFont="1" applyBorder="1" applyAlignment="1">
      <alignment horizontal="right"/>
    </xf>
    <xf numFmtId="4" fontId="25" fillId="0" borderId="92" xfId="0" applyNumberFormat="1" applyFont="1" applyBorder="1" applyAlignment="1">
      <alignment horizontal="right"/>
    </xf>
    <xf numFmtId="4" fontId="25" fillId="0" borderId="93" xfId="23" applyNumberFormat="1" applyFont="1" applyFill="1" applyBorder="1">
      <alignment/>
      <protection/>
    </xf>
    <xf numFmtId="3" fontId="25" fillId="0" borderId="7" xfId="0" applyNumberFormat="1" applyFont="1" applyBorder="1" applyAlignment="1">
      <alignment horizontal="right"/>
    </xf>
    <xf numFmtId="3" fontId="25" fillId="4" borderId="92" xfId="0" applyNumberFormat="1" applyFont="1" applyFill="1" applyBorder="1" applyAlignment="1">
      <alignment horizontal="right"/>
    </xf>
    <xf numFmtId="3" fontId="25" fillId="0" borderId="93" xfId="0" applyNumberFormat="1" applyFont="1" applyFill="1" applyBorder="1" applyAlignment="1">
      <alignment/>
    </xf>
    <xf numFmtId="3" fontId="25" fillId="2" borderId="92" xfId="0" applyNumberFormat="1" applyFont="1" applyFill="1" applyBorder="1" applyAlignment="1">
      <alignment horizontal="right"/>
    </xf>
    <xf numFmtId="0" fontId="48" fillId="0" borderId="86" xfId="23" applyFont="1" applyBorder="1" applyAlignment="1">
      <alignment horizontal="center"/>
      <protection/>
    </xf>
    <xf numFmtId="0" fontId="48" fillId="0" borderId="29" xfId="23" applyFont="1" applyBorder="1" applyAlignment="1">
      <alignment/>
      <protection/>
    </xf>
    <xf numFmtId="4" fontId="25" fillId="0" borderId="55" xfId="23" applyNumberFormat="1" applyFont="1" applyBorder="1" applyAlignment="1">
      <alignment horizontal="right"/>
      <protection/>
    </xf>
    <xf numFmtId="4" fontId="25" fillId="0" borderId="100" xfId="23" applyNumberFormat="1" applyFont="1" applyBorder="1" applyAlignment="1">
      <alignment horizontal="right"/>
      <protection/>
    </xf>
    <xf numFmtId="4" fontId="25" fillId="0" borderId="129" xfId="23" applyNumberFormat="1" applyFont="1" applyBorder="1" applyAlignment="1">
      <alignment horizontal="right"/>
      <protection/>
    </xf>
    <xf numFmtId="4" fontId="25" fillId="0" borderId="129" xfId="23" applyNumberFormat="1" applyFont="1" applyBorder="1" applyAlignment="1">
      <alignment horizontal="right"/>
      <protection/>
    </xf>
    <xf numFmtId="4" fontId="25" fillId="0" borderId="129" xfId="23" applyNumberFormat="1" applyFont="1" applyFill="1" applyBorder="1">
      <alignment/>
      <protection/>
    </xf>
    <xf numFmtId="4" fontId="25" fillId="0" borderId="55" xfId="0" applyNumberFormat="1" applyFont="1" applyBorder="1" applyAlignment="1">
      <alignment horizontal="right"/>
    </xf>
    <xf numFmtId="4" fontId="25" fillId="0" borderId="100" xfId="0" applyNumberFormat="1" applyFont="1" applyBorder="1" applyAlignment="1">
      <alignment horizontal="right"/>
    </xf>
    <xf numFmtId="4" fontId="25" fillId="0" borderId="129" xfId="23" applyNumberFormat="1" applyFont="1" applyBorder="1">
      <alignment/>
      <protection/>
    </xf>
    <xf numFmtId="4" fontId="25" fillId="0" borderId="55" xfId="0" applyNumberFormat="1" applyFont="1" applyBorder="1" applyAlignment="1">
      <alignment horizontal="right"/>
    </xf>
    <xf numFmtId="4" fontId="25" fillId="0" borderId="100" xfId="0" applyNumberFormat="1" applyFont="1" applyBorder="1" applyAlignment="1">
      <alignment horizontal="right"/>
    </xf>
    <xf numFmtId="4" fontId="25" fillId="0" borderId="129" xfId="23" applyNumberFormat="1" applyFont="1" applyFill="1" applyBorder="1">
      <alignment/>
      <protection/>
    </xf>
    <xf numFmtId="3" fontId="25" fillId="0" borderId="55" xfId="0" applyNumberFormat="1" applyFont="1" applyBorder="1" applyAlignment="1">
      <alignment horizontal="right"/>
    </xf>
    <xf numFmtId="3" fontId="25" fillId="0" borderId="100" xfId="0" applyNumberFormat="1" applyFont="1" applyBorder="1" applyAlignment="1">
      <alignment horizontal="right"/>
    </xf>
    <xf numFmtId="3" fontId="25" fillId="0" borderId="129" xfId="0" applyNumberFormat="1" applyFont="1" applyFill="1" applyBorder="1" applyAlignment="1">
      <alignment/>
    </xf>
    <xf numFmtId="3" fontId="25" fillId="2" borderId="100" xfId="0" applyNumberFormat="1" applyFont="1" applyFill="1" applyBorder="1" applyAlignment="1">
      <alignment horizontal="right"/>
    </xf>
    <xf numFmtId="3" fontId="25" fillId="4" borderId="100" xfId="0" applyNumberFormat="1" applyFont="1" applyFill="1" applyBorder="1" applyAlignment="1">
      <alignment horizontal="right"/>
    </xf>
    <xf numFmtId="0" fontId="48" fillId="0" borderId="46" xfId="23" applyFont="1" applyBorder="1" applyAlignment="1">
      <alignment horizontal="center"/>
      <protection/>
    </xf>
    <xf numFmtId="0" fontId="48" fillId="0" borderId="19" xfId="23" applyFont="1" applyBorder="1" applyAlignment="1">
      <alignment/>
      <protection/>
    </xf>
    <xf numFmtId="4" fontId="25" fillId="0" borderId="32" xfId="23" applyNumberFormat="1" applyFont="1" applyBorder="1" applyAlignment="1">
      <alignment horizontal="right"/>
      <protection/>
    </xf>
    <xf numFmtId="4" fontId="25" fillId="0" borderId="41" xfId="23" applyNumberFormat="1" applyFont="1" applyBorder="1" applyAlignment="1">
      <alignment horizontal="right"/>
      <protection/>
    </xf>
    <xf numFmtId="4" fontId="25" fillId="0" borderId="42" xfId="23" applyNumberFormat="1" applyFont="1" applyBorder="1" applyAlignment="1">
      <alignment horizontal="right"/>
      <protection/>
    </xf>
    <xf numFmtId="4" fontId="25" fillId="0" borderId="42" xfId="23" applyNumberFormat="1" applyFont="1" applyBorder="1" applyAlignment="1">
      <alignment horizontal="right"/>
      <protection/>
    </xf>
    <xf numFmtId="4" fontId="25" fillId="0" borderId="130" xfId="23" applyNumberFormat="1" applyFont="1" applyFill="1" applyBorder="1">
      <alignment/>
      <protection/>
    </xf>
    <xf numFmtId="4" fontId="25" fillId="0" borderId="32" xfId="0" applyNumberFormat="1" applyFont="1" applyBorder="1" applyAlignment="1">
      <alignment horizontal="right"/>
    </xf>
    <xf numFmtId="4" fontId="25" fillId="0" borderId="41" xfId="0" applyNumberFormat="1" applyFont="1" applyBorder="1" applyAlignment="1">
      <alignment horizontal="right"/>
    </xf>
    <xf numFmtId="4" fontId="25" fillId="0" borderId="130" xfId="23" applyNumberFormat="1" applyFont="1" applyBorder="1">
      <alignment/>
      <protection/>
    </xf>
    <xf numFmtId="4" fontId="25" fillId="0" borderId="32" xfId="0" applyNumberFormat="1" applyFont="1" applyBorder="1" applyAlignment="1">
      <alignment horizontal="right"/>
    </xf>
    <xf numFmtId="4" fontId="25" fillId="0" borderId="41" xfId="0" applyNumberFormat="1" applyFont="1" applyBorder="1" applyAlignment="1">
      <alignment horizontal="right"/>
    </xf>
    <xf numFmtId="4" fontId="25" fillId="0" borderId="130" xfId="23" applyNumberFormat="1" applyFont="1" applyFill="1" applyBorder="1">
      <alignment/>
      <protection/>
    </xf>
    <xf numFmtId="3" fontId="25" fillId="0" borderId="32" xfId="0" applyNumberFormat="1" applyFont="1" applyBorder="1" applyAlignment="1">
      <alignment horizontal="right"/>
    </xf>
    <xf numFmtId="3" fontId="25" fillId="0" borderId="107" xfId="0" applyNumberFormat="1" applyFont="1" applyBorder="1" applyAlignment="1">
      <alignment horizontal="right"/>
    </xf>
    <xf numFmtId="3" fontId="25" fillId="0" borderId="130" xfId="0" applyNumberFormat="1" applyFont="1" applyFill="1" applyBorder="1" applyAlignment="1">
      <alignment/>
    </xf>
    <xf numFmtId="3" fontId="25" fillId="2" borderId="107" xfId="0" applyNumberFormat="1" applyFont="1" applyFill="1" applyBorder="1" applyAlignment="1">
      <alignment horizontal="right"/>
    </xf>
    <xf numFmtId="4" fontId="25" fillId="0" borderId="94" xfId="23" applyNumberFormat="1" applyFont="1" applyFill="1" applyBorder="1">
      <alignment/>
      <protection/>
    </xf>
    <xf numFmtId="4" fontId="25" fillId="0" borderId="94" xfId="23" applyNumberFormat="1" applyFont="1" applyFill="1" applyBorder="1">
      <alignment/>
      <protection/>
    </xf>
    <xf numFmtId="3" fontId="25" fillId="0" borderId="77" xfId="0" applyNumberFormat="1" applyFont="1" applyBorder="1" applyAlignment="1">
      <alignment horizontal="right"/>
    </xf>
    <xf numFmtId="3" fontId="25" fillId="0" borderId="94" xfId="0" applyNumberFormat="1" applyFont="1" applyFill="1" applyBorder="1" applyAlignment="1">
      <alignment/>
    </xf>
    <xf numFmtId="3" fontId="25" fillId="2" borderId="77" xfId="0" applyNumberFormat="1" applyFont="1" applyFill="1" applyBorder="1" applyAlignment="1">
      <alignment horizontal="right"/>
    </xf>
    <xf numFmtId="4" fontId="25" fillId="0" borderId="55" xfId="0" applyNumberFormat="1" applyFont="1" applyFill="1" applyBorder="1" applyAlignment="1">
      <alignment horizontal="right"/>
    </xf>
    <xf numFmtId="4" fontId="25" fillId="5" borderId="100" xfId="0" applyNumberFormat="1" applyFont="1" applyFill="1" applyBorder="1" applyAlignment="1">
      <alignment horizontal="right"/>
    </xf>
    <xf numFmtId="3" fontId="25" fillId="0" borderId="55" xfId="0" applyNumberFormat="1" applyFont="1" applyFill="1" applyBorder="1" applyAlignment="1">
      <alignment horizontal="right"/>
    </xf>
    <xf numFmtId="4" fontId="25" fillId="0" borderId="55" xfId="0" applyNumberFormat="1" applyFont="1" applyFill="1" applyBorder="1" applyAlignment="1">
      <alignment horizontal="right"/>
    </xf>
    <xf numFmtId="4" fontId="25" fillId="0" borderId="100" xfId="0" applyNumberFormat="1" applyFont="1" applyFill="1" applyBorder="1" applyAlignment="1">
      <alignment horizontal="right"/>
    </xf>
    <xf numFmtId="4" fontId="50" fillId="0" borderId="55" xfId="0" applyNumberFormat="1" applyFont="1" applyBorder="1" applyAlignment="1">
      <alignment horizontal="right"/>
    </xf>
    <xf numFmtId="4" fontId="50" fillId="0" borderId="100" xfId="0" applyNumberFormat="1" applyFont="1" applyBorder="1" applyAlignment="1">
      <alignment horizontal="right"/>
    </xf>
    <xf numFmtId="3" fontId="50" fillId="0" borderId="55" xfId="0" applyNumberFormat="1" applyFont="1" applyBorder="1" applyAlignment="1">
      <alignment horizontal="right"/>
    </xf>
    <xf numFmtId="3" fontId="50" fillId="0" borderId="100" xfId="0" applyNumberFormat="1" applyFont="1" applyBorder="1" applyAlignment="1">
      <alignment horizontal="right"/>
    </xf>
    <xf numFmtId="3" fontId="50" fillId="0" borderId="129" xfId="0" applyNumberFormat="1" applyFont="1" applyFill="1" applyBorder="1" applyAlignment="1">
      <alignment/>
    </xf>
    <xf numFmtId="3" fontId="50" fillId="2" borderId="100" xfId="0" applyNumberFormat="1" applyFont="1" applyFill="1" applyBorder="1" applyAlignment="1">
      <alignment horizontal="right"/>
    </xf>
    <xf numFmtId="4" fontId="25" fillId="0" borderId="42" xfId="23" applyNumberFormat="1" applyFont="1" applyFill="1" applyBorder="1">
      <alignment/>
      <protection/>
    </xf>
    <xf numFmtId="4" fontId="25" fillId="0" borderId="42" xfId="23" applyNumberFormat="1" applyFont="1" applyFill="1" applyBorder="1">
      <alignment/>
      <protection/>
    </xf>
    <xf numFmtId="3" fontId="25" fillId="0" borderId="42" xfId="0" applyNumberFormat="1" applyFont="1" applyFill="1" applyBorder="1" applyAlignment="1">
      <alignment/>
    </xf>
    <xf numFmtId="0" fontId="25" fillId="0" borderId="149" xfId="23" applyFont="1" applyBorder="1" applyAlignment="1">
      <alignment horizontal="left"/>
      <protection/>
    </xf>
    <xf numFmtId="0" fontId="25" fillId="0" borderId="52" xfId="23" applyFont="1" applyBorder="1" applyAlignment="1">
      <alignment/>
      <protection/>
    </xf>
    <xf numFmtId="4" fontId="25" fillId="0" borderId="149" xfId="23" applyNumberFormat="1" applyFont="1" applyBorder="1" applyAlignment="1">
      <alignment horizontal="right"/>
      <protection/>
    </xf>
    <xf numFmtId="4" fontId="25" fillId="0" borderId="50" xfId="23" applyNumberFormat="1" applyFont="1" applyBorder="1" applyAlignment="1">
      <alignment horizontal="right"/>
      <protection/>
    </xf>
    <xf numFmtId="4" fontId="25" fillId="0" borderId="52" xfId="23" applyNumberFormat="1" applyFont="1" applyBorder="1" applyAlignment="1">
      <alignment horizontal="right"/>
      <protection/>
    </xf>
    <xf numFmtId="4" fontId="25" fillId="0" borderId="52" xfId="23" applyNumberFormat="1" applyFont="1" applyBorder="1" applyAlignment="1">
      <alignment horizontal="right"/>
      <protection/>
    </xf>
    <xf numFmtId="4" fontId="25" fillId="0" borderId="54" xfId="23" applyNumberFormat="1" applyFont="1" applyFill="1" applyBorder="1">
      <alignment/>
      <protection/>
    </xf>
    <xf numFmtId="4" fontId="25" fillId="0" borderId="149" xfId="23" applyNumberFormat="1" applyFont="1" applyFill="1" applyBorder="1">
      <alignment/>
      <protection/>
    </xf>
    <xf numFmtId="4" fontId="25" fillId="0" borderId="50" xfId="23" applyNumberFormat="1" applyFont="1" applyBorder="1">
      <alignment/>
      <protection/>
    </xf>
    <xf numFmtId="4" fontId="25" fillId="0" borderId="52" xfId="23" applyNumberFormat="1" applyFont="1" applyBorder="1">
      <alignment/>
      <protection/>
    </xf>
    <xf numFmtId="4" fontId="25" fillId="0" borderId="149" xfId="23" applyNumberFormat="1" applyFont="1" applyBorder="1" applyAlignment="1">
      <alignment horizontal="right"/>
      <protection/>
    </xf>
    <xf numFmtId="4" fontId="25" fillId="0" borderId="50" xfId="23" applyNumberFormat="1" applyFont="1" applyBorder="1" applyAlignment="1">
      <alignment horizontal="right"/>
      <protection/>
    </xf>
    <xf numFmtId="3" fontId="25" fillId="0" borderId="149" xfId="0" applyNumberFormat="1" applyFont="1" applyBorder="1" applyAlignment="1">
      <alignment horizontal="right"/>
    </xf>
    <xf numFmtId="3" fontId="25" fillId="0" borderId="50" xfId="0" applyNumberFormat="1" applyFont="1" applyBorder="1" applyAlignment="1">
      <alignment horizontal="right"/>
    </xf>
    <xf numFmtId="3" fontId="25" fillId="0" borderId="54" xfId="0" applyNumberFormat="1" applyFont="1" applyFill="1" applyBorder="1" applyAlignment="1">
      <alignment/>
    </xf>
    <xf numFmtId="3" fontId="25" fillId="2" borderId="50" xfId="0" applyNumberFormat="1" applyFont="1" applyFill="1" applyBorder="1" applyAlignment="1">
      <alignment horizontal="right"/>
    </xf>
    <xf numFmtId="0" fontId="25" fillId="0" borderId="86" xfId="23" applyFont="1" applyBorder="1" applyAlignment="1">
      <alignment horizontal="left"/>
      <protection/>
    </xf>
    <xf numFmtId="0" fontId="25" fillId="0" borderId="29" xfId="23" applyFont="1" applyBorder="1" applyAlignment="1">
      <alignment/>
      <protection/>
    </xf>
    <xf numFmtId="4" fontId="25" fillId="0" borderId="86" xfId="23" applyNumberFormat="1" applyFont="1" applyBorder="1" applyAlignment="1">
      <alignment horizontal="right"/>
      <protection/>
    </xf>
    <xf numFmtId="4" fontId="25" fillId="0" borderId="29" xfId="23" applyNumberFormat="1" applyFont="1" applyBorder="1" applyAlignment="1">
      <alignment horizontal="right"/>
      <protection/>
    </xf>
    <xf numFmtId="4" fontId="25" fillId="0" borderId="29" xfId="23" applyNumberFormat="1" applyFont="1" applyBorder="1" applyAlignment="1">
      <alignment horizontal="right"/>
      <protection/>
    </xf>
    <xf numFmtId="4" fontId="25" fillId="0" borderId="86" xfId="23" applyNumberFormat="1" applyFont="1" applyBorder="1" applyAlignment="1">
      <alignment horizontal="right"/>
      <protection/>
    </xf>
    <xf numFmtId="4" fontId="25" fillId="0" borderId="100" xfId="23" applyNumberFormat="1" applyFont="1" applyBorder="1" applyAlignment="1">
      <alignment horizontal="right"/>
      <protection/>
    </xf>
    <xf numFmtId="3" fontId="25" fillId="0" borderId="86" xfId="0" applyNumberFormat="1" applyFont="1" applyBorder="1" applyAlignment="1">
      <alignment horizontal="right"/>
    </xf>
    <xf numFmtId="3" fontId="25" fillId="0" borderId="29" xfId="0" applyNumberFormat="1" applyFont="1" applyBorder="1" applyAlignment="1">
      <alignment horizontal="right"/>
    </xf>
    <xf numFmtId="0" fontId="25" fillId="0" borderId="21" xfId="23" applyFont="1" applyBorder="1" applyAlignment="1">
      <alignment horizontal="left"/>
      <protection/>
    </xf>
    <xf numFmtId="0" fontId="25" fillId="0" borderId="5" xfId="23" applyFont="1" applyBorder="1" applyAlignment="1">
      <alignment/>
      <protection/>
    </xf>
    <xf numFmtId="4" fontId="25" fillId="0" borderId="21" xfId="23" applyNumberFormat="1" applyFont="1" applyBorder="1" applyAlignment="1">
      <alignment horizontal="right"/>
      <protection/>
    </xf>
    <xf numFmtId="4" fontId="25" fillId="0" borderId="84" xfId="23" applyNumberFormat="1" applyFont="1" applyBorder="1" applyAlignment="1">
      <alignment horizontal="right"/>
      <protection/>
    </xf>
    <xf numFmtId="4" fontId="25" fillId="0" borderId="5" xfId="23" applyNumberFormat="1" applyFont="1" applyBorder="1" applyAlignment="1">
      <alignment horizontal="right"/>
      <protection/>
    </xf>
    <xf numFmtId="4" fontId="25" fillId="0" borderId="21" xfId="23" applyNumberFormat="1" applyFont="1" applyBorder="1" applyAlignment="1">
      <alignment horizontal="right"/>
      <protection/>
    </xf>
    <xf numFmtId="4" fontId="25" fillId="0" borderId="84" xfId="23" applyNumberFormat="1" applyFont="1" applyBorder="1" applyAlignment="1">
      <alignment horizontal="right"/>
      <protection/>
    </xf>
    <xf numFmtId="4" fontId="25" fillId="0" borderId="5" xfId="23" applyNumberFormat="1" applyFont="1" applyBorder="1" applyAlignment="1">
      <alignment horizontal="right"/>
      <protection/>
    </xf>
    <xf numFmtId="3" fontId="25" fillId="0" borderId="21" xfId="0" applyNumberFormat="1" applyFont="1" applyBorder="1" applyAlignment="1">
      <alignment horizontal="right"/>
    </xf>
    <xf numFmtId="3" fontId="25" fillId="0" borderId="84" xfId="0" applyNumberFormat="1" applyFont="1" applyBorder="1" applyAlignment="1">
      <alignment horizontal="right"/>
    </xf>
    <xf numFmtId="3" fontId="25" fillId="0" borderId="5" xfId="0" applyNumberFormat="1" applyFont="1" applyBorder="1" applyAlignment="1">
      <alignment horizontal="right"/>
    </xf>
    <xf numFmtId="3" fontId="25" fillId="2" borderId="84" xfId="0" applyNumberFormat="1" applyFont="1" applyFill="1" applyBorder="1" applyAlignment="1">
      <alignment horizontal="right"/>
    </xf>
    <xf numFmtId="4" fontId="25" fillId="0" borderId="0" xfId="23" applyNumberFormat="1" applyFont="1" applyAlignment="1">
      <alignment horizontal="center"/>
      <protection/>
    </xf>
    <xf numFmtId="0" fontId="50" fillId="0" borderId="0" xfId="23" applyFont="1" applyAlignment="1">
      <alignment horizontal="center"/>
      <protection/>
    </xf>
    <xf numFmtId="4" fontId="50" fillId="0" borderId="0" xfId="23" applyNumberFormat="1" applyFont="1">
      <alignment/>
      <protection/>
    </xf>
    <xf numFmtId="4" fontId="25" fillId="0" borderId="0" xfId="23" applyNumberFormat="1" applyFont="1" applyAlignment="1">
      <alignment horizontal="center"/>
      <protection/>
    </xf>
    <xf numFmtId="4" fontId="25" fillId="0" borderId="0" xfId="0" applyNumberFormat="1" applyFont="1" applyAlignment="1">
      <alignment horizontal="center"/>
    </xf>
    <xf numFmtId="4" fontId="25" fillId="0" borderId="0" xfId="23" applyNumberFormat="1" applyFont="1">
      <alignment/>
      <protection/>
    </xf>
    <xf numFmtId="0" fontId="25" fillId="0" borderId="0" xfId="23" applyFont="1">
      <alignment/>
      <protection/>
    </xf>
    <xf numFmtId="0" fontId="50" fillId="0" borderId="0" xfId="23" applyFont="1" applyAlignment="1">
      <alignment horizontal="left"/>
      <protection/>
    </xf>
    <xf numFmtId="0" fontId="50" fillId="0" borderId="0" xfId="23" applyFont="1" applyAlignment="1">
      <alignment/>
      <protection/>
    </xf>
    <xf numFmtId="0" fontId="49" fillId="0" borderId="0" xfId="23" applyFont="1" applyAlignment="1">
      <alignment/>
      <protection/>
    </xf>
    <xf numFmtId="0" fontId="49" fillId="0" borderId="0" xfId="23" applyFont="1" applyAlignment="1">
      <alignment horizontal="center"/>
      <protection/>
    </xf>
    <xf numFmtId="3" fontId="50" fillId="0" borderId="0" xfId="21" applyNumberFormat="1" applyFont="1">
      <alignment/>
      <protection/>
    </xf>
    <xf numFmtId="0" fontId="19" fillId="0" borderId="0" xfId="21" applyFont="1">
      <alignment/>
      <protection/>
    </xf>
    <xf numFmtId="0" fontId="43" fillId="0" borderId="0" xfId="21" applyFont="1">
      <alignment/>
      <protection/>
    </xf>
    <xf numFmtId="3" fontId="47" fillId="2" borderId="151" xfId="21" applyNumberFormat="1" applyFont="1" applyFill="1" applyBorder="1" applyAlignment="1">
      <alignment horizontal="right"/>
      <protection/>
    </xf>
    <xf numFmtId="3" fontId="5" fillId="3" borderId="98" xfId="21" applyNumberFormat="1" applyFont="1" applyFill="1" applyBorder="1">
      <alignment/>
      <protection/>
    </xf>
    <xf numFmtId="3" fontId="5" fillId="0" borderId="128" xfId="21" applyNumberFormat="1" applyFont="1" applyBorder="1">
      <alignment/>
      <protection/>
    </xf>
    <xf numFmtId="0" fontId="30" fillId="0" borderId="91" xfId="21" applyFont="1" applyBorder="1" applyAlignment="1">
      <alignment horizontal="center"/>
      <protection/>
    </xf>
    <xf numFmtId="0" fontId="30" fillId="0" borderId="128" xfId="21" applyFont="1" applyBorder="1" applyAlignment="1">
      <alignment horizontal="center"/>
      <protection/>
    </xf>
    <xf numFmtId="3" fontId="30" fillId="0" borderId="129" xfId="21" applyNumberFormat="1" applyFont="1" applyFill="1" applyBorder="1">
      <alignment/>
      <protection/>
    </xf>
    <xf numFmtId="3" fontId="30" fillId="0" borderId="152" xfId="21" applyNumberFormat="1" applyFont="1" applyFill="1" applyBorder="1">
      <alignment/>
      <protection/>
    </xf>
    <xf numFmtId="3" fontId="30" fillId="0" borderId="94" xfId="21" applyNumberFormat="1" applyFont="1" applyFill="1" applyBorder="1">
      <alignment/>
      <protection/>
    </xf>
    <xf numFmtId="3" fontId="30" fillId="0" borderId="94" xfId="21" applyNumberFormat="1" applyFont="1" applyFill="1" applyBorder="1" applyAlignment="1">
      <alignment horizontal="right"/>
      <protection/>
    </xf>
    <xf numFmtId="3" fontId="45" fillId="2" borderId="109" xfId="21" applyNumberFormat="1" applyFont="1" applyFill="1" applyBorder="1">
      <alignment/>
      <protection/>
    </xf>
    <xf numFmtId="3" fontId="30" fillId="0" borderId="153" xfId="21" applyNumberFormat="1" applyFont="1" applyBorder="1" applyAlignment="1">
      <alignment horizontal="right"/>
      <protection/>
    </xf>
    <xf numFmtId="3" fontId="30" fillId="0" borderId="42" xfId="21" applyNumberFormat="1" applyFont="1" applyBorder="1" applyAlignment="1">
      <alignment horizontal="right"/>
      <protection/>
    </xf>
    <xf numFmtId="3" fontId="30" fillId="0" borderId="93" xfId="21" applyNumberFormat="1" applyFont="1" applyBorder="1" applyAlignment="1">
      <alignment horizontal="right"/>
      <protection/>
    </xf>
    <xf numFmtId="3" fontId="30" fillId="0" borderId="129" xfId="21" applyNumberFormat="1" applyFont="1" applyBorder="1" applyAlignment="1">
      <alignment horizontal="right"/>
      <protection/>
    </xf>
    <xf numFmtId="3" fontId="30" fillId="0" borderId="42" xfId="21" applyNumberFormat="1" applyFont="1" applyFill="1" applyBorder="1" applyAlignment="1">
      <alignment horizontal="right"/>
      <protection/>
    </xf>
    <xf numFmtId="3" fontId="30" fillId="0" borderId="153" xfId="21" applyNumberFormat="1" applyFont="1" applyFill="1" applyBorder="1" applyAlignment="1">
      <alignment horizontal="right"/>
      <protection/>
    </xf>
    <xf numFmtId="3" fontId="30" fillId="0" borderId="129" xfId="21" applyNumberFormat="1" applyFont="1" applyFill="1" applyBorder="1" applyAlignment="1">
      <alignment horizontal="right"/>
      <protection/>
    </xf>
    <xf numFmtId="3" fontId="30" fillId="3" borderId="43" xfId="21" applyNumberFormat="1" applyFont="1" applyFill="1" applyBorder="1" applyAlignment="1">
      <alignment horizontal="right"/>
      <protection/>
    </xf>
    <xf numFmtId="3" fontId="30" fillId="2" borderId="147" xfId="21" applyNumberFormat="1" applyFont="1" applyFill="1" applyBorder="1">
      <alignment/>
      <protection/>
    </xf>
    <xf numFmtId="3" fontId="30" fillId="6" borderId="94" xfId="21" applyNumberFormat="1" applyFont="1" applyFill="1" applyBorder="1">
      <alignment/>
      <protection/>
    </xf>
    <xf numFmtId="3" fontId="30" fillId="6" borderId="93" xfId="21" applyNumberFormat="1" applyFont="1" applyFill="1" applyBorder="1">
      <alignment/>
      <protection/>
    </xf>
    <xf numFmtId="3" fontId="30" fillId="2" borderId="98" xfId="21" applyNumberFormat="1" applyFont="1" applyFill="1" applyBorder="1">
      <alignment/>
      <protection/>
    </xf>
    <xf numFmtId="3" fontId="30" fillId="2" borderId="98" xfId="21" applyNumberFormat="1" applyFont="1" applyFill="1" applyBorder="1" applyAlignment="1">
      <alignment horizontal="right"/>
      <protection/>
    </xf>
    <xf numFmtId="3" fontId="30" fillId="0" borderId="130" xfId="21" applyNumberFormat="1" applyFont="1" applyFill="1" applyBorder="1" applyAlignment="1">
      <alignment horizontal="right"/>
      <protection/>
    </xf>
    <xf numFmtId="3" fontId="30" fillId="0" borderId="93" xfId="21" applyNumberFormat="1" applyFont="1" applyFill="1" applyBorder="1">
      <alignment/>
      <protection/>
    </xf>
    <xf numFmtId="3" fontId="45" fillId="2" borderId="98" xfId="21" applyNumberFormat="1" applyFont="1" applyFill="1" applyBorder="1">
      <alignment/>
      <protection/>
    </xf>
    <xf numFmtId="3" fontId="45" fillId="2" borderId="98" xfId="21" applyNumberFormat="1" applyFont="1" applyFill="1" applyBorder="1" applyAlignment="1">
      <alignment horizontal="right"/>
      <protection/>
    </xf>
    <xf numFmtId="3" fontId="30" fillId="0" borderId="98" xfId="21" applyNumberFormat="1" applyFont="1" applyBorder="1" applyAlignment="1">
      <alignment horizontal="right"/>
      <protection/>
    </xf>
    <xf numFmtId="3" fontId="30" fillId="0" borderId="43" xfId="21" applyNumberFormat="1" applyFont="1" applyFill="1" applyBorder="1">
      <alignment/>
      <protection/>
    </xf>
    <xf numFmtId="3" fontId="47" fillId="3" borderId="112" xfId="21" applyNumberFormat="1" applyFont="1" applyFill="1" applyBorder="1" applyAlignment="1">
      <alignment horizontal="right"/>
      <protection/>
    </xf>
    <xf numFmtId="3" fontId="47" fillId="2" borderId="154" xfId="21" applyNumberFormat="1" applyFont="1" applyFill="1" applyBorder="1">
      <alignment/>
      <protection/>
    </xf>
    <xf numFmtId="3" fontId="47" fillId="6" borderId="155" xfId="21" applyNumberFormat="1" applyFont="1" applyFill="1" applyBorder="1">
      <alignment/>
      <protection/>
    </xf>
    <xf numFmtId="3" fontId="47" fillId="6" borderId="4" xfId="21" applyNumberFormat="1" applyFont="1" applyFill="1" applyBorder="1">
      <alignment/>
      <protection/>
    </xf>
    <xf numFmtId="3" fontId="47" fillId="2" borderId="151" xfId="21" applyNumberFormat="1" applyFont="1" applyFill="1" applyBorder="1">
      <alignment/>
      <protection/>
    </xf>
    <xf numFmtId="3" fontId="47" fillId="0" borderId="155" xfId="21" applyNumberFormat="1" applyFont="1" applyFill="1" applyBorder="1" applyAlignment="1">
      <alignment horizontal="right"/>
      <protection/>
    </xf>
    <xf numFmtId="3" fontId="47" fillId="0" borderId="56" xfId="21" applyNumberFormat="1" applyFont="1" applyFill="1" applyBorder="1" applyAlignment="1">
      <alignment horizontal="right"/>
      <protection/>
    </xf>
    <xf numFmtId="3" fontId="24" fillId="7" borderId="155" xfId="21" applyNumberFormat="1" applyFont="1" applyFill="1" applyBorder="1">
      <alignment/>
      <protection/>
    </xf>
    <xf numFmtId="3" fontId="47" fillId="0" borderId="56" xfId="21" applyNumberFormat="1" applyFont="1" applyFill="1" applyBorder="1">
      <alignment/>
      <protection/>
    </xf>
    <xf numFmtId="3" fontId="47" fillId="0" borderId="155" xfId="21" applyNumberFormat="1" applyFont="1" applyFill="1" applyBorder="1">
      <alignment/>
      <protection/>
    </xf>
    <xf numFmtId="3" fontId="47" fillId="5" borderId="56" xfId="21" applyNumberFormat="1" applyFont="1" applyFill="1" applyBorder="1">
      <alignment/>
      <protection/>
    </xf>
    <xf numFmtId="3" fontId="51" fillId="2" borderId="151" xfId="21" applyNumberFormat="1" applyFont="1" applyFill="1" applyBorder="1">
      <alignment/>
      <protection/>
    </xf>
    <xf numFmtId="3" fontId="47" fillId="0" borderId="156" xfId="21" applyNumberFormat="1" applyFont="1" applyFill="1" applyBorder="1" applyAlignment="1">
      <alignment horizontal="right"/>
      <protection/>
    </xf>
    <xf numFmtId="3" fontId="47" fillId="0" borderId="157" xfId="21" applyNumberFormat="1" applyFont="1" applyFill="1" applyBorder="1" applyAlignment="1">
      <alignment horizontal="right"/>
      <protection/>
    </xf>
    <xf numFmtId="3" fontId="47" fillId="0" borderId="4" xfId="21" applyNumberFormat="1" applyFont="1" applyFill="1" applyBorder="1" applyAlignment="1">
      <alignment horizontal="right"/>
      <protection/>
    </xf>
    <xf numFmtId="3" fontId="51" fillId="2" borderId="151" xfId="21" applyNumberFormat="1" applyFont="1" applyFill="1" applyBorder="1" applyAlignment="1">
      <alignment horizontal="right"/>
      <protection/>
    </xf>
    <xf numFmtId="3" fontId="47" fillId="0" borderId="151" xfId="21" applyNumberFormat="1" applyFont="1" applyFill="1" applyBorder="1" applyAlignment="1">
      <alignment horizontal="right"/>
      <protection/>
    </xf>
    <xf numFmtId="3" fontId="47" fillId="0" borderId="112" xfId="21" applyNumberFormat="1" applyFont="1" applyBorder="1">
      <alignment/>
      <protection/>
    </xf>
    <xf numFmtId="3" fontId="47" fillId="0" borderId="0" xfId="21" applyNumberFormat="1" applyFont="1" applyFill="1" applyBorder="1">
      <alignment/>
      <protection/>
    </xf>
    <xf numFmtId="4" fontId="26" fillId="0" borderId="0" xfId="21" applyNumberFormat="1" applyFont="1" applyFill="1" applyBorder="1">
      <alignment/>
      <protection/>
    </xf>
    <xf numFmtId="0" fontId="47" fillId="0" borderId="148" xfId="21" applyFont="1" applyBorder="1" applyAlignment="1">
      <alignment horizontal="center"/>
      <protection/>
    </xf>
    <xf numFmtId="3" fontId="47" fillId="0" borderId="35" xfId="21" applyNumberFormat="1" applyFont="1" applyBorder="1">
      <alignment/>
      <protection/>
    </xf>
    <xf numFmtId="3" fontId="47" fillId="0" borderId="29" xfId="21" applyNumberFormat="1" applyFont="1" applyBorder="1">
      <alignment/>
      <protection/>
    </xf>
    <xf numFmtId="3" fontId="47" fillId="3" borderId="150" xfId="21" applyNumberFormat="1" applyFont="1" applyFill="1" applyBorder="1">
      <alignment/>
      <protection/>
    </xf>
    <xf numFmtId="3" fontId="47" fillId="0" borderId="5" xfId="21" applyNumberFormat="1" applyFont="1" applyBorder="1">
      <alignment/>
      <protection/>
    </xf>
    <xf numFmtId="0" fontId="30" fillId="0" borderId="100" xfId="21" applyFont="1" applyBorder="1">
      <alignment/>
      <protection/>
    </xf>
    <xf numFmtId="0" fontId="30" fillId="0" borderId="100" xfId="21" applyFont="1" applyFill="1" applyBorder="1">
      <alignment/>
      <protection/>
    </xf>
    <xf numFmtId="0" fontId="30" fillId="0" borderId="111" xfId="21" applyFont="1" applyFill="1" applyBorder="1">
      <alignment/>
      <protection/>
    </xf>
    <xf numFmtId="0" fontId="11" fillId="3" borderId="96" xfId="21" applyFont="1" applyFill="1" applyBorder="1" applyAlignment="1">
      <alignment horizontal="center"/>
      <protection/>
    </xf>
    <xf numFmtId="0" fontId="5" fillId="0" borderId="41" xfId="21" applyFont="1" applyBorder="1" applyAlignment="1">
      <alignment horizontal="center"/>
      <protection/>
    </xf>
    <xf numFmtId="0" fontId="12" fillId="0" borderId="3" xfId="0" applyFont="1" applyBorder="1" applyAlignment="1">
      <alignment horizontal="center"/>
    </xf>
    <xf numFmtId="0" fontId="5" fillId="0" borderId="158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5" fillId="0" borderId="159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01" xfId="0" applyFont="1" applyBorder="1" applyAlignment="1">
      <alignment horizontal="center"/>
    </xf>
    <xf numFmtId="0" fontId="12" fillId="2" borderId="33" xfId="0" applyFont="1" applyFill="1" applyBorder="1" applyAlignment="1">
      <alignment/>
    </xf>
    <xf numFmtId="0" fontId="11" fillId="2" borderId="159" xfId="0" applyFont="1" applyFill="1" applyBorder="1" applyAlignment="1">
      <alignment/>
    </xf>
    <xf numFmtId="0" fontId="11" fillId="2" borderId="22" xfId="0" applyFont="1" applyFill="1" applyBorder="1" applyAlignment="1">
      <alignment/>
    </xf>
    <xf numFmtId="0" fontId="11" fillId="2" borderId="2" xfId="0" applyFont="1" applyFill="1" applyBorder="1" applyAlignment="1">
      <alignment/>
    </xf>
    <xf numFmtId="0" fontId="5" fillId="2" borderId="101" xfId="0" applyFont="1" applyFill="1" applyBorder="1" applyAlignment="1">
      <alignment/>
    </xf>
    <xf numFmtId="0" fontId="0" fillId="0" borderId="57" xfId="0" applyFont="1" applyBorder="1" applyAlignment="1">
      <alignment/>
    </xf>
    <xf numFmtId="0" fontId="5" fillId="0" borderId="117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58" xfId="0" applyFont="1" applyBorder="1" applyAlignment="1">
      <alignment/>
    </xf>
    <xf numFmtId="0" fontId="0" fillId="0" borderId="131" xfId="0" applyFont="1" applyBorder="1" applyAlignment="1">
      <alignment/>
    </xf>
    <xf numFmtId="0" fontId="5" fillId="0" borderId="160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5" xfId="0" applyFont="1" applyBorder="1" applyAlignment="1">
      <alignment/>
    </xf>
    <xf numFmtId="0" fontId="5" fillId="0" borderId="28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6" fillId="0" borderId="27" xfId="0" applyFont="1" applyFill="1" applyBorder="1" applyAlignment="1">
      <alignment horizontal="left"/>
    </xf>
    <xf numFmtId="0" fontId="6" fillId="0" borderId="29" xfId="0" applyFont="1" applyFill="1" applyBorder="1" applyAlignment="1">
      <alignment horizontal="left"/>
    </xf>
    <xf numFmtId="0" fontId="12" fillId="2" borderId="12" xfId="0" applyFont="1" applyFill="1" applyBorder="1" applyAlignment="1">
      <alignment/>
    </xf>
    <xf numFmtId="0" fontId="11" fillId="2" borderId="10" xfId="0" applyFont="1" applyFill="1" applyBorder="1" applyAlignment="1">
      <alignment/>
    </xf>
    <xf numFmtId="0" fontId="11" fillId="2" borderId="40" xfId="0" applyFont="1" applyFill="1" applyBorder="1" applyAlignment="1">
      <alignment/>
    </xf>
    <xf numFmtId="0" fontId="5" fillId="2" borderId="112" xfId="0" applyFont="1" applyFill="1" applyBorder="1" applyAlignment="1">
      <alignment/>
    </xf>
    <xf numFmtId="0" fontId="0" fillId="0" borderId="55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67" xfId="0" applyFont="1" applyBorder="1" applyAlignment="1">
      <alignment/>
    </xf>
    <xf numFmtId="0" fontId="5" fillId="0" borderId="56" xfId="0" applyFont="1" applyBorder="1" applyAlignment="1">
      <alignment/>
    </xf>
    <xf numFmtId="0" fontId="5" fillId="0" borderId="69" xfId="0" applyFont="1" applyBorder="1" applyAlignment="1">
      <alignment horizontal="center"/>
    </xf>
    <xf numFmtId="0" fontId="0" fillId="0" borderId="61" xfId="0" applyFont="1" applyBorder="1" applyAlignment="1">
      <alignment/>
    </xf>
    <xf numFmtId="0" fontId="5" fillId="0" borderId="48" xfId="0" applyFont="1" applyBorder="1" applyAlignment="1">
      <alignment/>
    </xf>
    <xf numFmtId="0" fontId="5" fillId="0" borderId="69" xfId="0" applyFont="1" applyBorder="1" applyAlignment="1">
      <alignment/>
    </xf>
    <xf numFmtId="0" fontId="5" fillId="0" borderId="161" xfId="0" applyFont="1" applyBorder="1" applyAlignment="1">
      <alignment/>
    </xf>
    <xf numFmtId="0" fontId="0" fillId="0" borderId="33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101" xfId="0" applyFont="1" applyBorder="1" applyAlignment="1">
      <alignment/>
    </xf>
    <xf numFmtId="0" fontId="46" fillId="0" borderId="0" xfId="0" applyFont="1" applyAlignment="1">
      <alignment/>
    </xf>
    <xf numFmtId="0" fontId="0" fillId="8" borderId="97" xfId="0" applyFont="1" applyFill="1" applyBorder="1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left"/>
    </xf>
    <xf numFmtId="0" fontId="52" fillId="0" borderId="0" xfId="0" applyFont="1" applyAlignment="1">
      <alignment/>
    </xf>
    <xf numFmtId="0" fontId="39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4" borderId="107" xfId="21" applyFont="1" applyFill="1" applyBorder="1" applyAlignment="1">
      <alignment horizontal="center"/>
      <protection/>
    </xf>
    <xf numFmtId="0" fontId="5" fillId="4" borderId="107" xfId="21" applyFont="1" applyFill="1" applyBorder="1">
      <alignment/>
      <protection/>
    </xf>
    <xf numFmtId="3" fontId="6" fillId="4" borderId="125" xfId="21" applyNumberFormat="1" applyFont="1" applyFill="1" applyBorder="1">
      <alignment/>
      <protection/>
    </xf>
    <xf numFmtId="3" fontId="5" fillId="4" borderId="125" xfId="21" applyNumberFormat="1" applyFont="1" applyFill="1" applyBorder="1">
      <alignment/>
      <protection/>
    </xf>
    <xf numFmtId="3" fontId="30" fillId="4" borderId="125" xfId="21" applyNumberFormat="1" applyFont="1" applyFill="1" applyBorder="1">
      <alignment/>
      <protection/>
    </xf>
    <xf numFmtId="3" fontId="47" fillId="4" borderId="161" xfId="21" applyNumberFormat="1" applyFont="1" applyFill="1" applyBorder="1">
      <alignment/>
      <protection/>
    </xf>
    <xf numFmtId="3" fontId="47" fillId="0" borderId="156" xfId="0" applyNumberFormat="1" applyFont="1" applyFill="1" applyBorder="1" applyAlignment="1">
      <alignment/>
    </xf>
    <xf numFmtId="0" fontId="37" fillId="0" borderId="21" xfId="21" applyFont="1" applyBorder="1">
      <alignment/>
      <protection/>
    </xf>
    <xf numFmtId="0" fontId="37" fillId="0" borderId="84" xfId="21" applyFont="1" applyBorder="1" applyAlignment="1">
      <alignment horizontal="center"/>
      <protection/>
    </xf>
    <xf numFmtId="0" fontId="10" fillId="0" borderId="64" xfId="21" applyFont="1" applyBorder="1">
      <alignment/>
      <protection/>
    </xf>
    <xf numFmtId="3" fontId="9" fillId="0" borderId="72" xfId="21" applyNumberFormat="1" applyFont="1" applyBorder="1">
      <alignment/>
      <protection/>
    </xf>
    <xf numFmtId="3" fontId="10" fillId="0" borderId="72" xfId="21" applyNumberFormat="1" applyFont="1" applyBorder="1">
      <alignment/>
      <protection/>
    </xf>
    <xf numFmtId="3" fontId="30" fillId="0" borderId="75" xfId="21" applyNumberFormat="1" applyFont="1" applyFill="1" applyBorder="1">
      <alignment/>
      <protection/>
    </xf>
    <xf numFmtId="3" fontId="47" fillId="0" borderId="101" xfId="21" applyNumberFormat="1" applyFont="1" applyFill="1" applyBorder="1">
      <alignment/>
      <protection/>
    </xf>
    <xf numFmtId="3" fontId="28" fillId="0" borderId="50" xfId="0" applyNumberFormat="1" applyFont="1" applyFill="1" applyBorder="1" applyAlignment="1">
      <alignment/>
    </xf>
    <xf numFmtId="0" fontId="24" fillId="0" borderId="7" xfId="0" applyFont="1" applyFill="1" applyBorder="1" applyAlignment="1">
      <alignment/>
    </xf>
    <xf numFmtId="3" fontId="28" fillId="0" borderId="92" xfId="0" applyNumberFormat="1" applyFont="1" applyFill="1" applyBorder="1" applyAlignment="1">
      <alignment/>
    </xf>
    <xf numFmtId="4" fontId="28" fillId="0" borderId="92" xfId="0" applyNumberFormat="1" applyFont="1" applyFill="1" applyBorder="1" applyAlignment="1">
      <alignment/>
    </xf>
    <xf numFmtId="3" fontId="28" fillId="0" borderId="93" xfId="0" applyNumberFormat="1" applyFont="1" applyFill="1" applyBorder="1" applyAlignment="1">
      <alignment/>
    </xf>
    <xf numFmtId="0" fontId="28" fillId="0" borderId="0" xfId="0" applyFont="1" applyFill="1" applyAlignment="1">
      <alignment/>
    </xf>
    <xf numFmtId="1" fontId="28" fillId="0" borderId="0" xfId="0" applyNumberFormat="1" applyFont="1" applyFill="1" applyAlignment="1">
      <alignment/>
    </xf>
    <xf numFmtId="3" fontId="24" fillId="0" borderId="0" xfId="0" applyNumberFormat="1" applyFont="1" applyFill="1" applyAlignment="1">
      <alignment/>
    </xf>
    <xf numFmtId="0" fontId="24" fillId="0" borderId="162" xfId="0" applyFont="1" applyFill="1" applyBorder="1" applyAlignment="1">
      <alignment/>
    </xf>
    <xf numFmtId="3" fontId="28" fillId="0" borderId="142" xfId="0" applyNumberFormat="1" applyFont="1" applyFill="1" applyBorder="1" applyAlignment="1">
      <alignment/>
    </xf>
    <xf numFmtId="3" fontId="24" fillId="0" borderId="41" xfId="0" applyNumberFormat="1" applyFont="1" applyFill="1" applyBorder="1" applyAlignment="1">
      <alignment/>
    </xf>
    <xf numFmtId="3" fontId="24" fillId="0" borderId="163" xfId="0" applyNumberFormat="1" applyFont="1" applyFill="1" applyBorder="1" applyAlignment="1">
      <alignment/>
    </xf>
    <xf numFmtId="3" fontId="24" fillId="0" borderId="128" xfId="0" applyNumberFormat="1" applyFont="1" applyFill="1" applyBorder="1" applyAlignment="1">
      <alignment/>
    </xf>
    <xf numFmtId="0" fontId="24" fillId="0" borderId="55" xfId="0" applyFont="1" applyFill="1" applyBorder="1" applyAlignment="1">
      <alignment/>
    </xf>
    <xf numFmtId="3" fontId="28" fillId="0" borderId="100" xfId="0" applyNumberFormat="1" applyFont="1" applyFill="1" applyBorder="1" applyAlignment="1">
      <alignment/>
    </xf>
    <xf numFmtId="3" fontId="24" fillId="0" borderId="129" xfId="0" applyNumberFormat="1" applyFont="1" applyFill="1" applyBorder="1" applyAlignment="1">
      <alignment/>
    </xf>
    <xf numFmtId="0" fontId="24" fillId="0" borderId="92" xfId="0" applyFont="1" applyFill="1" applyBorder="1" applyAlignment="1">
      <alignment horizontal="center"/>
    </xf>
    <xf numFmtId="0" fontId="24" fillId="0" borderId="84" xfId="0" applyFont="1" applyFill="1" applyBorder="1" applyAlignment="1">
      <alignment horizontal="center"/>
    </xf>
    <xf numFmtId="0" fontId="24" fillId="0" borderId="93" xfId="0" applyFont="1" applyFill="1" applyBorder="1" applyAlignment="1">
      <alignment horizontal="center"/>
    </xf>
    <xf numFmtId="0" fontId="28" fillId="0" borderId="3" xfId="0" applyFont="1" applyFill="1" applyBorder="1" applyAlignment="1">
      <alignment/>
    </xf>
    <xf numFmtId="0" fontId="28" fillId="0" borderId="7" xfId="0" applyFont="1" applyFill="1" applyBorder="1" applyAlignment="1">
      <alignment/>
    </xf>
    <xf numFmtId="0" fontId="28" fillId="0" borderId="32" xfId="0" applyFont="1" applyFill="1" applyBorder="1" applyAlignment="1">
      <alignment/>
    </xf>
    <xf numFmtId="0" fontId="28" fillId="0" borderId="82" xfId="0" applyFont="1" applyFill="1" applyBorder="1" applyAlignment="1">
      <alignment horizontal="center"/>
    </xf>
    <xf numFmtId="0" fontId="28" fillId="0" borderId="41" xfId="0" applyFont="1" applyFill="1" applyBorder="1" applyAlignment="1">
      <alignment horizontal="center"/>
    </xf>
    <xf numFmtId="0" fontId="28" fillId="0" borderId="92" xfId="0" applyFont="1" applyFill="1" applyBorder="1" applyAlignment="1">
      <alignment horizontal="center"/>
    </xf>
    <xf numFmtId="0" fontId="28" fillId="0" borderId="36" xfId="0" applyFont="1" applyFill="1" applyBorder="1" applyAlignment="1">
      <alignment horizontal="center"/>
    </xf>
    <xf numFmtId="0" fontId="28" fillId="0" borderId="93" xfId="0" applyFont="1" applyFill="1" applyBorder="1" applyAlignment="1">
      <alignment horizontal="center"/>
    </xf>
    <xf numFmtId="0" fontId="28" fillId="0" borderId="84" xfId="0" applyFont="1" applyFill="1" applyBorder="1" applyAlignment="1">
      <alignment horizontal="center"/>
    </xf>
    <xf numFmtId="3" fontId="28" fillId="0" borderId="76" xfId="0" applyNumberFormat="1" applyFont="1" applyFill="1" applyBorder="1" applyAlignment="1">
      <alignment/>
    </xf>
    <xf numFmtId="0" fontId="28" fillId="0" borderId="55" xfId="0" applyFont="1" applyFill="1" applyBorder="1" applyAlignment="1">
      <alignment/>
    </xf>
    <xf numFmtId="3" fontId="28" fillId="0" borderId="66" xfId="0" applyNumberFormat="1" applyFont="1" applyFill="1" applyBorder="1" applyAlignment="1">
      <alignment/>
    </xf>
    <xf numFmtId="3" fontId="28" fillId="0" borderId="147" xfId="0" applyNumberFormat="1" applyFont="1" applyFill="1" applyBorder="1" applyAlignment="1">
      <alignment/>
    </xf>
    <xf numFmtId="3" fontId="24" fillId="0" borderId="33" xfId="0" applyNumberFormat="1" applyFont="1" applyFill="1" applyBorder="1" applyAlignment="1">
      <alignment/>
    </xf>
    <xf numFmtId="3" fontId="24" fillId="0" borderId="84" xfId="0" applyNumberFormat="1" applyFont="1" applyFill="1" applyBorder="1" applyAlignment="1">
      <alignment/>
    </xf>
    <xf numFmtId="3" fontId="24" fillId="0" borderId="6" xfId="0" applyNumberFormat="1" applyFont="1" applyFill="1" applyBorder="1" applyAlignment="1">
      <alignment/>
    </xf>
    <xf numFmtId="3" fontId="24" fillId="0" borderId="36" xfId="0" applyNumberFormat="1" applyFont="1" applyFill="1" applyBorder="1" applyAlignment="1">
      <alignment/>
    </xf>
    <xf numFmtId="3" fontId="24" fillId="0" borderId="164" xfId="0" applyNumberFormat="1" applyFont="1" applyFill="1" applyBorder="1" applyAlignment="1">
      <alignment/>
    </xf>
    <xf numFmtId="3" fontId="24" fillId="0" borderId="103" xfId="0" applyNumberFormat="1" applyFont="1" applyFill="1" applyBorder="1" applyAlignment="1">
      <alignment/>
    </xf>
    <xf numFmtId="3" fontId="24" fillId="0" borderId="165" xfId="0" applyNumberFormat="1" applyFont="1" applyFill="1" applyBorder="1" applyAlignment="1">
      <alignment/>
    </xf>
    <xf numFmtId="3" fontId="28" fillId="0" borderId="55" xfId="0" applyNumberFormat="1" applyFont="1" applyFill="1" applyBorder="1" applyAlignment="1">
      <alignment/>
    </xf>
    <xf numFmtId="0" fontId="24" fillId="0" borderId="3" xfId="0" applyFont="1" applyFill="1" applyBorder="1" applyAlignment="1">
      <alignment horizontal="center"/>
    </xf>
    <xf numFmtId="0" fontId="24" fillId="0" borderId="76" xfId="0" applyFont="1" applyFill="1" applyBorder="1" applyAlignment="1">
      <alignment horizontal="center"/>
    </xf>
    <xf numFmtId="0" fontId="24" fillId="0" borderId="91" xfId="0" applyFont="1" applyFill="1" applyBorder="1" applyAlignment="1">
      <alignment horizontal="center"/>
    </xf>
    <xf numFmtId="3" fontId="28" fillId="0" borderId="7" xfId="0" applyNumberFormat="1" applyFont="1" applyFill="1" applyBorder="1" applyAlignment="1">
      <alignment/>
    </xf>
    <xf numFmtId="3" fontId="28" fillId="0" borderId="61" xfId="0" applyNumberFormat="1" applyFont="1" applyFill="1" applyBorder="1" applyAlignment="1">
      <alignment/>
    </xf>
    <xf numFmtId="3" fontId="28" fillId="0" borderId="107" xfId="0" applyNumberFormat="1" applyFont="1" applyFill="1" applyBorder="1" applyAlignment="1">
      <alignment/>
    </xf>
    <xf numFmtId="3" fontId="24" fillId="0" borderId="82" xfId="0" applyNumberFormat="1" applyFont="1" applyFill="1" applyBorder="1" applyAlignment="1">
      <alignment/>
    </xf>
    <xf numFmtId="3" fontId="28" fillId="0" borderId="162" xfId="0" applyNumberFormat="1" applyFont="1" applyFill="1" applyBorder="1" applyAlignment="1">
      <alignment/>
    </xf>
    <xf numFmtId="0" fontId="19" fillId="0" borderId="0" xfId="0" applyFont="1" applyAlignment="1">
      <alignment/>
    </xf>
    <xf numFmtId="2" fontId="9" fillId="0" borderId="0" xfId="0" applyNumberFormat="1" applyFont="1" applyAlignment="1">
      <alignment horizontal="center"/>
    </xf>
    <xf numFmtId="3" fontId="28" fillId="0" borderId="12" xfId="0" applyNumberFormat="1" applyFont="1" applyFill="1" applyBorder="1" applyAlignment="1">
      <alignment/>
    </xf>
    <xf numFmtId="3" fontId="28" fillId="0" borderId="13" xfId="0" applyNumberFormat="1" applyFont="1" applyFill="1" applyBorder="1" applyAlignment="1">
      <alignment/>
    </xf>
    <xf numFmtId="0" fontId="28" fillId="0" borderId="35" xfId="0" applyFont="1" applyFill="1" applyBorder="1" applyAlignment="1">
      <alignment/>
    </xf>
    <xf numFmtId="3" fontId="28" fillId="0" borderId="29" xfId="0" applyNumberFormat="1" applyFont="1" applyFill="1" applyBorder="1" applyAlignment="1">
      <alignment/>
    </xf>
    <xf numFmtId="3" fontId="28" fillId="0" borderId="35" xfId="0" applyNumberFormat="1" applyFont="1" applyFill="1" applyBorder="1" applyAlignment="1">
      <alignment/>
    </xf>
    <xf numFmtId="3" fontId="28" fillId="0" borderId="38" xfId="0" applyNumberFormat="1" applyFont="1" applyFill="1" applyBorder="1" applyAlignment="1">
      <alignment/>
    </xf>
    <xf numFmtId="3" fontId="28" fillId="0" borderId="52" xfId="0" applyNumberFormat="1" applyFont="1" applyFill="1" applyBorder="1" applyAlignment="1">
      <alignment/>
    </xf>
    <xf numFmtId="3" fontId="28" fillId="0" borderId="19" xfId="0" applyNumberFormat="1" applyFont="1" applyFill="1" applyBorder="1" applyAlignment="1">
      <alignment/>
    </xf>
    <xf numFmtId="0" fontId="28" fillId="0" borderId="76" xfId="0" applyFont="1" applyFill="1" applyBorder="1" applyAlignment="1">
      <alignment horizontal="center"/>
    </xf>
    <xf numFmtId="0" fontId="28" fillId="0" borderId="16" xfId="0" applyFont="1" applyFill="1" applyBorder="1" applyAlignment="1">
      <alignment horizontal="center"/>
    </xf>
    <xf numFmtId="0" fontId="28" fillId="0" borderId="83" xfId="0" applyFont="1" applyFill="1" applyBorder="1" applyAlignment="1">
      <alignment horizontal="center"/>
    </xf>
    <xf numFmtId="0" fontId="28" fillId="0" borderId="35" xfId="0" applyFont="1" applyFill="1" applyBorder="1" applyAlignment="1">
      <alignment horizontal="center"/>
    </xf>
    <xf numFmtId="0" fontId="28" fillId="0" borderId="3" xfId="0" applyFont="1" applyFill="1" applyBorder="1" applyAlignment="1">
      <alignment horizontal="center"/>
    </xf>
    <xf numFmtId="3" fontId="28" fillId="0" borderId="33" xfId="0" applyNumberFormat="1" applyFont="1" applyFill="1" applyBorder="1" applyAlignment="1">
      <alignment horizontal="center"/>
    </xf>
    <xf numFmtId="3" fontId="28" fillId="0" borderId="84" xfId="0" applyNumberFormat="1" applyFont="1" applyFill="1" applyBorder="1" applyAlignment="1">
      <alignment horizontal="center"/>
    </xf>
    <xf numFmtId="0" fontId="28" fillId="0" borderId="7" xfId="0" applyFont="1" applyFill="1" applyBorder="1" applyAlignment="1">
      <alignment horizontal="center"/>
    </xf>
    <xf numFmtId="0" fontId="28" fillId="0" borderId="164" xfId="0" applyFont="1" applyFill="1" applyBorder="1" applyAlignment="1">
      <alignment horizontal="left"/>
    </xf>
    <xf numFmtId="0" fontId="28" fillId="0" borderId="166" xfId="0" applyFont="1" applyFill="1" applyBorder="1" applyAlignment="1">
      <alignment horizontal="left"/>
    </xf>
    <xf numFmtId="0" fontId="28" fillId="0" borderId="6" xfId="0" applyFont="1" applyFill="1" applyBorder="1" applyAlignment="1">
      <alignment horizontal="center"/>
    </xf>
    <xf numFmtId="49" fontId="28" fillId="0" borderId="6" xfId="0" applyNumberFormat="1" applyFont="1" applyFill="1" applyBorder="1" applyAlignment="1">
      <alignment horizontal="center"/>
    </xf>
    <xf numFmtId="0" fontId="28" fillId="0" borderId="128" xfId="0" applyFont="1" applyFill="1" applyBorder="1" applyAlignment="1">
      <alignment horizontal="center"/>
    </xf>
    <xf numFmtId="0" fontId="28" fillId="0" borderId="65" xfId="0" applyFont="1" applyFill="1" applyBorder="1" applyAlignment="1">
      <alignment/>
    </xf>
    <xf numFmtId="3" fontId="28" fillId="0" borderId="141" xfId="0" applyNumberFormat="1" applyFont="1" applyFill="1" applyBorder="1" applyAlignment="1">
      <alignment/>
    </xf>
    <xf numFmtId="3" fontId="28" fillId="0" borderId="72" xfId="0" applyNumberFormat="1" applyFont="1" applyFill="1" applyBorder="1" applyAlignment="1">
      <alignment/>
    </xf>
    <xf numFmtId="4" fontId="28" fillId="0" borderId="72" xfId="0" applyNumberFormat="1" applyFont="1" applyFill="1" applyBorder="1" applyAlignment="1">
      <alignment/>
    </xf>
    <xf numFmtId="3" fontId="28" fillId="0" borderId="75" xfId="0" applyNumberFormat="1" applyFont="1" applyFill="1" applyBorder="1" applyAlignment="1">
      <alignment/>
    </xf>
    <xf numFmtId="2" fontId="28" fillId="0" borderId="92" xfId="0" applyNumberFormat="1" applyFont="1" applyFill="1" applyBorder="1" applyAlignment="1">
      <alignment/>
    </xf>
    <xf numFmtId="3" fontId="24" fillId="0" borderId="93" xfId="0" applyNumberFormat="1" applyFont="1" applyFill="1" applyBorder="1" applyAlignment="1">
      <alignment/>
    </xf>
    <xf numFmtId="4" fontId="28" fillId="0" borderId="100" xfId="0" applyNumberFormat="1" applyFont="1" applyFill="1" applyBorder="1" applyAlignment="1">
      <alignment/>
    </xf>
    <xf numFmtId="2" fontId="28" fillId="0" borderId="100" xfId="0" applyNumberFormat="1" applyFont="1" applyFill="1" applyBorder="1" applyAlignment="1">
      <alignment/>
    </xf>
    <xf numFmtId="0" fontId="24" fillId="0" borderId="33" xfId="0" applyFont="1" applyFill="1" applyBorder="1" applyAlignment="1">
      <alignment/>
    </xf>
    <xf numFmtId="4" fontId="24" fillId="0" borderId="84" xfId="0" applyNumberFormat="1" applyFont="1" applyFill="1" applyBorder="1" applyAlignment="1">
      <alignment/>
    </xf>
    <xf numFmtId="0" fontId="24" fillId="0" borderId="61" xfId="0" applyFont="1" applyFill="1" applyBorder="1" applyAlignment="1">
      <alignment/>
    </xf>
    <xf numFmtId="4" fontId="28" fillId="0" borderId="107" xfId="0" applyNumberFormat="1" applyFont="1" applyFill="1" applyBorder="1" applyAlignment="1">
      <alignment/>
    </xf>
    <xf numFmtId="2" fontId="28" fillId="0" borderId="107" xfId="0" applyNumberFormat="1" applyFont="1" applyFill="1" applyBorder="1" applyAlignment="1">
      <alignment/>
    </xf>
    <xf numFmtId="3" fontId="24" fillId="0" borderId="130" xfId="0" applyNumberFormat="1" applyFont="1" applyFill="1" applyBorder="1" applyAlignment="1">
      <alignment/>
    </xf>
    <xf numFmtId="4" fontId="28" fillId="0" borderId="142" xfId="0" applyNumberFormat="1" applyFont="1" applyFill="1" applyBorder="1" applyAlignment="1">
      <alignment/>
    </xf>
    <xf numFmtId="3" fontId="24" fillId="0" borderId="83" xfId="0" applyNumberFormat="1" applyFont="1" applyFill="1" applyBorder="1" applyAlignment="1">
      <alignment/>
    </xf>
    <xf numFmtId="3" fontId="24" fillId="0" borderId="5" xfId="0" applyNumberFormat="1" applyFont="1" applyFill="1" applyBorder="1" applyAlignment="1">
      <alignment/>
    </xf>
    <xf numFmtId="0" fontId="28" fillId="0" borderId="61" xfId="0" applyFont="1" applyFill="1" applyBorder="1" applyAlignment="1">
      <alignment/>
    </xf>
    <xf numFmtId="3" fontId="28" fillId="0" borderId="107" xfId="0" applyNumberFormat="1" applyFont="1" applyFill="1" applyBorder="1" applyAlignment="1">
      <alignment/>
    </xf>
    <xf numFmtId="3" fontId="28" fillId="0" borderId="130" xfId="0" applyNumberFormat="1" applyFont="1" applyFill="1" applyBorder="1" applyAlignment="1">
      <alignment/>
    </xf>
    <xf numFmtId="0" fontId="28" fillId="0" borderId="91" xfId="0" applyFont="1" applyFill="1" applyBorder="1" applyAlignment="1">
      <alignment horizontal="center"/>
    </xf>
    <xf numFmtId="4" fontId="28" fillId="0" borderId="92" xfId="0" applyNumberFormat="1" applyFont="1" applyFill="1" applyBorder="1" applyAlignment="1">
      <alignment horizontal="center"/>
    </xf>
    <xf numFmtId="4" fontId="28" fillId="0" borderId="100" xfId="0" applyNumberFormat="1" applyFont="1" applyFill="1" applyBorder="1" applyAlignment="1">
      <alignment horizontal="center"/>
    </xf>
    <xf numFmtId="4" fontId="28" fillId="0" borderId="107" xfId="0" applyNumberFormat="1" applyFont="1" applyFill="1" applyBorder="1" applyAlignment="1">
      <alignment horizontal="center"/>
    </xf>
    <xf numFmtId="4" fontId="24" fillId="0" borderId="83" xfId="0" applyNumberFormat="1" applyFont="1" applyFill="1" applyBorder="1" applyAlignment="1">
      <alignment horizontal="center"/>
    </xf>
    <xf numFmtId="0" fontId="24" fillId="0" borderId="76" xfId="0" applyFont="1" applyFill="1" applyBorder="1" applyAlignment="1">
      <alignment/>
    </xf>
    <xf numFmtId="0" fontId="24" fillId="0" borderId="128" xfId="0" applyFont="1" applyFill="1" applyBorder="1" applyAlignment="1">
      <alignment/>
    </xf>
    <xf numFmtId="0" fontId="24" fillId="0" borderId="92" xfId="0" applyFont="1" applyFill="1" applyBorder="1" applyAlignment="1">
      <alignment/>
    </xf>
    <xf numFmtId="0" fontId="24" fillId="0" borderId="78" xfId="0" applyFont="1" applyFill="1" applyBorder="1" applyAlignment="1">
      <alignment horizontal="left"/>
    </xf>
    <xf numFmtId="0" fontId="24" fillId="0" borderId="8" xfId="0" applyFont="1" applyFill="1" applyBorder="1" applyAlignment="1">
      <alignment horizontal="left"/>
    </xf>
    <xf numFmtId="0" fontId="24" fillId="0" borderId="21" xfId="0" applyFont="1" applyFill="1" applyBorder="1" applyAlignment="1">
      <alignment horizontal="left"/>
    </xf>
    <xf numFmtId="3" fontId="24" fillId="0" borderId="8" xfId="0" applyNumberFormat="1" applyFont="1" applyFill="1" applyBorder="1" applyAlignment="1">
      <alignment horizontal="left"/>
    </xf>
    <xf numFmtId="3" fontId="24" fillId="0" borderId="86" xfId="0" applyNumberFormat="1" applyFont="1" applyFill="1" applyBorder="1" applyAlignment="1">
      <alignment horizontal="left"/>
    </xf>
    <xf numFmtId="3" fontId="24" fillId="0" borderId="124" xfId="0" applyNumberFormat="1" applyFont="1" applyFill="1" applyBorder="1" applyAlignment="1">
      <alignment horizontal="left"/>
    </xf>
    <xf numFmtId="3" fontId="24" fillId="0" borderId="21" xfId="0" applyNumberFormat="1" applyFont="1" applyFill="1" applyBorder="1" applyAlignment="1">
      <alignment horizontal="left"/>
    </xf>
    <xf numFmtId="3" fontId="24" fillId="0" borderId="145" xfId="0" applyNumberFormat="1" applyFont="1" applyFill="1" applyBorder="1" applyAlignment="1">
      <alignment horizontal="left"/>
    </xf>
    <xf numFmtId="0" fontId="24" fillId="0" borderId="16" xfId="0" applyFont="1" applyFill="1" applyBorder="1" applyAlignment="1">
      <alignment horizontal="center"/>
    </xf>
    <xf numFmtId="0" fontId="24" fillId="0" borderId="35" xfId="0" applyFont="1" applyFill="1" applyBorder="1" applyAlignment="1">
      <alignment horizontal="center"/>
    </xf>
    <xf numFmtId="0" fontId="24" fillId="0" borderId="5" xfId="0" applyFont="1" applyFill="1" applyBorder="1" applyAlignment="1">
      <alignment/>
    </xf>
    <xf numFmtId="3" fontId="24" fillId="0" borderId="70" xfId="0" applyNumberFormat="1" applyFont="1" applyFill="1" applyBorder="1" applyAlignment="1">
      <alignment/>
    </xf>
    <xf numFmtId="3" fontId="24" fillId="0" borderId="5" xfId="0" applyNumberFormat="1" applyFont="1" applyFill="1" applyBorder="1" applyAlignment="1">
      <alignment/>
    </xf>
    <xf numFmtId="3" fontId="6" fillId="0" borderId="148" xfId="0" applyNumberFormat="1" applyFont="1" applyFill="1" applyBorder="1" applyAlignment="1">
      <alignment/>
    </xf>
    <xf numFmtId="3" fontId="6" fillId="0" borderId="5" xfId="0" applyNumberFormat="1" applyFont="1" applyFill="1" applyBorder="1" applyAlignment="1">
      <alignment/>
    </xf>
    <xf numFmtId="0" fontId="24" fillId="0" borderId="84" xfId="0" applyFont="1" applyFill="1" applyBorder="1" applyAlignment="1">
      <alignment/>
    </xf>
    <xf numFmtId="3" fontId="28" fillId="0" borderId="84" xfId="0" applyNumberFormat="1" applyFont="1" applyFill="1" applyBorder="1" applyAlignment="1">
      <alignment/>
    </xf>
    <xf numFmtId="3" fontId="28" fillId="0" borderId="142" xfId="0" applyNumberFormat="1" applyFont="1" applyFill="1" applyBorder="1" applyAlignment="1">
      <alignment/>
    </xf>
    <xf numFmtId="0" fontId="53" fillId="0" borderId="0" xfId="21" applyFont="1">
      <alignment/>
      <protection/>
    </xf>
    <xf numFmtId="0" fontId="30" fillId="0" borderId="0" xfId="21" applyFont="1">
      <alignment/>
      <protection/>
    </xf>
    <xf numFmtId="4" fontId="54" fillId="0" borderId="0" xfId="21" applyNumberFormat="1" applyFont="1" applyFill="1" applyBorder="1">
      <alignment/>
      <protection/>
    </xf>
    <xf numFmtId="3" fontId="38" fillId="0" borderId="29" xfId="21" applyNumberFormat="1" applyFont="1" applyBorder="1">
      <alignment/>
      <protection/>
    </xf>
    <xf numFmtId="3" fontId="0" fillId="0" borderId="66" xfId="0" applyNumberFormat="1" applyFont="1" applyBorder="1" applyAlignment="1">
      <alignment/>
    </xf>
    <xf numFmtId="3" fontId="0" fillId="0" borderId="125" xfId="0" applyNumberFormat="1" applyFont="1" applyBorder="1" applyAlignment="1">
      <alignment/>
    </xf>
    <xf numFmtId="3" fontId="1" fillId="0" borderId="167" xfId="0" applyNumberFormat="1" applyFont="1" applyBorder="1" applyAlignment="1">
      <alignment/>
    </xf>
    <xf numFmtId="3" fontId="1" fillId="0" borderId="168" xfId="0" applyNumberFormat="1" applyFont="1" applyBorder="1" applyAlignment="1">
      <alignment/>
    </xf>
    <xf numFmtId="0" fontId="18" fillId="0" borderId="0" xfId="0" applyFont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5" fillId="0" borderId="26" xfId="0" applyFont="1" applyBorder="1" applyAlignment="1">
      <alignment/>
    </xf>
    <xf numFmtId="191" fontId="55" fillId="0" borderId="133" xfId="15" applyNumberFormat="1" applyFont="1" applyBorder="1" applyAlignment="1">
      <alignment horizontal="left"/>
    </xf>
    <xf numFmtId="0" fontId="55" fillId="0" borderId="67" xfId="0" applyFont="1" applyBorder="1" applyAlignment="1">
      <alignment/>
    </xf>
    <xf numFmtId="191" fontId="55" fillId="0" borderId="60" xfId="15" applyNumberFormat="1" applyFont="1" applyBorder="1" applyAlignment="1">
      <alignment horizontal="center"/>
    </xf>
    <xf numFmtId="0" fontId="55" fillId="0" borderId="69" xfId="0" applyFont="1" applyBorder="1" applyAlignment="1">
      <alignment/>
    </xf>
    <xf numFmtId="191" fontId="55" fillId="0" borderId="63" xfId="15" applyNumberFormat="1" applyFont="1" applyBorder="1" applyAlignment="1">
      <alignment horizontal="center"/>
    </xf>
    <xf numFmtId="0" fontId="55" fillId="0" borderId="169" xfId="0" applyFont="1" applyBorder="1" applyAlignment="1">
      <alignment/>
    </xf>
    <xf numFmtId="191" fontId="55" fillId="0" borderId="137" xfId="15" applyNumberFormat="1" applyFont="1" applyBorder="1" applyAlignment="1">
      <alignment horizontal="center"/>
    </xf>
    <xf numFmtId="191" fontId="55" fillId="0" borderId="133" xfId="15" applyNumberFormat="1" applyFont="1" applyBorder="1" applyAlignment="1">
      <alignment horizontal="center"/>
    </xf>
    <xf numFmtId="16" fontId="55" fillId="0" borderId="26" xfId="0" applyNumberFormat="1" applyFont="1" applyBorder="1" applyAlignment="1">
      <alignment/>
    </xf>
    <xf numFmtId="17" fontId="57" fillId="0" borderId="69" xfId="0" applyNumberFormat="1" applyFont="1" applyBorder="1" applyAlignment="1">
      <alignment/>
    </xf>
    <xf numFmtId="191" fontId="57" fillId="0" borderId="63" xfId="15" applyNumberFormat="1" applyFont="1" applyBorder="1" applyAlignment="1">
      <alignment horizontal="center"/>
    </xf>
    <xf numFmtId="16" fontId="55" fillId="0" borderId="67" xfId="0" applyNumberFormat="1" applyFont="1" applyBorder="1" applyAlignment="1">
      <alignment/>
    </xf>
    <xf numFmtId="16" fontId="55" fillId="0" borderId="69" xfId="0" applyNumberFormat="1" applyFont="1" applyBorder="1" applyAlignment="1">
      <alignment/>
    </xf>
    <xf numFmtId="0" fontId="55" fillId="0" borderId="60" xfId="0" applyFont="1" applyBorder="1" applyAlignment="1">
      <alignment/>
    </xf>
    <xf numFmtId="191" fontId="55" fillId="0" borderId="60" xfId="15" applyNumberFormat="1" applyFont="1" applyBorder="1" applyAlignment="1">
      <alignment horizontal="left"/>
    </xf>
    <xf numFmtId="191" fontId="55" fillId="0" borderId="63" xfId="15" applyNumberFormat="1" applyFont="1" applyBorder="1" applyAlignment="1">
      <alignment horizontal="right"/>
    </xf>
    <xf numFmtId="191" fontId="55" fillId="0" borderId="137" xfId="15" applyNumberFormat="1" applyFont="1" applyBorder="1" applyAlignment="1">
      <alignment horizontal="left"/>
    </xf>
    <xf numFmtId="0" fontId="55" fillId="0" borderId="22" xfId="0" applyFont="1" applyBorder="1" applyAlignment="1">
      <alignment/>
    </xf>
    <xf numFmtId="191" fontId="55" fillId="0" borderId="123" xfId="15" applyNumberFormat="1" applyFont="1" applyBorder="1" applyAlignment="1">
      <alignment horizontal="right"/>
    </xf>
    <xf numFmtId="191" fontId="55" fillId="0" borderId="133" xfId="15" applyNumberFormat="1" applyFont="1" applyBorder="1" applyAlignment="1">
      <alignment horizontal="right"/>
    </xf>
    <xf numFmtId="0" fontId="55" fillId="0" borderId="73" xfId="0" applyFont="1" applyBorder="1" applyAlignment="1">
      <alignment/>
    </xf>
    <xf numFmtId="191" fontId="55" fillId="0" borderId="105" xfId="15" applyNumberFormat="1" applyFont="1" applyBorder="1" applyAlignment="1">
      <alignment horizontal="right"/>
    </xf>
    <xf numFmtId="0" fontId="55" fillId="0" borderId="0" xfId="0" applyFont="1" applyAlignment="1">
      <alignment horizontal="center"/>
    </xf>
    <xf numFmtId="3" fontId="55" fillId="0" borderId="0" xfId="0" applyNumberFormat="1" applyFont="1" applyAlignment="1">
      <alignment/>
    </xf>
    <xf numFmtId="3" fontId="55" fillId="0" borderId="0" xfId="0" applyNumberFormat="1" applyFont="1" applyAlignment="1">
      <alignment horizontal="center"/>
    </xf>
    <xf numFmtId="167" fontId="55" fillId="0" borderId="0" xfId="0" applyNumberFormat="1" applyFont="1" applyAlignment="1">
      <alignment/>
    </xf>
    <xf numFmtId="0" fontId="55" fillId="0" borderId="0" xfId="0" applyFont="1" applyAlignment="1">
      <alignment/>
    </xf>
    <xf numFmtId="0" fontId="55" fillId="0" borderId="0" xfId="0" applyFont="1" applyFill="1" applyAlignment="1">
      <alignment/>
    </xf>
    <xf numFmtId="0" fontId="49" fillId="0" borderId="135" xfId="0" applyFont="1" applyFill="1" applyBorder="1" applyAlignment="1">
      <alignment horizontal="center"/>
    </xf>
    <xf numFmtId="0" fontId="49" fillId="0" borderId="97" xfId="0" applyFont="1" applyFill="1" applyBorder="1" applyAlignment="1">
      <alignment horizontal="center"/>
    </xf>
    <xf numFmtId="0" fontId="49" fillId="0" borderId="98" xfId="0" applyFont="1" applyFill="1" applyBorder="1" applyAlignment="1">
      <alignment horizontal="center"/>
    </xf>
    <xf numFmtId="0" fontId="49" fillId="2" borderId="97" xfId="0" applyFont="1" applyFill="1" applyBorder="1" applyAlignment="1">
      <alignment horizontal="center"/>
    </xf>
    <xf numFmtId="3" fontId="28" fillId="0" borderId="41" xfId="0" applyNumberFormat="1" applyFont="1" applyFill="1" applyBorder="1" applyAlignment="1">
      <alignment/>
    </xf>
    <xf numFmtId="0" fontId="27" fillId="0" borderId="0" xfId="0" applyFont="1" applyAlignment="1">
      <alignment/>
    </xf>
    <xf numFmtId="0" fontId="58" fillId="0" borderId="0" xfId="21" applyFont="1" applyFill="1" applyBorder="1">
      <alignment/>
      <protection/>
    </xf>
    <xf numFmtId="0" fontId="9" fillId="0" borderId="0" xfId="21" applyFont="1" applyFill="1" applyBorder="1" applyAlignment="1">
      <alignment horizontal="left"/>
      <protection/>
    </xf>
    <xf numFmtId="0" fontId="9" fillId="0" borderId="0" xfId="21" applyFont="1" applyFill="1" applyBorder="1" applyAlignment="1">
      <alignment horizontal="center"/>
      <protection/>
    </xf>
    <xf numFmtId="3" fontId="9" fillId="0" borderId="0" xfId="21" applyNumberFormat="1" applyFont="1" applyFill="1" applyBorder="1">
      <alignment/>
      <protection/>
    </xf>
    <xf numFmtId="3" fontId="23" fillId="0" borderId="0" xfId="21" applyNumberFormat="1" applyFont="1" applyFill="1" applyBorder="1">
      <alignment/>
      <protection/>
    </xf>
    <xf numFmtId="3" fontId="26" fillId="0" borderId="0" xfId="21" applyNumberFormat="1" applyFont="1" applyFill="1" applyBorder="1">
      <alignment/>
      <protection/>
    </xf>
    <xf numFmtId="0" fontId="9" fillId="0" borderId="0" xfId="21" applyFont="1" applyFill="1">
      <alignment/>
      <protection/>
    </xf>
    <xf numFmtId="0" fontId="26" fillId="0" borderId="0" xfId="21" applyFont="1" applyAlignment="1">
      <alignment horizontal="center"/>
      <protection/>
    </xf>
    <xf numFmtId="3" fontId="60" fillId="0" borderId="0" xfId="21" applyNumberFormat="1" applyFont="1">
      <alignment/>
      <protection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3" fontId="28" fillId="0" borderId="0" xfId="0" applyNumberFormat="1" applyFont="1" applyBorder="1" applyAlignment="1">
      <alignment/>
    </xf>
    <xf numFmtId="4" fontId="28" fillId="0" borderId="0" xfId="0" applyNumberFormat="1" applyFont="1" applyBorder="1" applyAlignment="1">
      <alignment/>
    </xf>
    <xf numFmtId="1" fontId="28" fillId="0" borderId="0" xfId="0" applyNumberFormat="1" applyFont="1" applyBorder="1" applyAlignment="1">
      <alignment/>
    </xf>
    <xf numFmtId="3" fontId="28" fillId="0" borderId="0" xfId="0" applyNumberFormat="1" applyFont="1" applyAlignment="1">
      <alignment/>
    </xf>
    <xf numFmtId="0" fontId="28" fillId="0" borderId="0" xfId="0" applyFont="1" applyBorder="1" applyAlignment="1">
      <alignment/>
    </xf>
    <xf numFmtId="4" fontId="28" fillId="0" borderId="0" xfId="0" applyNumberFormat="1" applyFont="1" applyAlignment="1">
      <alignment/>
    </xf>
    <xf numFmtId="1" fontId="28" fillId="0" borderId="0" xfId="0" applyNumberFormat="1" applyFont="1" applyAlignment="1">
      <alignment/>
    </xf>
    <xf numFmtId="190" fontId="28" fillId="0" borderId="0" xfId="0" applyNumberFormat="1" applyFont="1" applyFill="1" applyBorder="1" applyAlignment="1">
      <alignment/>
    </xf>
    <xf numFmtId="0" fontId="56" fillId="0" borderId="34" xfId="0" applyFont="1" applyBorder="1" applyAlignment="1">
      <alignment/>
    </xf>
    <xf numFmtId="191" fontId="56" fillId="0" borderId="30" xfId="15" applyNumberFormat="1" applyFont="1" applyBorder="1" applyAlignment="1">
      <alignment horizontal="right"/>
    </xf>
    <xf numFmtId="0" fontId="56" fillId="0" borderId="0" xfId="0" applyFont="1" applyAlignment="1">
      <alignment/>
    </xf>
    <xf numFmtId="0" fontId="55" fillId="0" borderId="18" xfId="0" applyFont="1" applyBorder="1" applyAlignment="1">
      <alignment/>
    </xf>
    <xf numFmtId="3" fontId="55" fillId="0" borderId="31" xfId="0" applyNumberFormat="1" applyFont="1" applyBorder="1" applyAlignment="1">
      <alignment horizontal="center"/>
    </xf>
    <xf numFmtId="0" fontId="55" fillId="0" borderId="40" xfId="0" applyFont="1" applyBorder="1" applyAlignment="1">
      <alignment horizontal="center"/>
    </xf>
    <xf numFmtId="0" fontId="56" fillId="0" borderId="127" xfId="0" applyFont="1" applyBorder="1" applyAlignment="1">
      <alignment horizontal="center"/>
    </xf>
    <xf numFmtId="0" fontId="56" fillId="0" borderId="170" xfId="0" applyFont="1" applyBorder="1" applyAlignment="1">
      <alignment horizontal="center"/>
    </xf>
    <xf numFmtId="3" fontId="55" fillId="0" borderId="159" xfId="0" applyNumberFormat="1" applyFont="1" applyBorder="1" applyAlignment="1">
      <alignment/>
    </xf>
    <xf numFmtId="0" fontId="56" fillId="0" borderId="13" xfId="0" applyFont="1" applyBorder="1" applyAlignment="1">
      <alignment horizontal="center"/>
    </xf>
    <xf numFmtId="0" fontId="55" fillId="0" borderId="41" xfId="0" applyFont="1" applyBorder="1" applyAlignment="1">
      <alignment horizontal="left"/>
    </xf>
    <xf numFmtId="0" fontId="55" fillId="0" borderId="77" xfId="0" applyFont="1" applyBorder="1" applyAlignment="1">
      <alignment horizontal="left"/>
    </xf>
    <xf numFmtId="0" fontId="55" fillId="0" borderId="100" xfId="0" applyFont="1" applyBorder="1" applyAlignment="1">
      <alignment horizontal="left"/>
    </xf>
    <xf numFmtId="0" fontId="55" fillId="0" borderId="107" xfId="0" applyFont="1" applyBorder="1" applyAlignment="1">
      <alignment horizontal="left"/>
    </xf>
    <xf numFmtId="0" fontId="55" fillId="0" borderId="97" xfId="0" applyFont="1" applyBorder="1" applyAlignment="1">
      <alignment horizontal="left"/>
    </xf>
    <xf numFmtId="0" fontId="55" fillId="0" borderId="84" xfId="0" applyFont="1" applyBorder="1" applyAlignment="1">
      <alignment horizontal="left"/>
    </xf>
    <xf numFmtId="0" fontId="55" fillId="0" borderId="77" xfId="0" applyFont="1" applyBorder="1" applyAlignment="1">
      <alignment/>
    </xf>
    <xf numFmtId="0" fontId="56" fillId="0" borderId="92" xfId="0" applyFont="1" applyBorder="1" applyAlignment="1">
      <alignment/>
    </xf>
    <xf numFmtId="0" fontId="55" fillId="0" borderId="71" xfId="0" applyFont="1" applyBorder="1" applyAlignment="1">
      <alignment/>
    </xf>
    <xf numFmtId="0" fontId="56" fillId="0" borderId="10" xfId="0" applyFont="1" applyBorder="1" applyAlignment="1">
      <alignment horizontal="center"/>
    </xf>
    <xf numFmtId="3" fontId="55" fillId="0" borderId="9" xfId="0" applyNumberFormat="1" applyFont="1" applyBorder="1" applyAlignment="1">
      <alignment/>
    </xf>
    <xf numFmtId="3" fontId="55" fillId="0" borderId="14" xfId="0" applyNumberFormat="1" applyFont="1" applyBorder="1" applyAlignment="1">
      <alignment/>
    </xf>
    <xf numFmtId="3" fontId="55" fillId="0" borderId="28" xfId="0" applyNumberFormat="1" applyFont="1" applyBorder="1" applyAlignment="1">
      <alignment/>
    </xf>
    <xf numFmtId="3" fontId="55" fillId="0" borderId="48" xfId="0" applyNumberFormat="1" applyFont="1" applyBorder="1" applyAlignment="1">
      <alignment/>
    </xf>
    <xf numFmtId="3" fontId="55" fillId="0" borderId="96" xfId="0" applyNumberFormat="1" applyFont="1" applyBorder="1" applyAlignment="1">
      <alignment/>
    </xf>
    <xf numFmtId="3" fontId="55" fillId="0" borderId="2" xfId="0" applyNumberFormat="1" applyFont="1" applyBorder="1" applyAlignment="1">
      <alignment/>
    </xf>
    <xf numFmtId="3" fontId="56" fillId="0" borderId="14" xfId="0" applyNumberFormat="1" applyFont="1" applyBorder="1" applyAlignment="1">
      <alignment/>
    </xf>
    <xf numFmtId="3" fontId="56" fillId="0" borderId="0" xfId="0" applyNumberFormat="1" applyFont="1" applyBorder="1" applyAlignment="1">
      <alignment/>
    </xf>
    <xf numFmtId="3" fontId="56" fillId="0" borderId="64" xfId="0" applyNumberFormat="1" applyFont="1" applyBorder="1" applyAlignment="1">
      <alignment/>
    </xf>
    <xf numFmtId="4" fontId="55" fillId="0" borderId="171" xfId="0" applyNumberFormat="1" applyFont="1" applyFill="1" applyBorder="1" applyAlignment="1">
      <alignment/>
    </xf>
    <xf numFmtId="4" fontId="55" fillId="0" borderId="160" xfId="0" applyNumberFormat="1" applyFont="1" applyBorder="1" applyAlignment="1">
      <alignment/>
    </xf>
    <xf numFmtId="4" fontId="55" fillId="0" borderId="118" xfId="0" applyNumberFormat="1" applyFont="1" applyBorder="1" applyAlignment="1">
      <alignment/>
    </xf>
    <xf numFmtId="4" fontId="55" fillId="0" borderId="172" xfId="0" applyNumberFormat="1" applyFont="1" applyBorder="1" applyAlignment="1">
      <alignment/>
    </xf>
    <xf numFmtId="4" fontId="55" fillId="6" borderId="173" xfId="0" applyNumberFormat="1" applyFont="1" applyFill="1" applyBorder="1" applyAlignment="1">
      <alignment/>
    </xf>
    <xf numFmtId="4" fontId="57" fillId="0" borderId="172" xfId="0" applyNumberFormat="1" applyFont="1" applyBorder="1" applyAlignment="1">
      <alignment/>
    </xf>
    <xf numFmtId="4" fontId="55" fillId="0" borderId="173" xfId="0" applyNumberFormat="1" applyFont="1" applyBorder="1" applyAlignment="1">
      <alignment/>
    </xf>
    <xf numFmtId="0" fontId="55" fillId="0" borderId="118" xfId="0" applyFont="1" applyBorder="1" applyAlignment="1">
      <alignment/>
    </xf>
    <xf numFmtId="4" fontId="56" fillId="0" borderId="174" xfId="0" applyNumberFormat="1" applyFont="1" applyBorder="1" applyAlignment="1">
      <alignment/>
    </xf>
    <xf numFmtId="0" fontId="55" fillId="0" borderId="119" xfId="0" applyFont="1" applyBorder="1" applyAlignment="1">
      <alignment/>
    </xf>
    <xf numFmtId="0" fontId="56" fillId="2" borderId="13" xfId="0" applyFont="1" applyFill="1" applyBorder="1" applyAlignment="1">
      <alignment horizontal="center"/>
    </xf>
    <xf numFmtId="3" fontId="55" fillId="2" borderId="41" xfId="0" applyNumberFormat="1" applyFont="1" applyFill="1" applyBorder="1" applyAlignment="1">
      <alignment/>
    </xf>
    <xf numFmtId="3" fontId="55" fillId="2" borderId="77" xfId="0" applyNumberFormat="1" applyFont="1" applyFill="1" applyBorder="1" applyAlignment="1">
      <alignment/>
    </xf>
    <xf numFmtId="3" fontId="55" fillId="2" borderId="100" xfId="0" applyNumberFormat="1" applyFont="1" applyFill="1" applyBorder="1" applyAlignment="1">
      <alignment/>
    </xf>
    <xf numFmtId="3" fontId="55" fillId="2" borderId="107" xfId="0" applyNumberFormat="1" applyFont="1" applyFill="1" applyBorder="1" applyAlignment="1">
      <alignment/>
    </xf>
    <xf numFmtId="3" fontId="55" fillId="2" borderId="97" xfId="0" applyNumberFormat="1" applyFont="1" applyFill="1" applyBorder="1" applyAlignment="1">
      <alignment/>
    </xf>
    <xf numFmtId="3" fontId="55" fillId="2" borderId="84" xfId="0" applyNumberFormat="1" applyFont="1" applyFill="1" applyBorder="1" applyAlignment="1">
      <alignment/>
    </xf>
    <xf numFmtId="3" fontId="56" fillId="2" borderId="77" xfId="0" applyNumberFormat="1" applyFont="1" applyFill="1" applyBorder="1" applyAlignment="1">
      <alignment/>
    </xf>
    <xf numFmtId="3" fontId="56" fillId="2" borderId="92" xfId="0" applyNumberFormat="1" applyFont="1" applyFill="1" applyBorder="1" applyAlignment="1">
      <alignment/>
    </xf>
    <xf numFmtId="3" fontId="61" fillId="2" borderId="71" xfId="0" applyNumberFormat="1" applyFont="1" applyFill="1" applyBorder="1" applyAlignment="1">
      <alignment/>
    </xf>
    <xf numFmtId="0" fontId="56" fillId="0" borderId="12" xfId="0" applyFont="1" applyBorder="1" applyAlignment="1">
      <alignment/>
    </xf>
    <xf numFmtId="0" fontId="55" fillId="0" borderId="32" xfId="0" applyFont="1" applyBorder="1" applyAlignment="1">
      <alignment/>
    </xf>
    <xf numFmtId="0" fontId="55" fillId="0" borderId="131" xfId="0" applyFont="1" applyBorder="1" applyAlignment="1">
      <alignment/>
    </xf>
    <xf numFmtId="0" fontId="55" fillId="0" borderId="55" xfId="0" applyFont="1" applyBorder="1" applyAlignment="1">
      <alignment/>
    </xf>
    <xf numFmtId="0" fontId="55" fillId="0" borderId="61" xfId="0" applyFont="1" applyBorder="1" applyAlignment="1">
      <alignment/>
    </xf>
    <xf numFmtId="0" fontId="55" fillId="0" borderId="135" xfId="0" applyFont="1" applyBorder="1" applyAlignment="1">
      <alignment/>
    </xf>
    <xf numFmtId="0" fontId="55" fillId="0" borderId="33" xfId="0" applyFont="1" applyBorder="1" applyAlignment="1">
      <alignment/>
    </xf>
    <xf numFmtId="0" fontId="56" fillId="0" borderId="7" xfId="0" applyFont="1" applyBorder="1" applyAlignment="1">
      <alignment/>
    </xf>
    <xf numFmtId="0" fontId="55" fillId="0" borderId="65" xfId="0" applyFont="1" applyBorder="1" applyAlignment="1">
      <alignment/>
    </xf>
    <xf numFmtId="0" fontId="56" fillId="0" borderId="10" xfId="0" applyFont="1" applyBorder="1" applyAlignment="1">
      <alignment/>
    </xf>
    <xf numFmtId="0" fontId="55" fillId="0" borderId="9" xfId="0" applyFont="1" applyBorder="1" applyAlignment="1">
      <alignment horizontal="left"/>
    </xf>
    <xf numFmtId="0" fontId="55" fillId="0" borderId="14" xfId="0" applyFont="1" applyBorder="1" applyAlignment="1">
      <alignment horizontal="left"/>
    </xf>
    <xf numFmtId="0" fontId="55" fillId="0" borderId="28" xfId="0" applyFont="1" applyBorder="1" applyAlignment="1">
      <alignment horizontal="left"/>
    </xf>
    <xf numFmtId="0" fontId="55" fillId="0" borderId="48" xfId="0" applyFont="1" applyBorder="1" applyAlignment="1">
      <alignment horizontal="left"/>
    </xf>
    <xf numFmtId="0" fontId="55" fillId="0" borderId="96" xfId="0" applyFont="1" applyBorder="1" applyAlignment="1">
      <alignment horizontal="left"/>
    </xf>
    <xf numFmtId="0" fontId="55" fillId="0" borderId="2" xfId="0" applyFont="1" applyBorder="1" applyAlignment="1">
      <alignment horizontal="left"/>
    </xf>
    <xf numFmtId="0" fontId="56" fillId="0" borderId="14" xfId="0" applyFont="1" applyBorder="1" applyAlignment="1">
      <alignment/>
    </xf>
    <xf numFmtId="0" fontId="56" fillId="0" borderId="0" xfId="0" applyFont="1" applyBorder="1" applyAlignment="1">
      <alignment/>
    </xf>
    <xf numFmtId="0" fontId="56" fillId="0" borderId="64" xfId="0" applyFont="1" applyBorder="1" applyAlignment="1">
      <alignment/>
    </xf>
    <xf numFmtId="0" fontId="56" fillId="0" borderId="92" xfId="0" applyFont="1" applyBorder="1" applyAlignment="1">
      <alignment horizontal="left"/>
    </xf>
    <xf numFmtId="0" fontId="55" fillId="0" borderId="71" xfId="0" applyFont="1" applyBorder="1" applyAlignment="1">
      <alignment horizontal="left"/>
    </xf>
    <xf numFmtId="3" fontId="28" fillId="0" borderId="70" xfId="0" applyNumberFormat="1" applyFont="1" applyFill="1" applyBorder="1" applyAlignment="1">
      <alignment/>
    </xf>
    <xf numFmtId="0" fontId="28" fillId="0" borderId="106" xfId="0" applyFont="1" applyFill="1" applyBorder="1" applyAlignment="1">
      <alignment horizontal="center"/>
    </xf>
    <xf numFmtId="0" fontId="28" fillId="0" borderId="33" xfId="0" applyFont="1" applyFill="1" applyBorder="1" applyAlignment="1">
      <alignment horizontal="center"/>
    </xf>
    <xf numFmtId="3" fontId="28" fillId="0" borderId="6" xfId="0" applyNumberFormat="1" applyFont="1" applyFill="1" applyBorder="1" applyAlignment="1">
      <alignment horizontal="center"/>
    </xf>
    <xf numFmtId="189" fontId="28" fillId="0" borderId="0" xfId="0" applyNumberFormat="1" applyFont="1" applyFill="1" applyBorder="1" applyAlignment="1">
      <alignment/>
    </xf>
    <xf numFmtId="0" fontId="28" fillId="0" borderId="103" xfId="0" applyFont="1" applyFill="1" applyBorder="1" applyAlignment="1">
      <alignment horizontal="center"/>
    </xf>
    <xf numFmtId="0" fontId="10" fillId="0" borderId="28" xfId="0" applyFont="1" applyBorder="1" applyAlignment="1">
      <alignment/>
    </xf>
    <xf numFmtId="0" fontId="1" fillId="0" borderId="28" xfId="0" applyFont="1" applyBorder="1" applyAlignment="1">
      <alignment/>
    </xf>
    <xf numFmtId="3" fontId="13" fillId="2" borderId="55" xfId="0" applyNumberFormat="1" applyFont="1" applyFill="1" applyBorder="1" applyAlignment="1">
      <alignment/>
    </xf>
    <xf numFmtId="3" fontId="1" fillId="2" borderId="55" xfId="0" applyNumberFormat="1" applyFont="1" applyFill="1" applyBorder="1" applyAlignment="1">
      <alignment/>
    </xf>
    <xf numFmtId="0" fontId="12" fillId="0" borderId="37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8" xfId="0" applyBorder="1" applyAlignment="1">
      <alignment horizontal="center"/>
    </xf>
    <xf numFmtId="0" fontId="12" fillId="0" borderId="145" xfId="0" applyFont="1" applyFill="1" applyBorder="1" applyAlignment="1">
      <alignment horizontal="center"/>
    </xf>
    <xf numFmtId="0" fontId="12" fillId="0" borderId="146" xfId="0" applyFont="1" applyFill="1" applyBorder="1" applyAlignment="1">
      <alignment horizontal="center"/>
    </xf>
    <xf numFmtId="0" fontId="12" fillId="0" borderId="148" xfId="0" applyFont="1" applyFill="1" applyBorder="1" applyAlignment="1">
      <alignment horizontal="center"/>
    </xf>
    <xf numFmtId="0" fontId="0" fillId="0" borderId="145" xfId="0" applyFill="1" applyBorder="1" applyAlignment="1">
      <alignment horizontal="center"/>
    </xf>
    <xf numFmtId="0" fontId="0" fillId="0" borderId="146" xfId="0" applyFill="1" applyBorder="1" applyAlignment="1">
      <alignment horizontal="center"/>
    </xf>
    <xf numFmtId="0" fontId="0" fillId="0" borderId="148" xfId="0" applyFill="1" applyBorder="1" applyAlignment="1">
      <alignment horizontal="center"/>
    </xf>
    <xf numFmtId="0" fontId="27" fillId="0" borderId="144" xfId="0" applyFont="1" applyFill="1" applyBorder="1" applyAlignment="1">
      <alignment horizontal="center"/>
    </xf>
    <xf numFmtId="0" fontId="0" fillId="0" borderId="146" xfId="0" applyBorder="1" applyAlignment="1">
      <alignment horizontal="center"/>
    </xf>
    <xf numFmtId="0" fontId="0" fillId="0" borderId="148" xfId="0" applyBorder="1" applyAlignment="1">
      <alignment horizontal="center"/>
    </xf>
    <xf numFmtId="0" fontId="9" fillId="0" borderId="8" xfId="0" applyFont="1" applyBorder="1" applyAlignment="1">
      <alignment horizontal="center" wrapText="1"/>
    </xf>
    <xf numFmtId="0" fontId="0" fillId="0" borderId="8" xfId="0" applyBorder="1" applyAlignment="1">
      <alignment wrapText="1"/>
    </xf>
    <xf numFmtId="0" fontId="12" fillId="0" borderId="145" xfId="0" applyFont="1" applyBorder="1" applyAlignment="1">
      <alignment horizontal="center"/>
    </xf>
    <xf numFmtId="0" fontId="12" fillId="0" borderId="146" xfId="0" applyFont="1" applyBorder="1" applyAlignment="1">
      <alignment horizontal="center"/>
    </xf>
    <xf numFmtId="0" fontId="0" fillId="0" borderId="109" xfId="0" applyFont="1" applyBorder="1" applyAlignment="1">
      <alignment horizontal="center"/>
    </xf>
    <xf numFmtId="0" fontId="0" fillId="0" borderId="96" xfId="0" applyFont="1" applyBorder="1" applyAlignment="1">
      <alignment horizontal="center"/>
    </xf>
    <xf numFmtId="0" fontId="0" fillId="0" borderId="145" xfId="0" applyFont="1" applyBorder="1" applyAlignment="1">
      <alignment horizontal="center"/>
    </xf>
    <xf numFmtId="0" fontId="0" fillId="0" borderId="146" xfId="0" applyFont="1" applyBorder="1" applyAlignment="1">
      <alignment horizontal="center"/>
    </xf>
    <xf numFmtId="0" fontId="0" fillId="0" borderId="14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5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78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58" xfId="0" applyBorder="1" applyAlignment="1">
      <alignment horizontal="center"/>
    </xf>
    <xf numFmtId="0" fontId="5" fillId="0" borderId="115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5" fillId="0" borderId="0" xfId="0" applyFont="1" applyAlignment="1">
      <alignment horizontal="left"/>
    </xf>
    <xf numFmtId="0" fontId="56" fillId="0" borderId="0" xfId="0" applyFont="1" applyAlignment="1">
      <alignment horizontal="left"/>
    </xf>
    <xf numFmtId="0" fontId="48" fillId="0" borderId="145" xfId="0" applyFont="1" applyFill="1" applyBorder="1" applyAlignment="1">
      <alignment horizontal="center"/>
    </xf>
    <xf numFmtId="0" fontId="48" fillId="0" borderId="146" xfId="0" applyFont="1" applyFill="1" applyBorder="1" applyAlignment="1">
      <alignment horizontal="center"/>
    </xf>
    <xf numFmtId="0" fontId="48" fillId="0" borderId="148" xfId="0" applyFont="1" applyFill="1" applyBorder="1" applyAlignment="1">
      <alignment horizontal="center"/>
    </xf>
    <xf numFmtId="0" fontId="48" fillId="0" borderId="145" xfId="23" applyFont="1" applyBorder="1" applyAlignment="1">
      <alignment horizontal="center"/>
      <protection/>
    </xf>
    <xf numFmtId="0" fontId="48" fillId="0" borderId="146" xfId="23" applyFont="1" applyBorder="1" applyAlignment="1">
      <alignment horizontal="center"/>
      <protection/>
    </xf>
    <xf numFmtId="0" fontId="48" fillId="0" borderId="148" xfId="23" applyFont="1" applyBorder="1" applyAlignment="1">
      <alignment horizontal="center"/>
      <protection/>
    </xf>
    <xf numFmtId="0" fontId="48" fillId="0" borderId="144" xfId="23" applyFont="1" applyFill="1" applyBorder="1" applyAlignment="1">
      <alignment horizontal="center"/>
      <protection/>
    </xf>
    <xf numFmtId="0" fontId="48" fillId="0" borderId="146" xfId="23" applyFont="1" applyFill="1" applyBorder="1" applyAlignment="1">
      <alignment horizontal="center"/>
      <protection/>
    </xf>
    <xf numFmtId="0" fontId="48" fillId="0" borderId="145" xfId="23" applyFont="1" applyFill="1" applyBorder="1" applyAlignment="1">
      <alignment horizontal="center"/>
      <protection/>
    </xf>
    <xf numFmtId="0" fontId="48" fillId="0" borderId="146" xfId="23" applyFont="1" applyFill="1" applyBorder="1" applyAlignment="1">
      <alignment horizontal="center"/>
      <protection/>
    </xf>
    <xf numFmtId="0" fontId="48" fillId="0" borderId="148" xfId="23" applyFont="1" applyFill="1" applyBorder="1" applyAlignment="1">
      <alignment horizontal="center"/>
      <protection/>
    </xf>
    <xf numFmtId="0" fontId="48" fillId="0" borderId="162" xfId="23" applyFont="1" applyBorder="1" applyAlignment="1">
      <alignment horizontal="center"/>
      <protection/>
    </xf>
    <xf numFmtId="0" fontId="48" fillId="0" borderId="142" xfId="23" applyFont="1" applyBorder="1" applyAlignment="1">
      <alignment horizontal="center"/>
      <protection/>
    </xf>
    <xf numFmtId="0" fontId="48" fillId="0" borderId="147" xfId="23" applyFont="1" applyBorder="1" applyAlignment="1">
      <alignment horizontal="center"/>
      <protection/>
    </xf>
    <xf numFmtId="0" fontId="48" fillId="0" borderId="145" xfId="23" applyFont="1" applyFill="1" applyBorder="1" applyAlignment="1">
      <alignment horizontal="center" wrapText="1"/>
      <protection/>
    </xf>
    <xf numFmtId="0" fontId="48" fillId="0" borderId="146" xfId="23" applyFont="1" applyFill="1" applyBorder="1" applyAlignment="1">
      <alignment horizontal="center" wrapText="1"/>
      <protection/>
    </xf>
    <xf numFmtId="0" fontId="48" fillId="0" borderId="148" xfId="23" applyFont="1" applyFill="1" applyBorder="1" applyAlignment="1">
      <alignment horizontal="center" wrapText="1"/>
      <protection/>
    </xf>
    <xf numFmtId="0" fontId="25" fillId="0" borderId="2" xfId="0" applyFont="1" applyBorder="1" applyAlignment="1">
      <alignment horizontal="center" wrapText="1"/>
    </xf>
    <xf numFmtId="3" fontId="15" fillId="0" borderId="0" xfId="21" applyNumberFormat="1" applyFont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ální_návrh CP k 23.11.03" xfId="21"/>
    <cellStyle name="normální_Normativ A,výpočet IV,16.1.03" xfId="22"/>
    <cellStyle name="normální_odpisy 04az07_270906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3"/>
  <sheetViews>
    <sheetView workbookViewId="0" topLeftCell="A91">
      <selection activeCell="I91" sqref="I91"/>
    </sheetView>
  </sheetViews>
  <sheetFormatPr defaultColWidth="9.00390625" defaultRowHeight="12.75"/>
  <cols>
    <col min="1" max="1" width="5.25390625" style="0" customWidth="1"/>
    <col min="2" max="2" width="7.375" style="0" customWidth="1"/>
    <col min="3" max="8" width="11.75390625" style="0" customWidth="1"/>
    <col min="9" max="10" width="12.00390625" style="0" customWidth="1"/>
    <col min="11" max="11" width="10.875" style="0" bestFit="1" customWidth="1"/>
    <col min="12" max="12" width="6.125" style="116" bestFit="1" customWidth="1"/>
    <col min="13" max="13" width="8.875" style="116" customWidth="1"/>
    <col min="14" max="14" width="6.00390625" style="116" bestFit="1" customWidth="1"/>
    <col min="15" max="15" width="8.375" style="0" bestFit="1" customWidth="1"/>
    <col min="16" max="16" width="5.375" style="0" bestFit="1" customWidth="1"/>
    <col min="17" max="18" width="6.00390625" style="0" bestFit="1" customWidth="1"/>
    <col min="19" max="19" width="7.125" style="0" bestFit="1" customWidth="1"/>
  </cols>
  <sheetData>
    <row r="1" spans="1:11" ht="12.75">
      <c r="A1" s="170"/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1" ht="26.25">
      <c r="A2" s="172" t="s">
        <v>265</v>
      </c>
      <c r="B2" s="173"/>
      <c r="C2" s="171"/>
      <c r="D2" s="171"/>
      <c r="E2" s="171"/>
      <c r="F2" s="171"/>
      <c r="G2" s="171"/>
      <c r="H2" s="171"/>
      <c r="I2" s="171"/>
      <c r="J2" s="171"/>
      <c r="K2" s="171"/>
    </row>
    <row r="3" spans="1:11" ht="6.75" customHeight="1">
      <c r="A3" s="171"/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1" ht="12.75">
      <c r="A4" s="171" t="s">
        <v>468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</row>
    <row r="5" spans="1:11" ht="12.75">
      <c r="A5" s="171"/>
      <c r="B5" s="171"/>
      <c r="C5" s="171"/>
      <c r="D5" s="171"/>
      <c r="E5" s="171"/>
      <c r="F5" s="171"/>
      <c r="G5" s="171"/>
      <c r="H5" s="171"/>
      <c r="I5" s="171"/>
      <c r="J5" s="171"/>
      <c r="K5" s="171"/>
    </row>
    <row r="6" spans="1:11" ht="12.75">
      <c r="A6" s="171"/>
      <c r="B6" s="171"/>
      <c r="C6" s="171"/>
      <c r="D6" s="171"/>
      <c r="E6" s="171"/>
      <c r="F6" s="171"/>
      <c r="G6" s="171"/>
      <c r="H6" s="171"/>
      <c r="I6" s="171"/>
      <c r="J6" s="171"/>
      <c r="K6" s="171"/>
    </row>
    <row r="7" spans="1:11" ht="12.75">
      <c r="A7" s="171"/>
      <c r="B7" s="171"/>
      <c r="C7" s="171"/>
      <c r="D7" s="171"/>
      <c r="E7" s="171"/>
      <c r="F7" s="171"/>
      <c r="G7" s="171"/>
      <c r="H7" s="171"/>
      <c r="I7" s="171"/>
      <c r="J7" s="171"/>
      <c r="K7" s="171"/>
    </row>
    <row r="8" spans="1:14" s="2" customFormat="1" ht="16.5" thickBot="1">
      <c r="A8" s="174" t="s">
        <v>263</v>
      </c>
      <c r="B8" s="175"/>
      <c r="C8" s="175"/>
      <c r="D8" s="175"/>
      <c r="E8" s="175"/>
      <c r="F8" s="175"/>
      <c r="G8" s="176" t="s">
        <v>6</v>
      </c>
      <c r="H8" s="175"/>
      <c r="I8" s="175"/>
      <c r="J8" s="175"/>
      <c r="K8" s="175"/>
      <c r="L8" s="116"/>
      <c r="M8" s="116"/>
      <c r="N8" s="116"/>
    </row>
    <row r="9" spans="1:11" s="2" customFormat="1" ht="12.75">
      <c r="A9" s="371"/>
      <c r="B9" s="372"/>
      <c r="C9" s="373"/>
      <c r="D9" s="374"/>
      <c r="E9" s="569"/>
      <c r="F9" s="375"/>
      <c r="G9" s="376" t="s">
        <v>7</v>
      </c>
      <c r="H9" s="175"/>
      <c r="I9" s="357"/>
      <c r="J9" s="357"/>
      <c r="K9" s="175"/>
    </row>
    <row r="10" spans="1:11" s="2" customFormat="1" ht="13.5" thickBot="1">
      <c r="A10" s="377" t="s">
        <v>8</v>
      </c>
      <c r="B10" s="378" t="s">
        <v>9</v>
      </c>
      <c r="C10" s="379"/>
      <c r="D10" s="380"/>
      <c r="E10" s="570" t="s">
        <v>229</v>
      </c>
      <c r="F10" s="381" t="s">
        <v>262</v>
      </c>
      <c r="G10" s="382" t="s">
        <v>266</v>
      </c>
      <c r="H10" s="175"/>
      <c r="I10" s="357"/>
      <c r="J10" s="357"/>
      <c r="K10" s="175"/>
    </row>
    <row r="11" spans="1:11" s="2" customFormat="1" ht="12.75">
      <c r="A11" s="383">
        <v>1</v>
      </c>
      <c r="B11" s="384" t="s">
        <v>270</v>
      </c>
      <c r="C11" s="385"/>
      <c r="D11" s="386"/>
      <c r="E11" s="571">
        <v>1570000</v>
      </c>
      <c r="F11" s="387">
        <v>1684857</v>
      </c>
      <c r="G11" s="388">
        <f>F11/E11</f>
        <v>1.0731573248407644</v>
      </c>
      <c r="H11" s="175"/>
      <c r="I11" s="389"/>
      <c r="J11" s="389"/>
      <c r="K11" s="175"/>
    </row>
    <row r="12" spans="1:11" s="2" customFormat="1" ht="13.5" thickBot="1">
      <c r="A12" s="390">
        <v>2</v>
      </c>
      <c r="B12" s="391" t="s">
        <v>264</v>
      </c>
      <c r="C12" s="94"/>
      <c r="D12" s="357"/>
      <c r="E12" s="275">
        <v>114354</v>
      </c>
      <c r="F12" s="392">
        <v>119959</v>
      </c>
      <c r="G12" s="393">
        <f>F12/E12</f>
        <v>1.049014463857845</v>
      </c>
      <c r="H12" s="175"/>
      <c r="I12" s="357"/>
      <c r="J12" s="357"/>
      <c r="K12" s="175"/>
    </row>
    <row r="13" spans="1:11" s="2" customFormat="1" ht="13.5" thickBot="1">
      <c r="A13" s="394">
        <v>3</v>
      </c>
      <c r="B13" s="395" t="s">
        <v>10</v>
      </c>
      <c r="C13" s="396"/>
      <c r="D13" s="358"/>
      <c r="E13" s="572">
        <f>SUM(E11:E12)</f>
        <v>1684354</v>
      </c>
      <c r="F13" s="398">
        <f>SUM(F11:F12)</f>
        <v>1804816</v>
      </c>
      <c r="G13" s="399">
        <f>F13/E13</f>
        <v>1.0715182200416302</v>
      </c>
      <c r="H13" s="175"/>
      <c r="I13" s="175"/>
      <c r="J13" s="175"/>
      <c r="K13" s="175"/>
    </row>
    <row r="14" spans="1:11" ht="12.75">
      <c r="A14" s="171"/>
      <c r="B14" s="171"/>
      <c r="C14" s="171"/>
      <c r="D14" s="171"/>
      <c r="E14" s="171"/>
      <c r="F14" s="171"/>
      <c r="G14" s="171"/>
      <c r="H14" s="171"/>
      <c r="I14" s="171"/>
      <c r="J14" s="171"/>
      <c r="K14" s="171"/>
    </row>
    <row r="15" spans="1:11" ht="12.75">
      <c r="A15" s="171"/>
      <c r="B15" s="171"/>
      <c r="C15" s="171"/>
      <c r="D15" s="171"/>
      <c r="E15" s="171"/>
      <c r="F15" s="171"/>
      <c r="G15" s="171"/>
      <c r="H15" s="171"/>
      <c r="I15" s="171"/>
      <c r="J15" s="171"/>
      <c r="K15" s="171"/>
    </row>
    <row r="16" spans="1:11" ht="12.75">
      <c r="A16" s="171"/>
      <c r="B16" s="171"/>
      <c r="C16" s="171"/>
      <c r="D16" s="171"/>
      <c r="E16" s="171"/>
      <c r="F16" s="171"/>
      <c r="G16" s="171"/>
      <c r="H16" s="171"/>
      <c r="I16" s="171"/>
      <c r="J16" s="171"/>
      <c r="K16" s="171"/>
    </row>
    <row r="17" spans="1:11" ht="16.5" thickBot="1">
      <c r="A17" s="174" t="s">
        <v>269</v>
      </c>
      <c r="B17" s="171"/>
      <c r="C17" s="171"/>
      <c r="D17" s="171"/>
      <c r="E17" s="171"/>
      <c r="F17" s="171"/>
      <c r="G17" s="171"/>
      <c r="H17" s="177"/>
      <c r="I17" s="171"/>
      <c r="J17" s="171"/>
      <c r="K17" s="171"/>
    </row>
    <row r="18" spans="1:11" ht="12.75">
      <c r="A18" s="178" t="s">
        <v>11</v>
      </c>
      <c r="B18" s="179"/>
      <c r="C18" s="180" t="s">
        <v>30</v>
      </c>
      <c r="D18" s="181" t="s">
        <v>30</v>
      </c>
      <c r="E18" s="180" t="s">
        <v>33</v>
      </c>
      <c r="F18" s="182" t="s">
        <v>158</v>
      </c>
      <c r="G18" s="183" t="s">
        <v>29</v>
      </c>
      <c r="H18" s="171"/>
      <c r="I18" s="171"/>
      <c r="J18" s="171"/>
      <c r="K18" s="171"/>
    </row>
    <row r="19" spans="1:11" ht="12.75">
      <c r="A19" s="184"/>
      <c r="B19" s="185"/>
      <c r="C19" s="186" t="s">
        <v>31</v>
      </c>
      <c r="D19" s="187" t="s">
        <v>32</v>
      </c>
      <c r="E19" s="186" t="s">
        <v>34</v>
      </c>
      <c r="F19" s="188" t="s">
        <v>159</v>
      </c>
      <c r="G19" s="189" t="s">
        <v>22</v>
      </c>
      <c r="H19" s="171"/>
      <c r="I19" s="171"/>
      <c r="J19" s="171"/>
      <c r="K19" s="171"/>
    </row>
    <row r="20" spans="1:11" ht="12.75">
      <c r="A20" s="190" t="s">
        <v>28</v>
      </c>
      <c r="B20" s="191"/>
      <c r="C20" s="192">
        <v>0.1</v>
      </c>
      <c r="D20" s="193">
        <v>0.1</v>
      </c>
      <c r="E20" s="192">
        <v>0.8</v>
      </c>
      <c r="F20" s="194">
        <v>1</v>
      </c>
      <c r="G20" s="195"/>
      <c r="H20" s="196"/>
      <c r="I20" s="196"/>
      <c r="J20" s="196"/>
      <c r="K20" s="122"/>
    </row>
    <row r="21" spans="1:11" ht="13.5" thickBot="1">
      <c r="A21" s="197"/>
      <c r="B21" s="198"/>
      <c r="C21" s="199">
        <v>1</v>
      </c>
      <c r="D21" s="200">
        <v>2</v>
      </c>
      <c r="E21" s="199">
        <v>3</v>
      </c>
      <c r="F21" s="201">
        <v>4</v>
      </c>
      <c r="G21" s="202">
        <v>5</v>
      </c>
      <c r="H21" s="203"/>
      <c r="I21" s="203"/>
      <c r="J21" s="203"/>
      <c r="K21" s="169"/>
    </row>
    <row r="22" spans="1:11" ht="12.75">
      <c r="A22" s="204">
        <v>11</v>
      </c>
      <c r="B22" s="205" t="s">
        <v>12</v>
      </c>
      <c r="C22" s="206">
        <v>20.8</v>
      </c>
      <c r="D22" s="207">
        <f>20.78+0.01</f>
        <v>20.790000000000003</v>
      </c>
      <c r="E22" s="206">
        <v>20.52</v>
      </c>
      <c r="F22" s="526">
        <v>20.57</v>
      </c>
      <c r="G22" s="576">
        <f>346575+1</f>
        <v>346576</v>
      </c>
      <c r="H22" s="310"/>
      <c r="I22" s="308"/>
      <c r="J22" s="209"/>
      <c r="K22" s="209"/>
    </row>
    <row r="23" spans="1:11" ht="12.75">
      <c r="A23" s="210">
        <v>21</v>
      </c>
      <c r="B23" s="211" t="s">
        <v>13</v>
      </c>
      <c r="C23" s="212">
        <v>17.46</v>
      </c>
      <c r="D23" s="213">
        <v>17.83</v>
      </c>
      <c r="E23" s="212">
        <v>17.77</v>
      </c>
      <c r="F23" s="527">
        <v>17.75</v>
      </c>
      <c r="G23" s="577">
        <f>299062+1</f>
        <v>299063</v>
      </c>
      <c r="H23" s="310"/>
      <c r="I23" s="308"/>
      <c r="J23" s="209"/>
      <c r="K23" s="209"/>
    </row>
    <row r="24" spans="1:11" ht="12.75">
      <c r="A24" s="210">
        <v>22</v>
      </c>
      <c r="B24" s="211" t="s">
        <v>14</v>
      </c>
      <c r="C24" s="212">
        <v>6.99</v>
      </c>
      <c r="D24" s="213">
        <v>6.98</v>
      </c>
      <c r="E24" s="212">
        <v>7.05</v>
      </c>
      <c r="F24" s="527">
        <v>7.03</v>
      </c>
      <c r="G24" s="577">
        <v>118445</v>
      </c>
      <c r="H24" s="310"/>
      <c r="I24" s="308"/>
      <c r="J24" s="209"/>
      <c r="K24" s="209"/>
    </row>
    <row r="25" spans="1:11" ht="12.75">
      <c r="A25" s="210">
        <v>23</v>
      </c>
      <c r="B25" s="211" t="s">
        <v>15</v>
      </c>
      <c r="C25" s="212">
        <v>7.67</v>
      </c>
      <c r="D25" s="213">
        <v>7.48</v>
      </c>
      <c r="E25" s="212">
        <v>7.77</v>
      </c>
      <c r="F25" s="527">
        <v>7.73</v>
      </c>
      <c r="G25" s="577">
        <v>130239</v>
      </c>
      <c r="H25" s="310"/>
      <c r="I25" s="308"/>
      <c r="J25" s="209"/>
      <c r="K25" s="209"/>
    </row>
    <row r="26" spans="1:11" ht="12.75">
      <c r="A26" s="210">
        <v>31</v>
      </c>
      <c r="B26" s="211" t="s">
        <v>16</v>
      </c>
      <c r="C26" s="212">
        <v>15.95</v>
      </c>
      <c r="D26" s="213">
        <v>15.66</v>
      </c>
      <c r="E26" s="212">
        <v>15.14</v>
      </c>
      <c r="F26" s="527">
        <v>15.28</v>
      </c>
      <c r="G26" s="577">
        <v>257446</v>
      </c>
      <c r="H26" s="310"/>
      <c r="I26" s="308"/>
      <c r="J26" s="209"/>
      <c r="K26" s="209"/>
    </row>
    <row r="27" spans="1:11" ht="12.75">
      <c r="A27" s="210">
        <v>33</v>
      </c>
      <c r="B27" s="211" t="s">
        <v>17</v>
      </c>
      <c r="C27" s="212">
        <v>6.34</v>
      </c>
      <c r="D27" s="213">
        <v>6.41</v>
      </c>
      <c r="E27" s="212">
        <v>6.29</v>
      </c>
      <c r="F27" s="527">
        <v>6.31</v>
      </c>
      <c r="G27" s="577">
        <v>106314</v>
      </c>
      <c r="H27" s="310"/>
      <c r="I27" s="308"/>
      <c r="J27" s="209"/>
      <c r="K27" s="209"/>
    </row>
    <row r="28" spans="1:11" ht="12.75">
      <c r="A28" s="210">
        <v>41</v>
      </c>
      <c r="B28" s="211" t="s">
        <v>18</v>
      </c>
      <c r="C28" s="212">
        <v>13.5</v>
      </c>
      <c r="D28" s="213">
        <v>14.14</v>
      </c>
      <c r="E28" s="212">
        <v>14.62</v>
      </c>
      <c r="F28" s="527">
        <v>14.46</v>
      </c>
      <c r="G28" s="577">
        <v>243630</v>
      </c>
      <c r="H28" s="310"/>
      <c r="I28" s="308"/>
      <c r="J28" s="209"/>
      <c r="K28" s="209"/>
    </row>
    <row r="29" spans="1:11" ht="12.75">
      <c r="A29" s="210">
        <v>51</v>
      </c>
      <c r="B29" s="211" t="s">
        <v>19</v>
      </c>
      <c r="C29" s="212">
        <v>3.9</v>
      </c>
      <c r="D29" s="213">
        <v>3.33</v>
      </c>
      <c r="E29" s="212">
        <v>3.44</v>
      </c>
      <c r="F29" s="527">
        <v>3.47</v>
      </c>
      <c r="G29" s="577">
        <v>58465</v>
      </c>
      <c r="H29" s="310"/>
      <c r="I29" s="308"/>
      <c r="J29" s="209"/>
      <c r="K29" s="209"/>
    </row>
    <row r="30" spans="1:11" ht="13.5" thickBot="1">
      <c r="A30" s="214">
        <v>56</v>
      </c>
      <c r="B30" s="215" t="s">
        <v>20</v>
      </c>
      <c r="C30" s="216">
        <v>7.39</v>
      </c>
      <c r="D30" s="217">
        <v>7.38</v>
      </c>
      <c r="E30" s="216">
        <v>7.4</v>
      </c>
      <c r="F30" s="528">
        <v>7.4</v>
      </c>
      <c r="G30" s="578">
        <v>124679</v>
      </c>
      <c r="H30" s="310"/>
      <c r="I30" s="308"/>
      <c r="J30" s="209"/>
      <c r="K30" s="209"/>
    </row>
    <row r="31" spans="1:11" ht="13.5" thickBot="1">
      <c r="A31" s="218" t="s">
        <v>139</v>
      </c>
      <c r="B31" s="219"/>
      <c r="C31" s="220">
        <f>SUM(C22:C30)</f>
        <v>100.00000000000001</v>
      </c>
      <c r="D31" s="221">
        <f>SUM(D22:D30)</f>
        <v>100</v>
      </c>
      <c r="E31" s="220">
        <f>SUM(E22:E30)</f>
        <v>100.00000000000001</v>
      </c>
      <c r="F31" s="222">
        <f>SUM(F22:F30)</f>
        <v>100</v>
      </c>
      <c r="G31" s="223">
        <f>SUM(G22:G30)</f>
        <v>1684857</v>
      </c>
      <c r="H31" s="225"/>
      <c r="I31" s="225"/>
      <c r="J31" s="226"/>
      <c r="K31" s="224"/>
    </row>
    <row r="32" spans="1:11" ht="12.75">
      <c r="A32" s="227"/>
      <c r="B32" s="227"/>
      <c r="C32" s="206"/>
      <c r="D32" s="206"/>
      <c r="E32" s="206"/>
      <c r="F32" s="206"/>
      <c r="G32" s="95"/>
      <c r="H32" s="171"/>
      <c r="I32" s="228"/>
      <c r="J32" s="229"/>
      <c r="K32" s="171"/>
    </row>
    <row r="33" spans="1:11" ht="12.75">
      <c r="A33" s="171"/>
      <c r="B33" s="171"/>
      <c r="C33" s="171"/>
      <c r="D33" s="171"/>
      <c r="E33" s="171"/>
      <c r="F33" s="171"/>
      <c r="G33" s="229"/>
      <c r="H33" s="171"/>
      <c r="I33" s="229"/>
      <c r="J33" s="171"/>
      <c r="K33" s="171"/>
    </row>
    <row r="34" spans="1:11" ht="12.75">
      <c r="A34" s="171"/>
      <c r="B34" s="171"/>
      <c r="C34" s="171"/>
      <c r="D34" s="171"/>
      <c r="E34" s="171"/>
      <c r="F34" s="171"/>
      <c r="G34" s="229"/>
      <c r="H34" s="171"/>
      <c r="I34" s="171"/>
      <c r="J34" s="171"/>
      <c r="K34" s="171"/>
    </row>
    <row r="35" spans="1:11" ht="15.75">
      <c r="A35" s="174" t="s">
        <v>267</v>
      </c>
      <c r="B35" s="171"/>
      <c r="C35" s="171"/>
      <c r="D35" s="171"/>
      <c r="E35" s="171"/>
      <c r="F35" s="171"/>
      <c r="G35" s="171"/>
      <c r="H35" s="177"/>
      <c r="I35" s="171"/>
      <c r="J35" s="171"/>
      <c r="K35" s="171"/>
    </row>
    <row r="36" spans="1:11" ht="13.5" thickBot="1">
      <c r="A36" s="171"/>
      <c r="B36" s="171"/>
      <c r="C36" s="171"/>
      <c r="D36" s="171"/>
      <c r="E36" s="171"/>
      <c r="F36" s="171"/>
      <c r="G36" s="171"/>
      <c r="H36" s="171"/>
      <c r="I36" s="171"/>
      <c r="J36" s="171"/>
      <c r="K36" s="171"/>
    </row>
    <row r="37" spans="1:14" s="111" customFormat="1" ht="12.75">
      <c r="A37" s="230"/>
      <c r="B37" s="231"/>
      <c r="C37" s="167" t="s">
        <v>135</v>
      </c>
      <c r="D37" s="167" t="s">
        <v>45</v>
      </c>
      <c r="E37" s="135" t="s">
        <v>111</v>
      </c>
      <c r="F37" s="167" t="s">
        <v>111</v>
      </c>
      <c r="G37" s="135" t="s">
        <v>111</v>
      </c>
      <c r="H37" s="167" t="s">
        <v>42</v>
      </c>
      <c r="I37" s="135" t="s">
        <v>42</v>
      </c>
      <c r="J37" s="232" t="s">
        <v>112</v>
      </c>
      <c r="K37" s="133"/>
      <c r="L37" s="116"/>
      <c r="M37" s="116"/>
      <c r="N37" s="116"/>
    </row>
    <row r="38" spans="1:14" s="111" customFormat="1" ht="12.75">
      <c r="A38" s="233" t="s">
        <v>11</v>
      </c>
      <c r="B38" s="134"/>
      <c r="C38" s="234" t="s">
        <v>140</v>
      </c>
      <c r="D38" s="234" t="s">
        <v>113</v>
      </c>
      <c r="E38" s="136" t="s">
        <v>114</v>
      </c>
      <c r="F38" s="234" t="s">
        <v>115</v>
      </c>
      <c r="G38" s="136" t="s">
        <v>116</v>
      </c>
      <c r="H38" s="234" t="s">
        <v>117</v>
      </c>
      <c r="I38" s="136" t="s">
        <v>118</v>
      </c>
      <c r="J38" s="235" t="s">
        <v>119</v>
      </c>
      <c r="K38" s="133"/>
      <c r="L38" s="116"/>
      <c r="M38" s="116"/>
      <c r="N38" s="116"/>
    </row>
    <row r="39" spans="1:14" s="111" customFormat="1" ht="12.75">
      <c r="A39" s="233"/>
      <c r="B39" s="134"/>
      <c r="C39" s="234">
        <v>2006</v>
      </c>
      <c r="D39" s="234">
        <v>2006</v>
      </c>
      <c r="E39" s="234">
        <v>2006</v>
      </c>
      <c r="F39" s="234">
        <v>2006</v>
      </c>
      <c r="G39" s="234">
        <v>2006</v>
      </c>
      <c r="H39" s="234">
        <v>2006</v>
      </c>
      <c r="I39" s="234">
        <v>2006</v>
      </c>
      <c r="J39" s="235" t="s">
        <v>122</v>
      </c>
      <c r="K39" s="133"/>
      <c r="L39" s="116"/>
      <c r="M39" s="116"/>
      <c r="N39" s="116"/>
    </row>
    <row r="40" spans="1:14" s="111" customFormat="1" ht="12.75">
      <c r="A40" s="236"/>
      <c r="B40" s="237"/>
      <c r="C40" s="168" t="s">
        <v>120</v>
      </c>
      <c r="D40" s="168" t="s">
        <v>121</v>
      </c>
      <c r="E40" s="237"/>
      <c r="F40" s="168"/>
      <c r="G40" s="237"/>
      <c r="H40" s="168"/>
      <c r="I40" s="237"/>
      <c r="J40" s="238"/>
      <c r="K40" s="133"/>
      <c r="L40" s="116"/>
      <c r="M40" s="116"/>
      <c r="N40" s="116"/>
    </row>
    <row r="41" spans="1:14" s="112" customFormat="1" ht="12.75">
      <c r="A41" s="239" t="s">
        <v>28</v>
      </c>
      <c r="B41" s="240"/>
      <c r="C41" s="241">
        <v>1</v>
      </c>
      <c r="D41" s="241">
        <v>0.68</v>
      </c>
      <c r="E41" s="242">
        <v>0.666</v>
      </c>
      <c r="F41" s="241">
        <v>0.334</v>
      </c>
      <c r="G41" s="242">
        <v>0.175</v>
      </c>
      <c r="H41" s="241">
        <v>0.025</v>
      </c>
      <c r="I41" s="242">
        <v>0.975</v>
      </c>
      <c r="J41" s="243"/>
      <c r="K41" s="244"/>
      <c r="L41" s="116"/>
      <c r="M41" s="116"/>
      <c r="N41" s="116"/>
    </row>
    <row r="42" spans="1:14" s="112" customFormat="1" ht="12.75">
      <c r="A42" s="245"/>
      <c r="B42" s="246"/>
      <c r="C42" s="247" t="s">
        <v>123</v>
      </c>
      <c r="D42" s="247" t="s">
        <v>164</v>
      </c>
      <c r="E42" s="246" t="s">
        <v>124</v>
      </c>
      <c r="F42" s="247" t="s">
        <v>38</v>
      </c>
      <c r="G42" s="246" t="s">
        <v>125</v>
      </c>
      <c r="H42" s="247" t="s">
        <v>126</v>
      </c>
      <c r="I42" s="246" t="s">
        <v>127</v>
      </c>
      <c r="J42" s="248" t="s">
        <v>128</v>
      </c>
      <c r="K42" s="244"/>
      <c r="L42" s="116"/>
      <c r="M42" s="116"/>
      <c r="N42" s="116"/>
    </row>
    <row r="43" spans="1:14" s="112" customFormat="1" ht="12.75">
      <c r="A43" s="249">
        <v>11</v>
      </c>
      <c r="B43" s="250" t="s">
        <v>12</v>
      </c>
      <c r="C43" s="251">
        <v>24125.8507988829</v>
      </c>
      <c r="D43" s="251">
        <v>138393</v>
      </c>
      <c r="E43" s="573">
        <v>61.86</v>
      </c>
      <c r="F43" s="573">
        <v>64.49</v>
      </c>
      <c r="G43" s="573">
        <v>291.54</v>
      </c>
      <c r="H43" s="251">
        <v>230</v>
      </c>
      <c r="I43" s="251">
        <v>781</v>
      </c>
      <c r="J43" s="593">
        <v>1</v>
      </c>
      <c r="K43" s="244"/>
      <c r="L43" s="116"/>
      <c r="M43" s="116"/>
      <c r="N43" s="116"/>
    </row>
    <row r="44" spans="1:14" s="112" customFormat="1" ht="12.75">
      <c r="A44" s="252">
        <v>21</v>
      </c>
      <c r="B44" s="253" t="s">
        <v>13</v>
      </c>
      <c r="C44" s="254">
        <v>13131.648195287373</v>
      </c>
      <c r="D44" s="254">
        <v>43208</v>
      </c>
      <c r="E44" s="574">
        <v>27.73</v>
      </c>
      <c r="F44" s="574">
        <v>38.21</v>
      </c>
      <c r="G44" s="574">
        <v>218.36</v>
      </c>
      <c r="H44" s="254">
        <v>434</v>
      </c>
      <c r="I44" s="254">
        <v>703</v>
      </c>
      <c r="J44" s="594">
        <v>1</v>
      </c>
      <c r="K44" s="244"/>
      <c r="L44" s="116"/>
      <c r="M44" s="116"/>
      <c r="N44" s="116"/>
    </row>
    <row r="45" spans="1:14" s="112" customFormat="1" ht="12.75">
      <c r="A45" s="252">
        <v>22</v>
      </c>
      <c r="B45" s="253" t="s">
        <v>14</v>
      </c>
      <c r="C45" s="254">
        <v>1618.543865072187</v>
      </c>
      <c r="D45" s="254">
        <v>6940</v>
      </c>
      <c r="E45" s="574">
        <v>12.79</v>
      </c>
      <c r="F45" s="574">
        <v>20.08</v>
      </c>
      <c r="G45" s="574">
        <v>75.63</v>
      </c>
      <c r="H45" s="254">
        <v>450</v>
      </c>
      <c r="I45" s="254">
        <v>145</v>
      </c>
      <c r="J45" s="594">
        <v>1</v>
      </c>
      <c r="K45" s="244"/>
      <c r="L45" s="116"/>
      <c r="M45" s="116"/>
      <c r="N45" s="116"/>
    </row>
    <row r="46" spans="1:14" s="112" customFormat="1" ht="12.75">
      <c r="A46" s="252">
        <v>23</v>
      </c>
      <c r="B46" s="253" t="s">
        <v>15</v>
      </c>
      <c r="C46" s="254">
        <v>9892.457512684816</v>
      </c>
      <c r="D46" s="254">
        <v>38637</v>
      </c>
      <c r="E46" s="574">
        <v>9.5</v>
      </c>
      <c r="F46" s="574">
        <v>8.67</v>
      </c>
      <c r="G46" s="574">
        <v>82.93</v>
      </c>
      <c r="H46" s="254">
        <v>147</v>
      </c>
      <c r="I46" s="254">
        <v>271</v>
      </c>
      <c r="J46" s="594">
        <v>1</v>
      </c>
      <c r="K46" s="244"/>
      <c r="L46" s="116"/>
      <c r="M46" s="116"/>
      <c r="N46" s="116"/>
    </row>
    <row r="47" spans="1:14" s="112" customFormat="1" ht="12.75">
      <c r="A47" s="252">
        <v>31</v>
      </c>
      <c r="B47" s="253" t="s">
        <v>16</v>
      </c>
      <c r="C47" s="254">
        <v>49026.85600229846</v>
      </c>
      <c r="D47" s="254">
        <v>323367</v>
      </c>
      <c r="E47" s="574">
        <v>44.9</v>
      </c>
      <c r="F47" s="574">
        <v>86.47</v>
      </c>
      <c r="G47" s="574">
        <v>256.87</v>
      </c>
      <c r="H47" s="254">
        <v>259</v>
      </c>
      <c r="I47" s="254">
        <v>747</v>
      </c>
      <c r="J47" s="594">
        <v>1</v>
      </c>
      <c r="K47" s="244"/>
      <c r="L47" s="116"/>
      <c r="M47" s="116"/>
      <c r="N47" s="116"/>
    </row>
    <row r="48" spans="1:14" s="112" customFormat="1" ht="12.75">
      <c r="A48" s="252">
        <v>33</v>
      </c>
      <c r="B48" s="253" t="s">
        <v>17</v>
      </c>
      <c r="C48" s="254">
        <v>6980.258878401721</v>
      </c>
      <c r="D48" s="254">
        <v>39045</v>
      </c>
      <c r="E48" s="574">
        <v>6.89</v>
      </c>
      <c r="F48" s="574">
        <v>14.94</v>
      </c>
      <c r="G48" s="574">
        <v>51.85</v>
      </c>
      <c r="H48" s="254">
        <v>133</v>
      </c>
      <c r="I48" s="254">
        <v>79</v>
      </c>
      <c r="J48" s="594">
        <v>1</v>
      </c>
      <c r="K48" s="244"/>
      <c r="L48" s="116"/>
      <c r="M48" s="116"/>
      <c r="N48" s="116"/>
    </row>
    <row r="49" spans="1:14" s="112" customFormat="1" ht="12.75">
      <c r="A49" s="252">
        <v>41</v>
      </c>
      <c r="B49" s="253" t="s">
        <v>18</v>
      </c>
      <c r="C49" s="254">
        <v>3134.293379787217</v>
      </c>
      <c r="D49" s="254">
        <v>14925</v>
      </c>
      <c r="E49" s="574">
        <v>8.63</v>
      </c>
      <c r="F49" s="574">
        <v>50.71</v>
      </c>
      <c r="G49" s="574">
        <v>201.58</v>
      </c>
      <c r="H49" s="254">
        <v>438</v>
      </c>
      <c r="I49" s="254">
        <v>177</v>
      </c>
      <c r="J49" s="594">
        <v>1</v>
      </c>
      <c r="K49" s="244"/>
      <c r="L49" s="116"/>
      <c r="M49" s="116"/>
      <c r="N49" s="116"/>
    </row>
    <row r="50" spans="1:14" s="112" customFormat="1" ht="12.75">
      <c r="A50" s="252">
        <v>51</v>
      </c>
      <c r="B50" s="253" t="s">
        <v>19</v>
      </c>
      <c r="C50" s="254">
        <v>296.8447580031407</v>
      </c>
      <c r="D50" s="254">
        <v>0</v>
      </c>
      <c r="E50" s="574">
        <v>2.6</v>
      </c>
      <c r="F50" s="574">
        <v>10.79</v>
      </c>
      <c r="G50" s="574">
        <v>76.54</v>
      </c>
      <c r="H50" s="254">
        <v>35</v>
      </c>
      <c r="I50" s="254">
        <v>76</v>
      </c>
      <c r="J50" s="594">
        <v>1</v>
      </c>
      <c r="K50" s="244"/>
      <c r="L50" s="116"/>
      <c r="M50" s="116"/>
      <c r="N50" s="116"/>
    </row>
    <row r="51" spans="1:14" s="112" customFormat="1" ht="13.5" thickBot="1">
      <c r="A51" s="255">
        <v>56</v>
      </c>
      <c r="B51" s="256" t="s">
        <v>20</v>
      </c>
      <c r="C51" s="257">
        <v>4708.246609582182</v>
      </c>
      <c r="D51" s="257">
        <v>22956</v>
      </c>
      <c r="E51" s="575">
        <v>9.37</v>
      </c>
      <c r="F51" s="575">
        <v>15.78</v>
      </c>
      <c r="G51" s="575">
        <v>90.01</v>
      </c>
      <c r="H51" s="257">
        <v>301</v>
      </c>
      <c r="I51" s="257">
        <v>188</v>
      </c>
      <c r="J51" s="595">
        <v>1</v>
      </c>
      <c r="K51" s="244"/>
      <c r="L51" s="116"/>
      <c r="M51" s="116"/>
      <c r="N51" s="116"/>
    </row>
    <row r="52" spans="1:11" ht="13.5" thickBot="1">
      <c r="A52" s="258" t="s">
        <v>21</v>
      </c>
      <c r="B52" s="259"/>
      <c r="C52" s="260">
        <f aca="true" t="shared" si="0" ref="C52:I52">SUM(C43:C51)</f>
        <v>112914.99999999997</v>
      </c>
      <c r="D52" s="260">
        <f t="shared" si="0"/>
        <v>627471</v>
      </c>
      <c r="E52" s="261">
        <f t="shared" si="0"/>
        <v>184.26999999999998</v>
      </c>
      <c r="F52" s="262">
        <f t="shared" si="0"/>
        <v>310.14</v>
      </c>
      <c r="G52" s="261">
        <f t="shared" si="0"/>
        <v>1345.31</v>
      </c>
      <c r="H52" s="260">
        <f t="shared" si="0"/>
        <v>2427</v>
      </c>
      <c r="I52" s="263">
        <f t="shared" si="0"/>
        <v>3167</v>
      </c>
      <c r="J52" s="264"/>
      <c r="K52" s="171"/>
    </row>
    <row r="53" spans="1:11" ht="13.5" thickBot="1">
      <c r="A53" s="171"/>
      <c r="B53" s="171"/>
      <c r="C53" s="171"/>
      <c r="D53" s="171"/>
      <c r="E53" s="171"/>
      <c r="F53" s="171"/>
      <c r="G53" s="171"/>
      <c r="H53" s="171"/>
      <c r="I53" s="171"/>
      <c r="J53" s="171"/>
      <c r="K53" s="171"/>
    </row>
    <row r="54" spans="1:14" ht="12.75">
      <c r="A54" s="178" t="s">
        <v>11</v>
      </c>
      <c r="B54" s="265"/>
      <c r="C54" s="266"/>
      <c r="D54" s="265"/>
      <c r="E54" s="266"/>
      <c r="F54" s="265"/>
      <c r="G54" s="179"/>
      <c r="H54" s="265"/>
      <c r="I54" s="266"/>
      <c r="J54" s="180" t="s">
        <v>137</v>
      </c>
      <c r="K54" s="267" t="s">
        <v>142</v>
      </c>
      <c r="L54" s="123"/>
      <c r="M54" s="124"/>
      <c r="N54" s="124"/>
    </row>
    <row r="55" spans="1:13" ht="13.5" thickBot="1">
      <c r="A55" s="268"/>
      <c r="B55" s="269"/>
      <c r="C55" s="270" t="s">
        <v>37</v>
      </c>
      <c r="D55" s="271" t="s">
        <v>129</v>
      </c>
      <c r="E55" s="270" t="s">
        <v>36</v>
      </c>
      <c r="F55" s="271" t="s">
        <v>130</v>
      </c>
      <c r="G55" s="272" t="s">
        <v>131</v>
      </c>
      <c r="H55" s="271" t="s">
        <v>132</v>
      </c>
      <c r="I55" s="270" t="s">
        <v>133</v>
      </c>
      <c r="J55" s="273" t="s">
        <v>136</v>
      </c>
      <c r="K55" s="274" t="s">
        <v>141</v>
      </c>
      <c r="L55" s="123"/>
      <c r="M55" s="123"/>
    </row>
    <row r="56" spans="1:13" ht="12.75">
      <c r="A56" s="204">
        <v>11</v>
      </c>
      <c r="B56" s="205" t="s">
        <v>12</v>
      </c>
      <c r="C56" s="579">
        <v>0.09476720230737536</v>
      </c>
      <c r="D56" s="579">
        <v>0.2466056204610041</v>
      </c>
      <c r="E56" s="579">
        <v>1.2792426800307224</v>
      </c>
      <c r="F56" s="579">
        <v>0.22055680660938912</v>
      </c>
      <c r="G56" s="590">
        <v>0.24962811345643784</v>
      </c>
      <c r="H56" s="580">
        <v>0.23994451435959346</v>
      </c>
      <c r="I56" s="581">
        <v>0.2136638249912138</v>
      </c>
      <c r="J56" s="580">
        <v>0.22680416967540362</v>
      </c>
      <c r="K56" s="275">
        <v>27207</v>
      </c>
      <c r="L56" s="123"/>
      <c r="M56" s="309"/>
    </row>
    <row r="57" spans="1:13" ht="12.75">
      <c r="A57" s="210">
        <v>21</v>
      </c>
      <c r="B57" s="211" t="s">
        <v>13</v>
      </c>
      <c r="C57" s="582">
        <v>0.1788215904408735</v>
      </c>
      <c r="D57" s="582">
        <v>0.22197663403852225</v>
      </c>
      <c r="E57" s="582">
        <v>0.8501995315813128</v>
      </c>
      <c r="F57" s="582">
        <v>0.06886055291798346</v>
      </c>
      <c r="G57" s="591">
        <v>0.10783000300476334</v>
      </c>
      <c r="H57" s="583">
        <v>0.10364705059106466</v>
      </c>
      <c r="I57" s="584">
        <v>0.11629675592514171</v>
      </c>
      <c r="J57" s="583">
        <v>0.10997190325810319</v>
      </c>
      <c r="K57" s="276">
        <v>13192</v>
      </c>
      <c r="L57" s="123"/>
      <c r="M57" s="309"/>
    </row>
    <row r="58" spans="1:13" ht="12.75">
      <c r="A58" s="210">
        <v>22</v>
      </c>
      <c r="B58" s="211" t="s">
        <v>14</v>
      </c>
      <c r="C58" s="582">
        <v>0.18541409147095178</v>
      </c>
      <c r="D58" s="582">
        <v>0.04578465424692137</v>
      </c>
      <c r="E58" s="582">
        <v>1.196676383107964</v>
      </c>
      <c r="F58" s="582">
        <v>0.011060272108193048</v>
      </c>
      <c r="G58" s="591">
        <v>0.02132955462934001</v>
      </c>
      <c r="H58" s="583">
        <v>0.02050213638271366</v>
      </c>
      <c r="I58" s="584">
        <v>0.014334179383360823</v>
      </c>
      <c r="J58" s="583">
        <v>0.01741815788303724</v>
      </c>
      <c r="K58" s="276">
        <v>2089</v>
      </c>
      <c r="L58" s="123"/>
      <c r="M58" s="309"/>
    </row>
    <row r="59" spans="1:13" ht="12.75">
      <c r="A59" s="210">
        <v>23</v>
      </c>
      <c r="B59" s="211" t="s">
        <v>15</v>
      </c>
      <c r="C59" s="582">
        <v>0.06056860321384425</v>
      </c>
      <c r="D59" s="582">
        <v>0.08556994000631513</v>
      </c>
      <c r="E59" s="582">
        <v>0.6611008209829963</v>
      </c>
      <c r="F59" s="582">
        <v>0.061575754098595795</v>
      </c>
      <c r="G59" s="591">
        <v>0.0765642217185698</v>
      </c>
      <c r="H59" s="583">
        <v>0.07359413466379615</v>
      </c>
      <c r="I59" s="584">
        <v>0.087609772950315</v>
      </c>
      <c r="J59" s="583">
        <v>0.08060195380705557</v>
      </c>
      <c r="K59" s="276">
        <v>9669</v>
      </c>
      <c r="L59" s="123"/>
      <c r="M59" s="309"/>
    </row>
    <row r="60" spans="1:13" ht="12.75">
      <c r="A60" s="210">
        <v>31</v>
      </c>
      <c r="B60" s="211" t="s">
        <v>16</v>
      </c>
      <c r="C60" s="582">
        <v>0.10671611042439226</v>
      </c>
      <c r="D60" s="582">
        <v>0.2358699084306915</v>
      </c>
      <c r="E60" s="582">
        <v>1.3603982640879762</v>
      </c>
      <c r="F60" s="582">
        <v>0.5153497133732077</v>
      </c>
      <c r="G60" s="591">
        <v>0.4410825626718456</v>
      </c>
      <c r="H60" s="583">
        <v>0.42397204316191767</v>
      </c>
      <c r="I60" s="584">
        <v>0.4341925873648184</v>
      </c>
      <c r="J60" s="583">
        <v>0.42908231526336804</v>
      </c>
      <c r="K60" s="276">
        <v>51472</v>
      </c>
      <c r="L60" s="123"/>
      <c r="M60" s="309"/>
    </row>
    <row r="61" spans="1:13" ht="12.75">
      <c r="A61" s="210">
        <v>33</v>
      </c>
      <c r="B61" s="211" t="s">
        <v>17</v>
      </c>
      <c r="C61" s="582">
        <v>0.05480016481252575</v>
      </c>
      <c r="D61" s="582">
        <v>0.02494474265866751</v>
      </c>
      <c r="E61" s="582">
        <v>1.098184535220693</v>
      </c>
      <c r="F61" s="582">
        <v>0.06222598335221867</v>
      </c>
      <c r="G61" s="591">
        <v>0.05785772850875233</v>
      </c>
      <c r="H61" s="583">
        <v>0.05561330563596323</v>
      </c>
      <c r="I61" s="584">
        <v>0.06181870325821833</v>
      </c>
      <c r="J61" s="583">
        <v>0.05871600444709078</v>
      </c>
      <c r="K61" s="276">
        <v>7044</v>
      </c>
      <c r="L61" s="123"/>
      <c r="M61" s="309"/>
    </row>
    <row r="62" spans="1:13" ht="12.75">
      <c r="A62" s="210">
        <v>41</v>
      </c>
      <c r="B62" s="211" t="s">
        <v>18</v>
      </c>
      <c r="C62" s="582">
        <v>0.18046971569839307</v>
      </c>
      <c r="D62" s="582">
        <v>0.055888853804862644</v>
      </c>
      <c r="E62" s="582">
        <v>0.6689651521045842</v>
      </c>
      <c r="F62" s="582">
        <v>0.0237859598292192</v>
      </c>
      <c r="G62" s="591">
        <v>0.03644451281479354</v>
      </c>
      <c r="H62" s="583">
        <v>0.03503075357713518</v>
      </c>
      <c r="I62" s="584">
        <v>0.02775798945921461</v>
      </c>
      <c r="J62" s="583">
        <v>0.031394371518174896</v>
      </c>
      <c r="K62" s="276">
        <v>3766</v>
      </c>
      <c r="L62" s="123"/>
      <c r="M62" s="309"/>
    </row>
    <row r="63" spans="1:13" ht="12.75">
      <c r="A63" s="210">
        <v>51</v>
      </c>
      <c r="B63" s="211" t="s">
        <v>19</v>
      </c>
      <c r="C63" s="582">
        <v>0.01442109600329625</v>
      </c>
      <c r="D63" s="582">
        <v>0.023997473950110516</v>
      </c>
      <c r="E63" s="582">
        <v>0.41438203914776384</v>
      </c>
      <c r="F63" s="582">
        <v>0</v>
      </c>
      <c r="G63" s="591">
        <v>0</v>
      </c>
      <c r="H63" s="583">
        <v>0</v>
      </c>
      <c r="I63" s="584">
        <v>0.0026289222689911953</v>
      </c>
      <c r="J63" s="583">
        <v>0.0013144611344955977</v>
      </c>
      <c r="K63" s="276">
        <v>158</v>
      </c>
      <c r="L63" s="123"/>
      <c r="M63" s="309"/>
    </row>
    <row r="64" spans="1:13" ht="13.5" thickBot="1">
      <c r="A64" s="214">
        <v>56</v>
      </c>
      <c r="B64" s="215" t="s">
        <v>20</v>
      </c>
      <c r="C64" s="585">
        <v>0.12402142562834775</v>
      </c>
      <c r="D64" s="585">
        <v>0.05936217240290496</v>
      </c>
      <c r="E64" s="585">
        <v>0.7602169372746267</v>
      </c>
      <c r="F64" s="585">
        <v>0.03658495771119303</v>
      </c>
      <c r="G64" s="592">
        <v>0.049620963059861134</v>
      </c>
      <c r="H64" s="586">
        <v>0.04769606162781601</v>
      </c>
      <c r="I64" s="587">
        <v>0.04169726439872633</v>
      </c>
      <c r="J64" s="586">
        <v>0.04469666301327117</v>
      </c>
      <c r="K64" s="277">
        <v>5362</v>
      </c>
      <c r="L64" s="123"/>
      <c r="M64" s="309"/>
    </row>
    <row r="65" spans="1:14" s="2" customFormat="1" ht="13.5" thickBot="1">
      <c r="A65" s="258" t="s">
        <v>21</v>
      </c>
      <c r="B65" s="27"/>
      <c r="C65" s="588">
        <f>SUM(C56:C64)</f>
        <v>1</v>
      </c>
      <c r="D65" s="588">
        <f>SUM(D56:D64)</f>
        <v>1</v>
      </c>
      <c r="E65" s="588"/>
      <c r="F65" s="588">
        <f aca="true" t="shared" si="1" ref="F65:K65">SUM(F56:F64)</f>
        <v>1</v>
      </c>
      <c r="G65" s="588"/>
      <c r="H65" s="589">
        <f t="shared" si="1"/>
        <v>1</v>
      </c>
      <c r="I65" s="588">
        <f t="shared" si="1"/>
        <v>1.0000000000000002</v>
      </c>
      <c r="J65" s="588">
        <f t="shared" si="1"/>
        <v>1.0000000000000002</v>
      </c>
      <c r="K65" s="397">
        <f t="shared" si="1"/>
        <v>119959</v>
      </c>
      <c r="L65" s="311"/>
      <c r="M65" s="312"/>
      <c r="N65" s="17"/>
    </row>
    <row r="66" spans="1:11" ht="12.75">
      <c r="A66" s="278"/>
      <c r="B66" s="278"/>
      <c r="C66" s="279"/>
      <c r="D66" s="279"/>
      <c r="E66" s="279"/>
      <c r="F66" s="279"/>
      <c r="G66" s="279"/>
      <c r="H66" s="279"/>
      <c r="I66" s="279"/>
      <c r="J66" s="279"/>
      <c r="K66" s="95"/>
    </row>
    <row r="67" spans="1:11" ht="16.5" thickBot="1">
      <c r="A67" s="174" t="s">
        <v>25</v>
      </c>
      <c r="B67" s="171"/>
      <c r="C67" s="171"/>
      <c r="D67" s="171"/>
      <c r="E67" s="171"/>
      <c r="F67" s="171"/>
      <c r="G67" s="171"/>
      <c r="H67" s="171"/>
      <c r="I67" s="171"/>
      <c r="J67" s="171"/>
      <c r="K67" s="171"/>
    </row>
    <row r="68" spans="1:11" ht="12.75">
      <c r="A68" s="178"/>
      <c r="B68" s="265"/>
      <c r="C68" s="1250" t="s">
        <v>268</v>
      </c>
      <c r="D68" s="1251"/>
      <c r="E68" s="1252"/>
      <c r="F68" s="1253" t="s">
        <v>230</v>
      </c>
      <c r="G68" s="1254"/>
      <c r="H68" s="1255"/>
      <c r="I68" s="171"/>
      <c r="J68" s="171"/>
      <c r="K68" s="171"/>
    </row>
    <row r="69" spans="1:11" ht="13.5" thickBot="1">
      <c r="A69" s="268" t="s">
        <v>11</v>
      </c>
      <c r="B69" s="269"/>
      <c r="C69" s="280" t="s">
        <v>26</v>
      </c>
      <c r="D69" s="281" t="s">
        <v>143</v>
      </c>
      <c r="E69" s="282" t="s">
        <v>22</v>
      </c>
      <c r="F69" s="283" t="s">
        <v>26</v>
      </c>
      <c r="G69" s="284" t="s">
        <v>143</v>
      </c>
      <c r="H69" s="285" t="s">
        <v>22</v>
      </c>
      <c r="I69" s="171"/>
      <c r="J69" s="171"/>
      <c r="K69" s="171"/>
    </row>
    <row r="70" spans="1:11" ht="12.75">
      <c r="A70" s="204">
        <v>11</v>
      </c>
      <c r="B70" s="286" t="s">
        <v>12</v>
      </c>
      <c r="C70" s="287">
        <f>G22</f>
        <v>346576</v>
      </c>
      <c r="D70" s="288">
        <f>K56</f>
        <v>27207</v>
      </c>
      <c r="E70" s="289">
        <f aca="true" t="shared" si="2" ref="E70:E79">SUM(C70:D70)</f>
        <v>373783</v>
      </c>
      <c r="F70" s="290">
        <v>308331</v>
      </c>
      <c r="G70" s="291">
        <v>24126</v>
      </c>
      <c r="H70" s="208">
        <f>SUM(F70:G70)</f>
        <v>332457</v>
      </c>
      <c r="I70" s="171"/>
      <c r="J70" s="171"/>
      <c r="K70" s="171"/>
    </row>
    <row r="71" spans="1:11" ht="12.75">
      <c r="A71" s="210">
        <v>21</v>
      </c>
      <c r="B71" s="292" t="s">
        <v>13</v>
      </c>
      <c r="C71" s="293">
        <f>G23</f>
        <v>299063</v>
      </c>
      <c r="D71" s="294">
        <f>K57</f>
        <v>13192</v>
      </c>
      <c r="E71" s="295">
        <f t="shared" si="2"/>
        <v>312255</v>
      </c>
      <c r="F71" s="296">
        <v>269848</v>
      </c>
      <c r="G71" s="297">
        <v>13132</v>
      </c>
      <c r="H71" s="577">
        <f aca="true" t="shared" si="3" ref="H71:H78">SUM(F71:G71)</f>
        <v>282980</v>
      </c>
      <c r="I71" s="171"/>
      <c r="J71" s="171"/>
      <c r="K71" s="171"/>
    </row>
    <row r="72" spans="1:11" ht="12.75">
      <c r="A72" s="210">
        <v>22</v>
      </c>
      <c r="B72" s="292" t="s">
        <v>14</v>
      </c>
      <c r="C72" s="293">
        <f aca="true" t="shared" si="4" ref="C72:C78">G24</f>
        <v>118445</v>
      </c>
      <c r="D72" s="294">
        <f aca="true" t="shared" si="5" ref="D72:D78">K58</f>
        <v>2089</v>
      </c>
      <c r="E72" s="295">
        <f t="shared" si="2"/>
        <v>120534</v>
      </c>
      <c r="F72" s="296">
        <v>118918</v>
      </c>
      <c r="G72" s="297">
        <v>1619</v>
      </c>
      <c r="H72" s="577">
        <f t="shared" si="3"/>
        <v>120537</v>
      </c>
      <c r="I72" s="171"/>
      <c r="J72" s="171"/>
      <c r="K72" s="171"/>
    </row>
    <row r="73" spans="1:11" ht="12.75">
      <c r="A73" s="210">
        <v>23</v>
      </c>
      <c r="B73" s="292" t="s">
        <v>15</v>
      </c>
      <c r="C73" s="293">
        <f t="shared" si="4"/>
        <v>130239</v>
      </c>
      <c r="D73" s="294">
        <f t="shared" si="5"/>
        <v>9669</v>
      </c>
      <c r="E73" s="295">
        <f t="shared" si="2"/>
        <v>139908</v>
      </c>
      <c r="F73" s="296">
        <v>113672</v>
      </c>
      <c r="G73" s="297">
        <v>9892</v>
      </c>
      <c r="H73" s="577">
        <f t="shared" si="3"/>
        <v>123564</v>
      </c>
      <c r="I73" s="171"/>
      <c r="J73" s="171"/>
      <c r="K73" s="171"/>
    </row>
    <row r="74" spans="1:11" ht="12.75">
      <c r="A74" s="210">
        <v>31</v>
      </c>
      <c r="B74" s="292" t="s">
        <v>16</v>
      </c>
      <c r="C74" s="293">
        <f t="shared" si="4"/>
        <v>257446</v>
      </c>
      <c r="D74" s="294">
        <f t="shared" si="5"/>
        <v>51472</v>
      </c>
      <c r="E74" s="295">
        <f t="shared" si="2"/>
        <v>308918</v>
      </c>
      <c r="F74" s="296">
        <v>250858</v>
      </c>
      <c r="G74" s="297">
        <v>49027</v>
      </c>
      <c r="H74" s="577">
        <f t="shared" si="3"/>
        <v>299885</v>
      </c>
      <c r="I74" s="171"/>
      <c r="J74" s="171"/>
      <c r="K74" s="171"/>
    </row>
    <row r="75" spans="1:11" ht="12.75">
      <c r="A75" s="210">
        <v>33</v>
      </c>
      <c r="B75" s="292" t="s">
        <v>17</v>
      </c>
      <c r="C75" s="293">
        <f t="shared" si="4"/>
        <v>106314</v>
      </c>
      <c r="D75" s="294">
        <f t="shared" si="5"/>
        <v>7044</v>
      </c>
      <c r="E75" s="295">
        <f t="shared" si="2"/>
        <v>113358</v>
      </c>
      <c r="F75" s="296">
        <v>107908</v>
      </c>
      <c r="G75" s="297">
        <v>6980</v>
      </c>
      <c r="H75" s="577">
        <f t="shared" si="3"/>
        <v>114888</v>
      </c>
      <c r="I75" s="171"/>
      <c r="J75" s="171"/>
      <c r="K75" s="171"/>
    </row>
    <row r="76" spans="1:11" ht="12.75">
      <c r="A76" s="210">
        <v>41</v>
      </c>
      <c r="B76" s="292" t="s">
        <v>18</v>
      </c>
      <c r="C76" s="293">
        <f t="shared" si="4"/>
        <v>243630</v>
      </c>
      <c r="D76" s="294">
        <f t="shared" si="5"/>
        <v>3766</v>
      </c>
      <c r="E76" s="295">
        <f t="shared" si="2"/>
        <v>247396</v>
      </c>
      <c r="F76" s="296">
        <v>221862</v>
      </c>
      <c r="G76" s="297">
        <v>3134</v>
      </c>
      <c r="H76" s="577">
        <f t="shared" si="3"/>
        <v>224996</v>
      </c>
      <c r="I76" s="171"/>
      <c r="J76" s="171"/>
      <c r="K76" s="171"/>
    </row>
    <row r="77" spans="1:11" ht="12.75">
      <c r="A77" s="210">
        <v>51</v>
      </c>
      <c r="B77" s="292" t="s">
        <v>19</v>
      </c>
      <c r="C77" s="293">
        <f t="shared" si="4"/>
        <v>58465</v>
      </c>
      <c r="D77" s="294">
        <f t="shared" si="5"/>
        <v>158</v>
      </c>
      <c r="E77" s="295">
        <f t="shared" si="2"/>
        <v>58623</v>
      </c>
      <c r="F77" s="296">
        <v>58195</v>
      </c>
      <c r="G77" s="297">
        <v>297</v>
      </c>
      <c r="H77" s="577">
        <f t="shared" si="3"/>
        <v>58492</v>
      </c>
      <c r="I77" s="171"/>
      <c r="J77" s="171"/>
      <c r="K77" s="171"/>
    </row>
    <row r="78" spans="1:11" ht="13.5" thickBot="1">
      <c r="A78" s="214">
        <v>56</v>
      </c>
      <c r="B78" s="298" t="s">
        <v>20</v>
      </c>
      <c r="C78" s="299">
        <f t="shared" si="4"/>
        <v>124679</v>
      </c>
      <c r="D78" s="300">
        <f t="shared" si="5"/>
        <v>5362</v>
      </c>
      <c r="E78" s="301">
        <f t="shared" si="2"/>
        <v>130041</v>
      </c>
      <c r="F78" s="302">
        <v>121101</v>
      </c>
      <c r="G78" s="303">
        <v>4708</v>
      </c>
      <c r="H78" s="208">
        <f t="shared" si="3"/>
        <v>125809</v>
      </c>
      <c r="I78" s="171"/>
      <c r="J78" s="171"/>
      <c r="K78" s="171"/>
    </row>
    <row r="79" spans="1:11" ht="13.5" thickBot="1">
      <c r="A79" s="258" t="s">
        <v>21</v>
      </c>
      <c r="B79" s="259"/>
      <c r="C79" s="304">
        <f>SUM(C70:C78)</f>
        <v>1684857</v>
      </c>
      <c r="D79" s="305">
        <f>SUM(D70:D78)</f>
        <v>119959</v>
      </c>
      <c r="E79" s="306">
        <f t="shared" si="2"/>
        <v>1804816</v>
      </c>
      <c r="F79" s="307">
        <f>SUM(F70:F78)</f>
        <v>1570693</v>
      </c>
      <c r="G79" s="260">
        <f>SUM(G70:G78)</f>
        <v>112915</v>
      </c>
      <c r="H79" s="223">
        <f>SUM(H70:H78)</f>
        <v>1683608</v>
      </c>
      <c r="I79" s="171"/>
      <c r="J79" s="171"/>
      <c r="K79" s="171"/>
    </row>
    <row r="80" spans="3:6" ht="12.75">
      <c r="C80" s="313"/>
      <c r="D80" s="313"/>
      <c r="E80" s="524"/>
      <c r="F80" s="525"/>
    </row>
    <row r="81" ht="17.25" customHeight="1"/>
    <row r="82" ht="15.75">
      <c r="A82" s="9" t="s">
        <v>35</v>
      </c>
    </row>
    <row r="83" ht="11.25" customHeight="1">
      <c r="A83" s="9"/>
    </row>
    <row r="84" spans="1:14" s="21" customFormat="1" ht="15.75" thickBot="1">
      <c r="A84" s="113" t="s">
        <v>271</v>
      </c>
      <c r="L84" s="116"/>
      <c r="M84" s="116"/>
      <c r="N84" s="116"/>
    </row>
    <row r="85" spans="1:14" s="2" customFormat="1" ht="12.75">
      <c r="A85" s="5">
        <v>5</v>
      </c>
      <c r="B85" s="362" t="s">
        <v>379</v>
      </c>
      <c r="C85" s="3"/>
      <c r="D85" s="3"/>
      <c r="E85" s="3"/>
      <c r="F85" s="3"/>
      <c r="G85" s="3"/>
      <c r="H85" s="3"/>
      <c r="I85" s="31">
        <f>'pril1-CP'!J6</f>
        <v>99000</v>
      </c>
      <c r="J85" s="7"/>
      <c r="L85" s="116"/>
      <c r="M85" s="116"/>
      <c r="N85" s="116"/>
    </row>
    <row r="86" spans="1:14" s="2" customFormat="1" ht="12.75">
      <c r="A86" s="137">
        <v>6</v>
      </c>
      <c r="B86" s="100" t="s">
        <v>217</v>
      </c>
      <c r="C86" s="100"/>
      <c r="D86" s="100"/>
      <c r="E86" s="100"/>
      <c r="F86" s="100"/>
      <c r="G86" s="100"/>
      <c r="H86" s="100"/>
      <c r="I86" s="138">
        <f>'pril1-CP'!J9</f>
        <v>41148</v>
      </c>
      <c r="J86" s="7"/>
      <c r="L86" s="116"/>
      <c r="M86" s="116"/>
      <c r="N86" s="116"/>
    </row>
    <row r="87" spans="1:14" s="2" customFormat="1" ht="12.75">
      <c r="A87" s="137">
        <v>7</v>
      </c>
      <c r="B87" s="100" t="s">
        <v>218</v>
      </c>
      <c r="C87" s="100"/>
      <c r="D87" s="100"/>
      <c r="E87" s="100"/>
      <c r="F87" s="100"/>
      <c r="G87" s="100"/>
      <c r="H87" s="100"/>
      <c r="I87" s="138">
        <f>'pril1-CP'!J10</f>
        <v>21905</v>
      </c>
      <c r="J87" s="7"/>
      <c r="L87" s="116"/>
      <c r="M87" s="116"/>
      <c r="N87" s="116"/>
    </row>
    <row r="88" spans="1:14" s="2" customFormat="1" ht="13.5" thickBot="1">
      <c r="A88" s="33">
        <v>8</v>
      </c>
      <c r="B88" s="357" t="s">
        <v>0</v>
      </c>
      <c r="C88" s="7"/>
      <c r="D88" s="7"/>
      <c r="E88" s="7"/>
      <c r="F88" s="7"/>
      <c r="G88" s="7"/>
      <c r="H88" s="7"/>
      <c r="I88" s="355">
        <f>'pril1-CP'!J22</f>
        <v>23181</v>
      </c>
      <c r="J88" s="7"/>
      <c r="L88" s="116"/>
      <c r="M88" s="116"/>
      <c r="N88" s="116"/>
    </row>
    <row r="89" spans="1:14" s="109" customFormat="1" ht="13.5" thickBot="1">
      <c r="A89" s="360">
        <v>9</v>
      </c>
      <c r="B89" s="1247" t="s">
        <v>382</v>
      </c>
      <c r="C89" s="1248"/>
      <c r="D89" s="1248"/>
      <c r="E89" s="1248"/>
      <c r="F89" s="1248"/>
      <c r="G89" s="1248"/>
      <c r="H89" s="1249"/>
      <c r="I89" s="361">
        <f>SUM(I85:I88)</f>
        <v>185234</v>
      </c>
      <c r="J89" s="410"/>
      <c r="L89" s="125"/>
      <c r="M89" s="125"/>
      <c r="N89" s="125"/>
    </row>
    <row r="90" spans="1:14" s="108" customFormat="1" ht="13.5">
      <c r="A90" s="114"/>
      <c r="B90" s="115"/>
      <c r="I90" s="110"/>
      <c r="L90" s="116"/>
      <c r="M90" s="116"/>
      <c r="N90" s="116"/>
    </row>
    <row r="91" spans="1:14" s="21" customFormat="1" ht="15.75" thickBot="1">
      <c r="A91" s="113" t="s">
        <v>1</v>
      </c>
      <c r="L91" s="116"/>
      <c r="M91" s="116"/>
      <c r="N91" s="116"/>
    </row>
    <row r="92" spans="1:10" ht="12.75">
      <c r="A92" s="139">
        <v>10</v>
      </c>
      <c r="B92" s="140" t="s">
        <v>380</v>
      </c>
      <c r="C92" s="140"/>
      <c r="D92" s="140"/>
      <c r="E92" s="140"/>
      <c r="F92" s="140"/>
      <c r="G92" s="140"/>
      <c r="H92" s="140"/>
      <c r="I92" s="141">
        <f>'pril1-CP'!J26</f>
        <v>128342</v>
      </c>
      <c r="J92" s="359"/>
    </row>
    <row r="93" spans="1:9" ht="13.5" thickBot="1">
      <c r="A93" s="16">
        <v>11</v>
      </c>
      <c r="B93" s="10" t="s">
        <v>381</v>
      </c>
      <c r="C93" s="10"/>
      <c r="D93" s="10"/>
      <c r="E93" s="10"/>
      <c r="F93" s="10"/>
      <c r="G93" s="10"/>
      <c r="H93" s="10"/>
      <c r="I93" s="12">
        <f>'pril1-CP'!J96</f>
        <v>16000</v>
      </c>
    </row>
    <row r="94" spans="1:14" s="413" customFormat="1" ht="12.75">
      <c r="A94" s="411">
        <v>12</v>
      </c>
      <c r="B94" s="1256" t="s">
        <v>383</v>
      </c>
      <c r="C94" s="1257"/>
      <c r="D94" s="1257"/>
      <c r="E94" s="1257"/>
      <c r="F94" s="1257"/>
      <c r="G94" s="1257"/>
      <c r="H94" s="1258"/>
      <c r="I94" s="412">
        <f>SUM(I92:I93)</f>
        <v>144342</v>
      </c>
      <c r="L94" s="414"/>
      <c r="M94" s="414"/>
      <c r="N94" s="414"/>
    </row>
    <row r="95" spans="1:9" ht="13.5" thickBot="1">
      <c r="A95" s="25">
        <v>13</v>
      </c>
      <c r="B95" s="363" t="s">
        <v>384</v>
      </c>
      <c r="C95" s="363"/>
      <c r="D95" s="363"/>
      <c r="E95" s="363"/>
      <c r="F95" s="363"/>
      <c r="G95" s="363"/>
      <c r="H95" s="363"/>
      <c r="I95" s="364">
        <f>'pril1-CP'!J114</f>
        <v>213701</v>
      </c>
    </row>
    <row r="96" spans="1:14" s="109" customFormat="1" ht="13.5" thickBot="1">
      <c r="A96" s="360">
        <v>14</v>
      </c>
      <c r="B96" s="1247" t="s">
        <v>3</v>
      </c>
      <c r="C96" s="1248"/>
      <c r="D96" s="1248"/>
      <c r="E96" s="1248"/>
      <c r="F96" s="1248"/>
      <c r="G96" s="1248"/>
      <c r="H96" s="1249"/>
      <c r="I96" s="361">
        <f>SUM(I94:I95)</f>
        <v>358043</v>
      </c>
      <c r="J96" s="365"/>
      <c r="L96" s="125"/>
      <c r="M96" s="125"/>
      <c r="N96" s="125"/>
    </row>
    <row r="97" spans="1:14" s="10" customFormat="1" ht="12.75">
      <c r="A97" s="19"/>
      <c r="I97" s="11"/>
      <c r="J97" s="11"/>
      <c r="L97" s="117"/>
      <c r="M97" s="117"/>
      <c r="N97" s="117"/>
    </row>
    <row r="98" spans="1:14" s="1156" customFormat="1" ht="15.75" thickBot="1">
      <c r="A98" s="1155" t="s">
        <v>479</v>
      </c>
      <c r="L98" s="1157"/>
      <c r="M98" s="1157"/>
      <c r="N98" s="1157"/>
    </row>
    <row r="99" spans="1:9" s="2" customFormat="1" ht="12.75" customHeight="1">
      <c r="A99" s="366">
        <v>15</v>
      </c>
      <c r="B99" s="405" t="s">
        <v>385</v>
      </c>
      <c r="C99" s="370"/>
      <c r="D99" s="370"/>
      <c r="E99" s="370"/>
      <c r="F99" s="370"/>
      <c r="G99" s="370"/>
      <c r="H99" s="400"/>
      <c r="I99" s="367">
        <f>F13</f>
        <v>1804816</v>
      </c>
    </row>
    <row r="100" spans="1:10" s="20" customFormat="1" ht="12.75" customHeight="1">
      <c r="A100" s="408">
        <v>16</v>
      </c>
      <c r="B100" s="406" t="s">
        <v>386</v>
      </c>
      <c r="C100" s="368"/>
      <c r="D100" s="368"/>
      <c r="E100" s="368"/>
      <c r="F100" s="368"/>
      <c r="G100" s="368"/>
      <c r="H100" s="401"/>
      <c r="I100" s="403">
        <f>I89+I96</f>
        <v>543277</v>
      </c>
      <c r="J100" s="465"/>
    </row>
    <row r="101" spans="1:9" s="20" customFormat="1" ht="12.75" customHeight="1" thickBot="1">
      <c r="A101" s="409">
        <v>17</v>
      </c>
      <c r="B101" s="407" t="s">
        <v>387</v>
      </c>
      <c r="C101" s="369"/>
      <c r="D101" s="369"/>
      <c r="E101" s="369"/>
      <c r="F101" s="369"/>
      <c r="G101" s="369"/>
      <c r="H101" s="402"/>
      <c r="I101" s="404">
        <f>I99-I100</f>
        <v>1261539</v>
      </c>
    </row>
    <row r="102" ht="13.5" customHeight="1"/>
    <row r="103" ht="12.75">
      <c r="I103" s="8"/>
    </row>
  </sheetData>
  <mergeCells count="5">
    <mergeCell ref="B96:H96"/>
    <mergeCell ref="C68:E68"/>
    <mergeCell ref="F68:H68"/>
    <mergeCell ref="B89:H89"/>
    <mergeCell ref="B94:H94"/>
  </mergeCells>
  <printOptions/>
  <pageMargins left="0.7" right="0.26" top="0.66" bottom="0.62" header="0.4921259845" footer="0.33"/>
  <pageSetup horizontalDpi="600" verticalDpi="600" orientation="landscape" paperSize="9" r:id="rId1"/>
  <headerFooter alignWithMargins="0">
    <oddFooter>&amp;C&amp;P</oddFooter>
  </headerFooter>
  <rowBreaks count="2" manualBreakCount="2">
    <brk id="33" max="255" man="1"/>
    <brk id="6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T178"/>
  <sheetViews>
    <sheetView workbookViewId="0" topLeftCell="A1">
      <selection activeCell="N34" sqref="N34"/>
    </sheetView>
  </sheetViews>
  <sheetFormatPr defaultColWidth="9.00390625" defaultRowHeight="12.75"/>
  <cols>
    <col min="1" max="1" width="9.00390625" style="472" customWidth="1"/>
    <col min="2" max="2" width="8.00390625" style="472" customWidth="1"/>
    <col min="3" max="3" width="7.375" style="472" customWidth="1"/>
    <col min="4" max="4" width="7.875" style="472" customWidth="1"/>
    <col min="5" max="5" width="8.625" style="472" customWidth="1"/>
    <col min="6" max="6" width="8.25390625" style="472" customWidth="1"/>
    <col min="7" max="7" width="8.375" style="472" customWidth="1"/>
    <col min="8" max="8" width="8.125" style="472" customWidth="1"/>
    <col min="9" max="9" width="9.00390625" style="472" customWidth="1"/>
    <col min="10" max="10" width="8.125" style="472" customWidth="1"/>
    <col min="11" max="11" width="9.00390625" style="472" customWidth="1"/>
    <col min="12" max="12" width="3.375" style="472" customWidth="1"/>
    <col min="13" max="13" width="8.875" style="472" customWidth="1"/>
    <col min="14" max="14" width="7.25390625" style="472" customWidth="1"/>
    <col min="15" max="15" width="8.75390625" style="472" customWidth="1"/>
    <col min="16" max="16" width="2.625" style="472" customWidth="1"/>
    <col min="17" max="17" width="6.375" style="472" customWidth="1"/>
    <col min="18" max="18" width="6.25390625" style="472" customWidth="1"/>
    <col min="19" max="19" width="7.125" style="472" customWidth="1"/>
    <col min="20" max="20" width="7.875" style="472" customWidth="1"/>
    <col min="21" max="21" width="6.875" style="472" bestFit="1" customWidth="1"/>
    <col min="22" max="22" width="7.875" style="472" bestFit="1" customWidth="1"/>
    <col min="23" max="23" width="2.25390625" style="472" customWidth="1"/>
    <col min="24" max="24" width="8.00390625" style="472" hidden="1" customWidth="1"/>
    <col min="25" max="25" width="7.375" style="472" hidden="1" customWidth="1"/>
    <col min="26" max="27" width="6.875" style="472" hidden="1" customWidth="1"/>
    <col min="28" max="28" width="7.25390625" style="472" hidden="1" customWidth="1"/>
    <col min="29" max="29" width="8.00390625" style="472" hidden="1" customWidth="1"/>
    <col min="30" max="30" width="8.125" style="472" hidden="1" customWidth="1"/>
    <col min="31" max="31" width="6.875" style="472" hidden="1" customWidth="1"/>
    <col min="32" max="32" width="7.875" style="472" hidden="1" customWidth="1"/>
    <col min="33" max="33" width="7.375" style="472" hidden="1" customWidth="1"/>
    <col min="34" max="34" width="8.00390625" style="472" hidden="1" customWidth="1"/>
    <col min="35" max="35" width="8.125" style="472" hidden="1" customWidth="1"/>
    <col min="36" max="36" width="8.375" style="472" hidden="1" customWidth="1"/>
    <col min="37" max="37" width="8.25390625" style="472" hidden="1" customWidth="1"/>
    <col min="38" max="38" width="8.00390625" style="472" hidden="1" customWidth="1"/>
    <col min="39" max="39" width="8.375" style="472" hidden="1" customWidth="1"/>
    <col min="40" max="40" width="7.125" style="472" hidden="1" customWidth="1"/>
    <col min="41" max="41" width="8.125" style="472" hidden="1" customWidth="1"/>
    <col min="42" max="42" width="7.75390625" style="472" hidden="1" customWidth="1"/>
    <col min="43" max="43" width="7.125" style="472" hidden="1" customWidth="1"/>
    <col min="44" max="44" width="7.875" style="472" hidden="1" customWidth="1"/>
    <col min="45" max="45" width="7.75390625" style="472" hidden="1" customWidth="1"/>
    <col min="46" max="46" width="5.125" style="472" hidden="1" customWidth="1"/>
    <col min="47" max="16384" width="9.125" style="472" customWidth="1"/>
  </cols>
  <sheetData>
    <row r="1" spans="1:10" s="469" customFormat="1" ht="15.75">
      <c r="A1" s="174" t="s">
        <v>388</v>
      </c>
      <c r="F1" s="470"/>
      <c r="G1" s="470"/>
      <c r="H1" s="470"/>
      <c r="I1" s="470"/>
      <c r="J1" s="471"/>
    </row>
    <row r="2" spans="1:10" s="469" customFormat="1" ht="15.75">
      <c r="A2" s="174"/>
      <c r="F2" s="470"/>
      <c r="G2" s="470"/>
      <c r="H2" s="470"/>
      <c r="I2" s="470"/>
      <c r="J2" s="471"/>
    </row>
    <row r="3" spans="34:37" ht="12" thickBot="1">
      <c r="AH3" s="1028" t="s">
        <v>398</v>
      </c>
      <c r="AK3" s="1028" t="s">
        <v>399</v>
      </c>
    </row>
    <row r="4" spans="4:5" ht="12" hidden="1" thickBot="1">
      <c r="D4" s="473">
        <v>1</v>
      </c>
      <c r="E4" s="474">
        <v>1</v>
      </c>
    </row>
    <row r="5" spans="1:46" s="477" customFormat="1" ht="12" customHeight="1">
      <c r="A5" s="1020"/>
      <c r="B5" s="1021"/>
      <c r="C5" s="1021" t="s">
        <v>39</v>
      </c>
      <c r="D5" s="1077"/>
      <c r="E5" s="1021" t="s">
        <v>145</v>
      </c>
      <c r="F5" s="1021" t="s">
        <v>145</v>
      </c>
      <c r="G5" s="1021" t="s">
        <v>40</v>
      </c>
      <c r="H5" s="1021" t="s">
        <v>40</v>
      </c>
      <c r="I5" s="1021" t="s">
        <v>41</v>
      </c>
      <c r="J5" s="1021" t="s">
        <v>41</v>
      </c>
      <c r="K5" s="1022" t="s">
        <v>41</v>
      </c>
      <c r="L5" s="476"/>
      <c r="M5" s="1080"/>
      <c r="N5" s="475"/>
      <c r="O5" s="1088"/>
      <c r="Q5" s="1042" t="s">
        <v>176</v>
      </c>
      <c r="R5" s="1038" t="s">
        <v>177</v>
      </c>
      <c r="S5" s="1038" t="s">
        <v>178</v>
      </c>
      <c r="T5" s="1238" t="s">
        <v>165</v>
      </c>
      <c r="U5" s="1238" t="s">
        <v>226</v>
      </c>
      <c r="V5" s="1072" t="s">
        <v>151</v>
      </c>
      <c r="X5" s="1042" t="s">
        <v>205</v>
      </c>
      <c r="Y5" s="1038" t="s">
        <v>207</v>
      </c>
      <c r="Z5" s="1038" t="s">
        <v>205</v>
      </c>
      <c r="AA5" s="1038" t="s">
        <v>209</v>
      </c>
      <c r="AB5" s="1038" t="s">
        <v>211</v>
      </c>
      <c r="AC5" s="1038" t="s">
        <v>205</v>
      </c>
      <c r="AD5" s="1038" t="s">
        <v>207</v>
      </c>
      <c r="AE5" s="1038" t="s">
        <v>205</v>
      </c>
      <c r="AF5" s="1038" t="s">
        <v>210</v>
      </c>
      <c r="AG5" s="1038" t="s">
        <v>211</v>
      </c>
      <c r="AH5" s="1038" t="s">
        <v>162</v>
      </c>
      <c r="AI5" s="1038" t="s">
        <v>210</v>
      </c>
      <c r="AJ5" s="1038" t="s">
        <v>211</v>
      </c>
      <c r="AK5" s="1038" t="s">
        <v>225</v>
      </c>
      <c r="AL5" s="1038" t="s">
        <v>210</v>
      </c>
      <c r="AM5" s="1038" t="s">
        <v>211</v>
      </c>
      <c r="AN5" s="1038" t="s">
        <v>205</v>
      </c>
      <c r="AO5" s="1038" t="s">
        <v>210</v>
      </c>
      <c r="AP5" s="1038" t="s">
        <v>211</v>
      </c>
      <c r="AQ5" s="1038" t="s">
        <v>205</v>
      </c>
      <c r="AR5" s="1038" t="s">
        <v>210</v>
      </c>
      <c r="AS5" s="1039" t="s">
        <v>211</v>
      </c>
      <c r="AT5" s="1259" t="s">
        <v>400</v>
      </c>
    </row>
    <row r="6" spans="1:46" s="477" customFormat="1" ht="12" customHeight="1">
      <c r="A6" s="981" t="s">
        <v>11</v>
      </c>
      <c r="B6" s="996" t="s">
        <v>42</v>
      </c>
      <c r="C6" s="996" t="s">
        <v>42</v>
      </c>
      <c r="D6" s="1079" t="s">
        <v>43</v>
      </c>
      <c r="E6" s="996" t="s">
        <v>389</v>
      </c>
      <c r="F6" s="996" t="s">
        <v>165</v>
      </c>
      <c r="G6" s="996" t="s">
        <v>160</v>
      </c>
      <c r="H6" s="996" t="s">
        <v>146</v>
      </c>
      <c r="I6" s="996" t="s">
        <v>44</v>
      </c>
      <c r="J6" s="996" t="s">
        <v>138</v>
      </c>
      <c r="K6" s="998" t="s">
        <v>22</v>
      </c>
      <c r="L6" s="476"/>
      <c r="M6" s="1081"/>
      <c r="N6" s="478">
        <v>2006</v>
      </c>
      <c r="O6" s="1089">
        <v>2007</v>
      </c>
      <c r="Q6" s="1045" t="s">
        <v>145</v>
      </c>
      <c r="R6" s="1004" t="s">
        <v>165</v>
      </c>
      <c r="S6" s="1004" t="s">
        <v>153</v>
      </c>
      <c r="T6" s="1005" t="s">
        <v>52</v>
      </c>
      <c r="U6" s="1005"/>
      <c r="V6" s="1006" t="s">
        <v>167</v>
      </c>
      <c r="X6" s="1045" t="s">
        <v>208</v>
      </c>
      <c r="Y6" s="1004" t="s">
        <v>206</v>
      </c>
      <c r="Z6" s="1004" t="s">
        <v>22</v>
      </c>
      <c r="AA6" s="1004" t="s">
        <v>22</v>
      </c>
      <c r="AB6" s="1004" t="s">
        <v>22</v>
      </c>
      <c r="AC6" s="1004" t="s">
        <v>208</v>
      </c>
      <c r="AD6" s="1004" t="s">
        <v>206</v>
      </c>
      <c r="AE6" s="1004" t="s">
        <v>22</v>
      </c>
      <c r="AF6" s="1004" t="s">
        <v>22</v>
      </c>
      <c r="AG6" s="1004" t="s">
        <v>22</v>
      </c>
      <c r="AH6" s="1004" t="s">
        <v>22</v>
      </c>
      <c r="AI6" s="1004" t="s">
        <v>22</v>
      </c>
      <c r="AJ6" s="1004" t="s">
        <v>22</v>
      </c>
      <c r="AK6" s="1004" t="s">
        <v>22</v>
      </c>
      <c r="AL6" s="1004" t="s">
        <v>22</v>
      </c>
      <c r="AM6" s="1004" t="s">
        <v>22</v>
      </c>
      <c r="AN6" s="1004" t="s">
        <v>22</v>
      </c>
      <c r="AO6" s="1004" t="s">
        <v>22</v>
      </c>
      <c r="AP6" s="1004" t="s">
        <v>22</v>
      </c>
      <c r="AQ6" s="1004" t="s">
        <v>22</v>
      </c>
      <c r="AR6" s="1004" t="s">
        <v>22</v>
      </c>
      <c r="AS6" s="1041" t="s">
        <v>22</v>
      </c>
      <c r="AT6" s="1260"/>
    </row>
    <row r="7" spans="1:45" s="477" customFormat="1" ht="12" customHeight="1" thickBot="1">
      <c r="A7" s="1060"/>
      <c r="B7" s="997" t="s">
        <v>46</v>
      </c>
      <c r="C7" s="997" t="s">
        <v>47</v>
      </c>
      <c r="D7" s="997"/>
      <c r="E7" s="997">
        <v>2007</v>
      </c>
      <c r="F7" s="997">
        <v>2007</v>
      </c>
      <c r="G7" s="997" t="s">
        <v>21</v>
      </c>
      <c r="H7" s="997" t="s">
        <v>147</v>
      </c>
      <c r="I7" s="997" t="s">
        <v>48</v>
      </c>
      <c r="J7" s="997" t="s">
        <v>49</v>
      </c>
      <c r="K7" s="1078"/>
      <c r="L7" s="479"/>
      <c r="M7" s="1082"/>
      <c r="N7" s="1095"/>
      <c r="O7" s="1090"/>
      <c r="Q7" s="1239" t="s">
        <v>22</v>
      </c>
      <c r="R7" s="1007" t="s">
        <v>145</v>
      </c>
      <c r="S7" s="1044">
        <v>233330</v>
      </c>
      <c r="T7" s="1240" t="s">
        <v>179</v>
      </c>
      <c r="U7" s="1240"/>
      <c r="V7" s="1050" t="s">
        <v>488</v>
      </c>
      <c r="X7" s="1043">
        <v>2002</v>
      </c>
      <c r="Y7" s="1007">
        <v>2002</v>
      </c>
      <c r="Z7" s="1007">
        <v>2002</v>
      </c>
      <c r="AA7" s="1007">
        <v>2002</v>
      </c>
      <c r="AB7" s="1007">
        <v>2002</v>
      </c>
      <c r="AC7" s="1044">
        <v>2003</v>
      </c>
      <c r="AD7" s="1007">
        <v>2003</v>
      </c>
      <c r="AE7" s="1007">
        <v>2003</v>
      </c>
      <c r="AF7" s="1007">
        <v>2003</v>
      </c>
      <c r="AG7" s="1007">
        <v>2003</v>
      </c>
      <c r="AH7" s="1007">
        <v>2004</v>
      </c>
      <c r="AI7" s="1007">
        <v>2004</v>
      </c>
      <c r="AJ7" s="1007">
        <v>2004</v>
      </c>
      <c r="AK7" s="1007">
        <v>2005</v>
      </c>
      <c r="AL7" s="1007">
        <v>2005</v>
      </c>
      <c r="AM7" s="1007">
        <v>2005</v>
      </c>
      <c r="AN7" s="1007">
        <v>2006</v>
      </c>
      <c r="AO7" s="1007">
        <v>2006</v>
      </c>
      <c r="AP7" s="1007">
        <v>2006</v>
      </c>
      <c r="AQ7" s="1007">
        <v>2007</v>
      </c>
      <c r="AR7" s="1007">
        <v>2007</v>
      </c>
      <c r="AS7" s="1040">
        <v>2007</v>
      </c>
    </row>
    <row r="8" spans="1:46" ht="12.75" customHeight="1">
      <c r="A8" s="981" t="s">
        <v>12</v>
      </c>
      <c r="B8" s="982">
        <v>3912</v>
      </c>
      <c r="C8" s="983">
        <v>536.84</v>
      </c>
      <c r="D8" s="982">
        <v>28537</v>
      </c>
      <c r="E8" s="982">
        <f>'příl.4-odhad odpisu07'!X6</f>
        <v>31540</v>
      </c>
      <c r="F8" s="982">
        <f>'příl.4-odhad odpisu07'!Z6</f>
        <v>11563</v>
      </c>
      <c r="G8" s="1056">
        <v>18.538705402385467</v>
      </c>
      <c r="H8" s="1056">
        <v>21.722211891430263</v>
      </c>
      <c r="I8" s="980">
        <v>346588.77104856103</v>
      </c>
      <c r="J8" s="980">
        <v>27207.201390091745</v>
      </c>
      <c r="K8" s="1057">
        <v>373795.97243865277</v>
      </c>
      <c r="L8" s="482"/>
      <c r="M8" s="1083" t="s">
        <v>489</v>
      </c>
      <c r="N8" s="480">
        <f>'pril1-CP'!H26-'pril1-CP'!H96</f>
        <v>100013</v>
      </c>
      <c r="O8" s="1034">
        <f>'pril1-CP'!J26-O13</f>
        <v>112342</v>
      </c>
      <c r="Q8" s="1023">
        <f>K8/$K$17*$Q$17</f>
        <v>20503.919109441962</v>
      </c>
      <c r="R8" s="982">
        <f>K8/$K$17*$R$17</f>
        <v>8522.174378942605</v>
      </c>
      <c r="S8" s="982">
        <f>K8/$K$17*$S$17</f>
        <v>4801.023726019941</v>
      </c>
      <c r="T8" s="982">
        <f>K8/$K$17*$T$17</f>
        <v>4536.750990831578</v>
      </c>
      <c r="U8" s="982">
        <f>ROUND(SUM(Q8:T8),0)</f>
        <v>38364</v>
      </c>
      <c r="V8" s="1034">
        <f>K8-U8</f>
        <v>335431.97243865277</v>
      </c>
      <c r="X8" s="489">
        <v>30466.138868032474</v>
      </c>
      <c r="Y8" s="480">
        <v>25993.488893479596</v>
      </c>
      <c r="Z8" s="480">
        <f>X8+Y8</f>
        <v>56459.62776151207</v>
      </c>
      <c r="AA8" s="480">
        <v>182416.06541417688</v>
      </c>
      <c r="AB8" s="480">
        <f>AA8-Z8</f>
        <v>125956.43765266481</v>
      </c>
      <c r="AC8" s="480">
        <v>33752.226374240934</v>
      </c>
      <c r="AD8" s="480">
        <v>29843.98504703223</v>
      </c>
      <c r="AE8" s="480">
        <f>AC8+AD8</f>
        <v>63596.21142127317</v>
      </c>
      <c r="AF8" s="480">
        <v>210434.50101597793</v>
      </c>
      <c r="AG8" s="1008">
        <f>AF8-AE8</f>
        <v>146838.28959470475</v>
      </c>
      <c r="AH8" s="480">
        <v>49017.62782983937</v>
      </c>
      <c r="AI8" s="480">
        <v>260502.95018376264</v>
      </c>
      <c r="AJ8" s="1008">
        <v>193123</v>
      </c>
      <c r="AK8" s="480">
        <v>86995</v>
      </c>
      <c r="AL8" s="480">
        <v>297360</v>
      </c>
      <c r="AM8" s="1008">
        <v>210365</v>
      </c>
      <c r="AN8" s="480">
        <v>92351</v>
      </c>
      <c r="AO8" s="480">
        <v>332457</v>
      </c>
      <c r="AP8" s="1008">
        <v>240106</v>
      </c>
      <c r="AQ8" s="480">
        <v>102640.2694378575</v>
      </c>
      <c r="AR8" s="480">
        <v>373795.97243865277</v>
      </c>
      <c r="AS8" s="1036">
        <v>271155.70300079527</v>
      </c>
      <c r="AT8" s="1029">
        <f>AS8/AP8</f>
        <v>1.1293166476506014</v>
      </c>
    </row>
    <row r="9" spans="1:46" ht="12.75" customHeight="1">
      <c r="A9" s="993" t="s">
        <v>13</v>
      </c>
      <c r="B9" s="994">
        <v>8196</v>
      </c>
      <c r="C9" s="1058">
        <v>360.69</v>
      </c>
      <c r="D9" s="994">
        <v>21479</v>
      </c>
      <c r="E9" s="994">
        <f>'příl.4-odhad odpisu07'!X7</f>
        <v>7706</v>
      </c>
      <c r="F9" s="994">
        <f>'příl.4-odhad odpisu07'!Z7</f>
        <v>2444</v>
      </c>
      <c r="G9" s="1059">
        <v>13.953563911337474</v>
      </c>
      <c r="H9" s="1059">
        <v>5.3072721888193275</v>
      </c>
      <c r="I9" s="994">
        <v>299012.02790688945</v>
      </c>
      <c r="J9" s="994">
        <v>13192.1195429388</v>
      </c>
      <c r="K9" s="995">
        <v>312204.1474498282</v>
      </c>
      <c r="L9" s="482"/>
      <c r="M9" s="1084" t="s">
        <v>168</v>
      </c>
      <c r="N9" s="485">
        <v>38176</v>
      </c>
      <c r="O9" s="1033">
        <f>F17</f>
        <v>41148</v>
      </c>
      <c r="Q9" s="1019">
        <f aca="true" t="shared" si="0" ref="Q9:Q16">K9/$K$17*$Q$17</f>
        <v>17125.40812888016</v>
      </c>
      <c r="R9" s="994">
        <f aca="true" t="shared" si="1" ref="R9:R16">K9/$K$17*$R$17</f>
        <v>7117.942360476372</v>
      </c>
      <c r="S9" s="994">
        <f aca="true" t="shared" si="2" ref="S9:S16">K9/$K$17*$S$17</f>
        <v>4009.940260965364</v>
      </c>
      <c r="T9" s="994">
        <f aca="true" t="shared" si="3" ref="T9:T16">K9/$K$17*$T$17</f>
        <v>3789.212778415353</v>
      </c>
      <c r="U9" s="994">
        <f aca="true" t="shared" si="4" ref="U9:U16">ROUND(SUM(Q9:T9),0)</f>
        <v>32043</v>
      </c>
      <c r="V9" s="1033">
        <f aca="true" t="shared" si="5" ref="V9:V16">K9-U9</f>
        <v>280161.1474498282</v>
      </c>
      <c r="X9" s="487">
        <v>24384.466507721078</v>
      </c>
      <c r="Y9" s="485">
        <v>13971.768310068723</v>
      </c>
      <c r="Z9" s="485">
        <f aca="true" t="shared" si="6" ref="Z9:Z16">X9+Y9</f>
        <v>38356.2348177898</v>
      </c>
      <c r="AA9" s="485">
        <v>115546.304323639</v>
      </c>
      <c r="AB9" s="485">
        <f aca="true" t="shared" si="7" ref="AB9:AB17">AA9-Z9</f>
        <v>77190.06950584918</v>
      </c>
      <c r="AC9" s="485">
        <v>28642.953232499814</v>
      </c>
      <c r="AD9" s="485">
        <v>20667.2700275198</v>
      </c>
      <c r="AE9" s="485">
        <f aca="true" t="shared" si="8" ref="AE9:AE16">AC9+AD9</f>
        <v>49310.223260019615</v>
      </c>
      <c r="AF9" s="485">
        <v>146623.95218527017</v>
      </c>
      <c r="AG9" s="485">
        <f aca="true" t="shared" si="9" ref="AG9:AG17">AF9-AE9</f>
        <v>97313.72892525056</v>
      </c>
      <c r="AH9" s="485">
        <v>39429.65042101713</v>
      </c>
      <c r="AI9" s="485">
        <v>202433.91341668885</v>
      </c>
      <c r="AJ9" s="485">
        <v>148735.646197214</v>
      </c>
      <c r="AK9" s="485">
        <v>67705</v>
      </c>
      <c r="AL9" s="485">
        <v>233462</v>
      </c>
      <c r="AM9" s="485">
        <v>165757</v>
      </c>
      <c r="AN9" s="485">
        <v>79160</v>
      </c>
      <c r="AO9" s="485">
        <v>282980</v>
      </c>
      <c r="AP9" s="485">
        <v>203820</v>
      </c>
      <c r="AQ9" s="485">
        <v>88560.43977126572</v>
      </c>
      <c r="AR9" s="485">
        <v>312204.1474498282</v>
      </c>
      <c r="AS9" s="1033">
        <v>223643.7076785625</v>
      </c>
      <c r="AT9" s="1029">
        <f aca="true" t="shared" si="10" ref="AT9:AT17">AS9/AP9</f>
        <v>1.0972608560424026</v>
      </c>
    </row>
    <row r="10" spans="1:46" ht="12.75" customHeight="1">
      <c r="A10" s="993" t="s">
        <v>14</v>
      </c>
      <c r="B10" s="994">
        <v>3565</v>
      </c>
      <c r="C10" s="1058">
        <v>130.128</v>
      </c>
      <c r="D10" s="994">
        <v>12590</v>
      </c>
      <c r="E10" s="994">
        <f>'příl.4-odhad odpisu07'!X8</f>
        <v>2554</v>
      </c>
      <c r="F10" s="994">
        <f>'příl.4-odhad odpisu07'!Z8</f>
        <v>1271</v>
      </c>
      <c r="G10" s="1059">
        <v>8.178936153626276</v>
      </c>
      <c r="H10" s="1059">
        <v>1.7589895108025648</v>
      </c>
      <c r="I10" s="994">
        <v>118505.85868100752</v>
      </c>
      <c r="J10" s="994">
        <v>2089.4648014912646</v>
      </c>
      <c r="K10" s="995">
        <v>120595.32348249879</v>
      </c>
      <c r="L10" s="482"/>
      <c r="M10" s="1084" t="s">
        <v>169</v>
      </c>
      <c r="N10" s="485">
        <v>99000</v>
      </c>
      <c r="O10" s="1033">
        <f>'pril1-CP'!J6</f>
        <v>99000</v>
      </c>
      <c r="Q10" s="1019">
        <f t="shared" si="0"/>
        <v>6615.043874149705</v>
      </c>
      <c r="R10" s="994">
        <f t="shared" si="1"/>
        <v>2749.4527811465864</v>
      </c>
      <c r="S10" s="994">
        <f t="shared" si="2"/>
        <v>1548.9225459259019</v>
      </c>
      <c r="T10" s="994">
        <f t="shared" si="3"/>
        <v>1463.6619804368613</v>
      </c>
      <c r="U10" s="994">
        <f t="shared" si="4"/>
        <v>12377</v>
      </c>
      <c r="V10" s="1033">
        <f t="shared" si="5"/>
        <v>108218.32348249879</v>
      </c>
      <c r="X10" s="487">
        <v>16620.13216399868</v>
      </c>
      <c r="Y10" s="485">
        <v>11254.824496329738</v>
      </c>
      <c r="Z10" s="485">
        <f t="shared" si="6"/>
        <v>27874.95666032842</v>
      </c>
      <c r="AA10" s="485">
        <v>66471.25428881726</v>
      </c>
      <c r="AB10" s="485">
        <f t="shared" si="7"/>
        <v>38596.29762848884</v>
      </c>
      <c r="AC10" s="485">
        <v>18215.695394173552</v>
      </c>
      <c r="AD10" s="485">
        <v>15672.63979551748</v>
      </c>
      <c r="AE10" s="485">
        <f t="shared" si="8"/>
        <v>33888.33518969103</v>
      </c>
      <c r="AF10" s="485">
        <v>77249.99712111002</v>
      </c>
      <c r="AG10" s="485">
        <f t="shared" si="9"/>
        <v>43361.66193141899</v>
      </c>
      <c r="AH10" s="485">
        <v>25670.531407292696</v>
      </c>
      <c r="AI10" s="485">
        <v>94599.74642888148</v>
      </c>
      <c r="AJ10" s="485">
        <v>62261.322729023435</v>
      </c>
      <c r="AK10" s="485">
        <v>34429</v>
      </c>
      <c r="AL10" s="485">
        <v>105262</v>
      </c>
      <c r="AM10" s="485">
        <v>70833</v>
      </c>
      <c r="AN10" s="485">
        <v>36740</v>
      </c>
      <c r="AO10" s="485">
        <v>120537</v>
      </c>
      <c r="AP10" s="485">
        <v>83797</v>
      </c>
      <c r="AQ10" s="485">
        <v>38501.38875440208</v>
      </c>
      <c r="AR10" s="485">
        <v>120595.32348249879</v>
      </c>
      <c r="AS10" s="1033">
        <v>82093.9347280967</v>
      </c>
      <c r="AT10" s="1029">
        <f t="shared" si="10"/>
        <v>0.9796762978161117</v>
      </c>
    </row>
    <row r="11" spans="1:46" ht="12.75" customHeight="1">
      <c r="A11" s="993" t="s">
        <v>15</v>
      </c>
      <c r="B11" s="994">
        <v>3774</v>
      </c>
      <c r="C11" s="1058">
        <v>186.044</v>
      </c>
      <c r="D11" s="994">
        <v>13180</v>
      </c>
      <c r="E11" s="994">
        <f>'příl.4-odhad odpisu07'!X9</f>
        <v>7419</v>
      </c>
      <c r="F11" s="994">
        <f>'příl.4-odhad odpisu07'!Z9</f>
        <v>1770</v>
      </c>
      <c r="G11" s="1059">
        <v>8.562222279967777</v>
      </c>
      <c r="H11" s="1059">
        <v>5.1096097026798075</v>
      </c>
      <c r="I11" s="994">
        <v>130266.02652732751</v>
      </c>
      <c r="J11" s="994">
        <v>9668.929776740579</v>
      </c>
      <c r="K11" s="995">
        <v>139934.9563040681</v>
      </c>
      <c r="L11" s="482"/>
      <c r="M11" s="1084" t="s">
        <v>170</v>
      </c>
      <c r="N11" s="485">
        <v>22520</v>
      </c>
      <c r="O11" s="1033">
        <f>'pril1-CP'!J10</f>
        <v>21905</v>
      </c>
      <c r="Q11" s="1019">
        <f t="shared" si="0"/>
        <v>7675.885339061008</v>
      </c>
      <c r="R11" s="994">
        <f t="shared" si="1"/>
        <v>3190.377070016994</v>
      </c>
      <c r="S11" s="994">
        <f t="shared" si="2"/>
        <v>1797.3201822704368</v>
      </c>
      <c r="T11" s="994">
        <f t="shared" si="3"/>
        <v>1698.3865490114283</v>
      </c>
      <c r="U11" s="994">
        <f t="shared" si="4"/>
        <v>14362</v>
      </c>
      <c r="V11" s="1033">
        <f t="shared" si="5"/>
        <v>125572.9563040681</v>
      </c>
      <c r="X11" s="487">
        <v>8920.814511917933</v>
      </c>
      <c r="Y11" s="485">
        <v>4806.820542686555</v>
      </c>
      <c r="Z11" s="485">
        <f t="shared" si="6"/>
        <v>13727.635054604489</v>
      </c>
      <c r="AA11" s="485">
        <v>55775.41107024762</v>
      </c>
      <c r="AB11" s="485">
        <f t="shared" si="7"/>
        <v>42047.77601564313</v>
      </c>
      <c r="AC11" s="485">
        <v>10580.122370113882</v>
      </c>
      <c r="AD11" s="485">
        <v>6806.154245980332</v>
      </c>
      <c r="AE11" s="485">
        <f t="shared" si="8"/>
        <v>17386.276616094216</v>
      </c>
      <c r="AF11" s="485">
        <v>56507.99155334817</v>
      </c>
      <c r="AG11" s="485">
        <f t="shared" si="9"/>
        <v>39121.71493725396</v>
      </c>
      <c r="AH11" s="485">
        <v>13614.929431360433</v>
      </c>
      <c r="AI11" s="485">
        <v>72886.95670118563</v>
      </c>
      <c r="AJ11" s="485">
        <v>54134.567655366845</v>
      </c>
      <c r="AK11" s="485">
        <v>28191</v>
      </c>
      <c r="AL11" s="485">
        <v>96439</v>
      </c>
      <c r="AM11" s="485">
        <v>68248</v>
      </c>
      <c r="AN11" s="485">
        <v>40271</v>
      </c>
      <c r="AO11" s="485">
        <v>123564</v>
      </c>
      <c r="AP11" s="485">
        <v>83293</v>
      </c>
      <c r="AQ11" s="485">
        <v>44561.72014726233</v>
      </c>
      <c r="AR11" s="485">
        <v>139934.9563040681</v>
      </c>
      <c r="AS11" s="1033">
        <v>95373.23615680577</v>
      </c>
      <c r="AT11" s="1029">
        <f t="shared" si="10"/>
        <v>1.1450330298681253</v>
      </c>
    </row>
    <row r="12" spans="1:46" ht="12.75" customHeight="1">
      <c r="A12" s="993" t="s">
        <v>16</v>
      </c>
      <c r="B12" s="994">
        <v>3494</v>
      </c>
      <c r="C12" s="1058">
        <v>670.69</v>
      </c>
      <c r="D12" s="994">
        <v>35871</v>
      </c>
      <c r="E12" s="994">
        <f>'příl.4-odhad odpisu07'!X10</f>
        <v>68585</v>
      </c>
      <c r="F12" s="994">
        <f>'příl.4-odhad odpisu07'!Z10</f>
        <v>17707</v>
      </c>
      <c r="G12" s="1059">
        <v>23.303146844061015</v>
      </c>
      <c r="H12" s="1059">
        <v>47.23582443163426</v>
      </c>
      <c r="I12" s="994">
        <v>257386.80444941134</v>
      </c>
      <c r="J12" s="994">
        <v>51472.285456678364</v>
      </c>
      <c r="K12" s="995">
        <v>308859.0899060897</v>
      </c>
      <c r="L12" s="482"/>
      <c r="M12" s="1084" t="s">
        <v>171</v>
      </c>
      <c r="N12" s="485">
        <v>9637</v>
      </c>
      <c r="O12" s="1033">
        <f>'pril1-CP'!J22</f>
        <v>23181</v>
      </c>
      <c r="Q12" s="1019">
        <f t="shared" si="0"/>
        <v>16941.920894264495</v>
      </c>
      <c r="R12" s="994">
        <f t="shared" si="1"/>
        <v>7041.678393507024</v>
      </c>
      <c r="S12" s="994">
        <f t="shared" si="2"/>
        <v>3966.9764469691436</v>
      </c>
      <c r="T12" s="994">
        <f t="shared" si="3"/>
        <v>3748.6139109986234</v>
      </c>
      <c r="U12" s="994">
        <f t="shared" si="4"/>
        <v>31699</v>
      </c>
      <c r="V12" s="1033">
        <f t="shared" si="5"/>
        <v>277160.0899060897</v>
      </c>
      <c r="X12" s="487">
        <v>30124.11003790563</v>
      </c>
      <c r="Y12" s="485">
        <v>41104.42494919906</v>
      </c>
      <c r="Z12" s="485">
        <f t="shared" si="6"/>
        <v>71228.5349871047</v>
      </c>
      <c r="AA12" s="485">
        <v>219282.83560015395</v>
      </c>
      <c r="AB12" s="485">
        <f t="shared" si="7"/>
        <v>148054.30061304924</v>
      </c>
      <c r="AC12" s="485">
        <v>34814.67684000304</v>
      </c>
      <c r="AD12" s="485">
        <v>33908.17785771076</v>
      </c>
      <c r="AE12" s="485">
        <f t="shared" si="8"/>
        <v>68722.8546977138</v>
      </c>
      <c r="AF12" s="485">
        <v>230417.99504949283</v>
      </c>
      <c r="AG12" s="485">
        <f t="shared" si="9"/>
        <v>161695.14035177903</v>
      </c>
      <c r="AH12" s="485">
        <v>57223.98915803962</v>
      </c>
      <c r="AI12" s="485">
        <v>246618.74843878503</v>
      </c>
      <c r="AJ12" s="485">
        <v>172011.76076337264</v>
      </c>
      <c r="AK12" s="485">
        <v>83198</v>
      </c>
      <c r="AL12" s="485">
        <v>258544</v>
      </c>
      <c r="AM12" s="485">
        <v>175346</v>
      </c>
      <c r="AN12" s="485">
        <v>102801</v>
      </c>
      <c r="AO12" s="485">
        <v>299885</v>
      </c>
      <c r="AP12" s="485">
        <v>197084</v>
      </c>
      <c r="AQ12" s="485">
        <v>109406.97181662064</v>
      </c>
      <c r="AR12" s="485">
        <v>308859.0899060897</v>
      </c>
      <c r="AS12" s="1033">
        <v>199452.11808946906</v>
      </c>
      <c r="AT12" s="1029">
        <f t="shared" si="10"/>
        <v>1.0120157805274352</v>
      </c>
    </row>
    <row r="13" spans="1:46" ht="12.75" customHeight="1">
      <c r="A13" s="993" t="s">
        <v>17</v>
      </c>
      <c r="B13" s="994">
        <v>1960</v>
      </c>
      <c r="C13" s="1058">
        <v>127.41</v>
      </c>
      <c r="D13" s="994">
        <v>8863</v>
      </c>
      <c r="E13" s="994">
        <f>'příl.4-odhad odpisu07'!X11</f>
        <v>12321</v>
      </c>
      <c r="F13" s="994">
        <f>'příl.4-odhad odpisu07'!Z11</f>
        <v>2087</v>
      </c>
      <c r="G13" s="1059">
        <v>5.75773718265208</v>
      </c>
      <c r="H13" s="1059">
        <v>8.48571251472138</v>
      </c>
      <c r="I13" s="994">
        <v>106294.90124825273</v>
      </c>
      <c r="J13" s="994">
        <v>7043.513177468563</v>
      </c>
      <c r="K13" s="995">
        <v>113338.41442572129</v>
      </c>
      <c r="L13" s="482"/>
      <c r="M13" s="1084" t="s">
        <v>172</v>
      </c>
      <c r="N13" s="485">
        <v>15700</v>
      </c>
      <c r="O13" s="1033">
        <f>'pril1-CP'!J58</f>
        <v>16000</v>
      </c>
      <c r="Q13" s="1019">
        <f t="shared" si="0"/>
        <v>6216.978920924018</v>
      </c>
      <c r="R13" s="994">
        <f t="shared" si="1"/>
        <v>2584.0025114967825</v>
      </c>
      <c r="S13" s="994">
        <f t="shared" si="2"/>
        <v>1455.7150339993905</v>
      </c>
      <c r="T13" s="994">
        <f t="shared" si="3"/>
        <v>1375.5850834630364</v>
      </c>
      <c r="U13" s="994">
        <f t="shared" si="4"/>
        <v>11632</v>
      </c>
      <c r="V13" s="1033">
        <f t="shared" si="5"/>
        <v>101706.41442572129</v>
      </c>
      <c r="X13" s="487">
        <v>10398.097679203709</v>
      </c>
      <c r="Y13" s="485">
        <v>12418.427781475253</v>
      </c>
      <c r="Z13" s="485">
        <f t="shared" si="6"/>
        <v>22816.52546067896</v>
      </c>
      <c r="AA13" s="485">
        <v>62247.372315865934</v>
      </c>
      <c r="AB13" s="485">
        <f t="shared" si="7"/>
        <v>39430.846855186974</v>
      </c>
      <c r="AC13" s="485">
        <v>11785.076922076427</v>
      </c>
      <c r="AD13" s="485">
        <v>10852.261415793084</v>
      </c>
      <c r="AE13" s="485">
        <f t="shared" si="8"/>
        <v>22637.33833786951</v>
      </c>
      <c r="AF13" s="485">
        <v>76803.76011384015</v>
      </c>
      <c r="AG13" s="485">
        <f t="shared" si="9"/>
        <v>54166.42177597064</v>
      </c>
      <c r="AH13" s="485">
        <v>19074.859596729344</v>
      </c>
      <c r="AI13" s="485">
        <v>92308.776775473</v>
      </c>
      <c r="AJ13" s="485">
        <v>66727.50458851503</v>
      </c>
      <c r="AK13" s="485">
        <v>28373.755994622974</v>
      </c>
      <c r="AL13" s="485">
        <v>97788.75599462297</v>
      </c>
      <c r="AM13" s="485">
        <v>69415</v>
      </c>
      <c r="AN13" s="485">
        <v>29437</v>
      </c>
      <c r="AO13" s="485">
        <v>114888</v>
      </c>
      <c r="AP13" s="485">
        <v>85451</v>
      </c>
      <c r="AQ13" s="485">
        <v>31804.063358045445</v>
      </c>
      <c r="AR13" s="485">
        <v>113338.41442572129</v>
      </c>
      <c r="AS13" s="1033">
        <v>81534.35106767585</v>
      </c>
      <c r="AT13" s="1029">
        <f t="shared" si="10"/>
        <v>0.9541649725301734</v>
      </c>
    </row>
    <row r="14" spans="1:46" ht="12.75" customHeight="1">
      <c r="A14" s="993" t="s">
        <v>18</v>
      </c>
      <c r="B14" s="994">
        <v>5848</v>
      </c>
      <c r="C14" s="1058">
        <v>290.085</v>
      </c>
      <c r="D14" s="994">
        <v>17030</v>
      </c>
      <c r="E14" s="994">
        <f>'příl.4-odhad odpisu07'!X12</f>
        <v>7462</v>
      </c>
      <c r="F14" s="994">
        <f>'příl.4-odhad odpisu07'!Z12</f>
        <v>1598</v>
      </c>
      <c r="G14" s="1059">
        <v>11.063326663721643</v>
      </c>
      <c r="H14" s="1059">
        <v>5.139224639627541</v>
      </c>
      <c r="I14" s="994">
        <v>243598.07738008455</v>
      </c>
      <c r="J14" s="994">
        <v>3766.0374129487423</v>
      </c>
      <c r="K14" s="995">
        <v>247364.11479303328</v>
      </c>
      <c r="L14" s="482"/>
      <c r="M14" s="1084" t="s">
        <v>68</v>
      </c>
      <c r="N14" s="485">
        <v>15700</v>
      </c>
      <c r="O14" s="1033">
        <f>'pril1-CP'!J96</f>
        <v>16000</v>
      </c>
      <c r="Q14" s="1019">
        <f t="shared" si="0"/>
        <v>13568.722442902923</v>
      </c>
      <c r="R14" s="994">
        <f t="shared" si="1"/>
        <v>5639.654455359288</v>
      </c>
      <c r="S14" s="994">
        <f t="shared" si="2"/>
        <v>3177.1369186760876</v>
      </c>
      <c r="T14" s="994">
        <f t="shared" si="3"/>
        <v>3002.2511627453387</v>
      </c>
      <c r="U14" s="994">
        <f t="shared" si="4"/>
        <v>25388</v>
      </c>
      <c r="V14" s="1033">
        <f t="shared" si="5"/>
        <v>221976.11479303328</v>
      </c>
      <c r="X14" s="487">
        <v>26136.84836162955</v>
      </c>
      <c r="Y14" s="485">
        <v>15455.846521744312</v>
      </c>
      <c r="Z14" s="485">
        <f t="shared" si="6"/>
        <v>41592.69488337386</v>
      </c>
      <c r="AA14" s="485">
        <v>123954.6850479735</v>
      </c>
      <c r="AB14" s="485">
        <f t="shared" si="7"/>
        <v>82361.99016459964</v>
      </c>
      <c r="AC14" s="485">
        <v>28165.321183047992</v>
      </c>
      <c r="AD14" s="485">
        <v>21760.06946853046</v>
      </c>
      <c r="AE14" s="485">
        <f t="shared" si="8"/>
        <v>49925.39065157845</v>
      </c>
      <c r="AF14" s="485">
        <v>135360.91399379508</v>
      </c>
      <c r="AG14" s="485">
        <f t="shared" si="9"/>
        <v>85435.52334221663</v>
      </c>
      <c r="AH14" s="485">
        <v>40507.62533677509</v>
      </c>
      <c r="AI14" s="485">
        <v>179579.69795653987</v>
      </c>
      <c r="AJ14" s="485">
        <v>126414.34224407267</v>
      </c>
      <c r="AK14" s="485">
        <v>62066</v>
      </c>
      <c r="AL14" s="485">
        <v>208613</v>
      </c>
      <c r="AM14" s="485">
        <v>146547</v>
      </c>
      <c r="AN14" s="485">
        <v>62675</v>
      </c>
      <c r="AO14" s="485">
        <v>224996</v>
      </c>
      <c r="AP14" s="485">
        <v>162321</v>
      </c>
      <c r="AQ14" s="485">
        <v>69120.78961715038</v>
      </c>
      <c r="AR14" s="485">
        <v>247364.11479303328</v>
      </c>
      <c r="AS14" s="1033">
        <v>178243.3251758829</v>
      </c>
      <c r="AT14" s="1029">
        <f t="shared" si="10"/>
        <v>1.0980915912043598</v>
      </c>
    </row>
    <row r="15" spans="1:46" ht="12.75" customHeight="1">
      <c r="A15" s="993" t="s">
        <v>19</v>
      </c>
      <c r="B15" s="994">
        <v>1205</v>
      </c>
      <c r="C15" s="1058">
        <v>88.41</v>
      </c>
      <c r="D15" s="994">
        <v>5238</v>
      </c>
      <c r="E15" s="994">
        <f>'příl.4-odhad odpisu07'!X13</f>
        <v>1213</v>
      </c>
      <c r="F15" s="994">
        <f>'příl.4-odhad odpisu07'!Z13</f>
        <v>938</v>
      </c>
      <c r="G15" s="1059">
        <v>3.402801236909804</v>
      </c>
      <c r="H15" s="1059">
        <v>0.8354167097116332</v>
      </c>
      <c r="I15" s="994">
        <v>58522.04242434299</v>
      </c>
      <c r="J15" s="994">
        <v>157.6814432329574</v>
      </c>
      <c r="K15" s="995">
        <v>58679.72386757594</v>
      </c>
      <c r="L15" s="482"/>
      <c r="M15" s="1084" t="s">
        <v>173</v>
      </c>
      <c r="N15" s="485">
        <v>197048.0692</v>
      </c>
      <c r="O15" s="1033">
        <f>'pril1-CP'!J114</f>
        <v>213701</v>
      </c>
      <c r="Q15" s="1019">
        <f t="shared" si="0"/>
        <v>3218.772807250166</v>
      </c>
      <c r="R15" s="994">
        <f t="shared" si="1"/>
        <v>1337.839024977069</v>
      </c>
      <c r="S15" s="994">
        <f t="shared" si="2"/>
        <v>753.6805297461221</v>
      </c>
      <c r="T15" s="994">
        <f t="shared" si="3"/>
        <v>712.1941246748978</v>
      </c>
      <c r="U15" s="994">
        <f t="shared" si="4"/>
        <v>6022</v>
      </c>
      <c r="V15" s="1033">
        <f t="shared" si="5"/>
        <v>52657.72386757594</v>
      </c>
      <c r="X15" s="487">
        <v>3664.245052779</v>
      </c>
      <c r="Y15" s="485">
        <v>891.5786669425036</v>
      </c>
      <c r="Z15" s="485">
        <f t="shared" si="6"/>
        <v>4555.823719721504</v>
      </c>
      <c r="AA15" s="485">
        <v>29269.344102107836</v>
      </c>
      <c r="AB15" s="485">
        <f t="shared" si="7"/>
        <v>24713.520382386334</v>
      </c>
      <c r="AC15" s="485">
        <v>5855.02509704023</v>
      </c>
      <c r="AD15" s="485">
        <v>3651.638663778179</v>
      </c>
      <c r="AE15" s="485">
        <f t="shared" si="8"/>
        <v>9506.66376081841</v>
      </c>
      <c r="AF15" s="485">
        <v>39178.775500394026</v>
      </c>
      <c r="AG15" s="485">
        <f t="shared" si="9"/>
        <v>29672.111739575616</v>
      </c>
      <c r="AH15" s="485">
        <v>9027.558068386312</v>
      </c>
      <c r="AI15" s="485">
        <v>56952.21840907884</v>
      </c>
      <c r="AJ15" s="485">
        <v>43910.365667504535</v>
      </c>
      <c r="AK15" s="485">
        <v>21417</v>
      </c>
      <c r="AL15" s="485">
        <v>66563</v>
      </c>
      <c r="AM15" s="485">
        <v>45146</v>
      </c>
      <c r="AN15" s="485">
        <v>17190</v>
      </c>
      <c r="AO15" s="485">
        <v>58492</v>
      </c>
      <c r="AP15" s="485">
        <v>41302</v>
      </c>
      <c r="AQ15" s="485">
        <v>19718.17597925361</v>
      </c>
      <c r="AR15" s="485">
        <v>58679.72386757594</v>
      </c>
      <c r="AS15" s="1033">
        <v>38961.54788832233</v>
      </c>
      <c r="AT15" s="1029">
        <f t="shared" si="10"/>
        <v>0.9433332014992575</v>
      </c>
    </row>
    <row r="16" spans="1:46" ht="12.75" customHeight="1" thickBot="1">
      <c r="A16" s="1062" t="s">
        <v>20</v>
      </c>
      <c r="B16" s="1025">
        <v>3767</v>
      </c>
      <c r="C16" s="1063">
        <v>150.43</v>
      </c>
      <c r="D16" s="1025">
        <v>11144</v>
      </c>
      <c r="E16" s="1025">
        <f>'příl.4-odhad odpisu07'!X14</f>
        <v>6397</v>
      </c>
      <c r="F16" s="1144">
        <f>'příl.4-odhad odpisu07'!Z14</f>
        <v>1770</v>
      </c>
      <c r="G16" s="1064">
        <v>7.239560325338461</v>
      </c>
      <c r="H16" s="1064">
        <v>4.405738410573221</v>
      </c>
      <c r="I16" s="1025">
        <v>124682.49033412388</v>
      </c>
      <c r="J16" s="1025">
        <v>5361.766998408997</v>
      </c>
      <c r="K16" s="1065">
        <v>130044.25733253288</v>
      </c>
      <c r="L16" s="482"/>
      <c r="M16" s="1085"/>
      <c r="N16" s="1070"/>
      <c r="O16" s="1091"/>
      <c r="Q16" s="1024">
        <f t="shared" si="0"/>
        <v>7133.348483125565</v>
      </c>
      <c r="R16" s="1025">
        <f t="shared" si="1"/>
        <v>2964.87902407728</v>
      </c>
      <c r="S16" s="1025">
        <f t="shared" si="2"/>
        <v>1670.2843554276133</v>
      </c>
      <c r="T16" s="1025">
        <f t="shared" si="3"/>
        <v>1578.3434194228837</v>
      </c>
      <c r="U16" s="1025">
        <f t="shared" si="4"/>
        <v>13347</v>
      </c>
      <c r="V16" s="1237">
        <f t="shared" si="5"/>
        <v>116697.25733253288</v>
      </c>
      <c r="X16" s="489">
        <v>16059.298376074785</v>
      </c>
      <c r="Y16" s="480">
        <v>13081.27947079331</v>
      </c>
      <c r="Z16" s="480">
        <f t="shared" si="6"/>
        <v>29140.577846868095</v>
      </c>
      <c r="AA16" s="480">
        <v>71559.79205514488</v>
      </c>
      <c r="AB16" s="480">
        <f t="shared" si="7"/>
        <v>42419.21420827678</v>
      </c>
      <c r="AC16" s="480">
        <v>18680.20258680406</v>
      </c>
      <c r="AD16" s="480">
        <v>15580.553478137634</v>
      </c>
      <c r="AE16" s="480">
        <f t="shared" si="8"/>
        <v>34260.75606494169</v>
      </c>
      <c r="AF16" s="480">
        <v>85707.11346677151</v>
      </c>
      <c r="AG16" s="480">
        <f t="shared" si="9"/>
        <v>51446.35740182982</v>
      </c>
      <c r="AH16" s="480">
        <v>26326.89875056012</v>
      </c>
      <c r="AI16" s="480">
        <v>103325.99168960557</v>
      </c>
      <c r="AJ16" s="480">
        <v>69716.12855893746</v>
      </c>
      <c r="AK16" s="484">
        <v>36569</v>
      </c>
      <c r="AL16" s="484">
        <v>114970</v>
      </c>
      <c r="AM16" s="480">
        <v>78401</v>
      </c>
      <c r="AN16" s="484">
        <v>37169</v>
      </c>
      <c r="AO16" s="484">
        <v>125809</v>
      </c>
      <c r="AP16" s="480">
        <v>88640</v>
      </c>
      <c r="AQ16" s="484">
        <v>39656.541118142326</v>
      </c>
      <c r="AR16" s="484">
        <v>130044.25733253288</v>
      </c>
      <c r="AS16" s="1037">
        <v>90387.71621439056</v>
      </c>
      <c r="AT16" s="1029">
        <f t="shared" si="10"/>
        <v>1.019717015054045</v>
      </c>
    </row>
    <row r="17" spans="1:46" ht="12.75" customHeight="1" thickBot="1">
      <c r="A17" s="1060" t="s">
        <v>163</v>
      </c>
      <c r="B17" s="1013">
        <f aca="true" t="shared" si="11" ref="B17:K17">SUM(B8:B16)</f>
        <v>35721</v>
      </c>
      <c r="C17" s="1061">
        <f t="shared" si="11"/>
        <v>2540.727</v>
      </c>
      <c r="D17" s="1013">
        <f t="shared" si="11"/>
        <v>153932</v>
      </c>
      <c r="E17" s="1013">
        <f t="shared" si="11"/>
        <v>145197</v>
      </c>
      <c r="F17" s="1013">
        <f t="shared" si="11"/>
        <v>41148</v>
      </c>
      <c r="G17" s="1061">
        <f t="shared" si="11"/>
        <v>100</v>
      </c>
      <c r="H17" s="1061">
        <f t="shared" si="11"/>
        <v>100</v>
      </c>
      <c r="I17" s="1013">
        <f t="shared" si="11"/>
        <v>1684857.000000001</v>
      </c>
      <c r="J17" s="1013">
        <f t="shared" si="11"/>
        <v>119959.00000000001</v>
      </c>
      <c r="K17" s="992">
        <f t="shared" si="11"/>
        <v>1804816.000000001</v>
      </c>
      <c r="L17" s="482"/>
      <c r="M17" s="1086"/>
      <c r="N17" s="1096">
        <f>SUM(N8:N16)</f>
        <v>497794.0692</v>
      </c>
      <c r="O17" s="1092">
        <f>SUM(O8:O16)</f>
        <v>543277</v>
      </c>
      <c r="Q17" s="1012">
        <v>99000</v>
      </c>
      <c r="R17" s="1013">
        <f>O9</f>
        <v>41148</v>
      </c>
      <c r="S17" s="1013">
        <f>O12</f>
        <v>23181</v>
      </c>
      <c r="T17" s="1014">
        <f>O11</f>
        <v>21905</v>
      </c>
      <c r="U17" s="1014">
        <f>SUM(U8:U16)</f>
        <v>185234</v>
      </c>
      <c r="V17" s="992">
        <v>1619582</v>
      </c>
      <c r="X17" s="1030">
        <f>SUM(X8:X16)</f>
        <v>166774.15155926286</v>
      </c>
      <c r="Y17" s="1031">
        <f aca="true" t="shared" si="12" ref="Y17:AF17">SUM(Y8:Y16)</f>
        <v>138978.45963271905</v>
      </c>
      <c r="Z17" s="1031">
        <f t="shared" si="12"/>
        <v>305752.6111919819</v>
      </c>
      <c r="AA17" s="1031">
        <f t="shared" si="12"/>
        <v>926523.0642181269</v>
      </c>
      <c r="AB17" s="1031">
        <f t="shared" si="7"/>
        <v>620770.453026145</v>
      </c>
      <c r="AC17" s="1031">
        <f t="shared" si="12"/>
        <v>190491.2999999999</v>
      </c>
      <c r="AD17" s="1031">
        <f t="shared" si="12"/>
        <v>158742.74999999994</v>
      </c>
      <c r="AE17" s="1031">
        <f t="shared" si="12"/>
        <v>349234.04999999993</v>
      </c>
      <c r="AF17" s="1031">
        <f t="shared" si="12"/>
        <v>1058284.9999999998</v>
      </c>
      <c r="AG17" s="1031">
        <f t="shared" si="9"/>
        <v>709050.9499999998</v>
      </c>
      <c r="AH17" s="1031">
        <v>279893.67</v>
      </c>
      <c r="AI17" s="1031">
        <v>1309209</v>
      </c>
      <c r="AJ17" s="1031">
        <v>937034.6384040066</v>
      </c>
      <c r="AK17" s="1031">
        <f>SUM(AK8:AK16)</f>
        <v>448943.75599462294</v>
      </c>
      <c r="AL17" s="1031">
        <f>SUM(AL8:AL16)</f>
        <v>1479001.755994623</v>
      </c>
      <c r="AM17" s="1031">
        <f>SUM(AM8:AM16)</f>
        <v>1030058</v>
      </c>
      <c r="AN17" s="1031">
        <v>497794</v>
      </c>
      <c r="AO17" s="1031">
        <v>1683608</v>
      </c>
      <c r="AP17" s="1031">
        <v>1185814</v>
      </c>
      <c r="AQ17" s="1031">
        <f>SUM(AQ8:AQ16)</f>
        <v>543970.3600000001</v>
      </c>
      <c r="AR17" s="1031">
        <f>SUM(AR8:AR16)</f>
        <v>1804816.000000001</v>
      </c>
      <c r="AS17" s="1035">
        <f>SUM(AS8:AS16)</f>
        <v>1260845.6400000008</v>
      </c>
      <c r="AT17" s="1029">
        <f t="shared" si="10"/>
        <v>1.0632743752392877</v>
      </c>
    </row>
    <row r="18" spans="1:46" ht="12.75" customHeight="1" thickBot="1">
      <c r="A18" s="988" t="s">
        <v>148</v>
      </c>
      <c r="B18" s="989"/>
      <c r="C18" s="1066"/>
      <c r="D18" s="989"/>
      <c r="E18" s="989">
        <f>'příl.4-odhad odpisu07'!AA28</f>
        <v>40293</v>
      </c>
      <c r="F18" s="989">
        <f>'příl.4-odhad odpisu07'!Z28</f>
        <v>21905</v>
      </c>
      <c r="G18" s="989"/>
      <c r="H18" s="989"/>
      <c r="I18" s="989"/>
      <c r="J18" s="989"/>
      <c r="K18" s="1011"/>
      <c r="L18" s="483"/>
      <c r="M18" s="1087" t="s">
        <v>174</v>
      </c>
      <c r="N18" s="1097">
        <v>167083</v>
      </c>
      <c r="O18" s="1093">
        <f>'pril1-CP'!J5</f>
        <v>185234</v>
      </c>
      <c r="Q18" s="1027"/>
      <c r="R18" s="1026"/>
      <c r="S18" s="990"/>
      <c r="T18" s="1015"/>
      <c r="U18" s="1015"/>
      <c r="V18" s="984"/>
      <c r="X18" s="489"/>
      <c r="Y18" s="480"/>
      <c r="Z18" s="480"/>
      <c r="AA18" s="480"/>
      <c r="AB18" s="480"/>
      <c r="AC18" s="480"/>
      <c r="AD18" s="480"/>
      <c r="AE18" s="480"/>
      <c r="AF18" s="490"/>
      <c r="AG18" s="490"/>
      <c r="AH18" s="480"/>
      <c r="AI18" s="490"/>
      <c r="AJ18" s="490"/>
      <c r="AK18" s="480"/>
      <c r="AL18" s="490"/>
      <c r="AM18" s="490"/>
      <c r="AN18" s="480"/>
      <c r="AO18" s="490"/>
      <c r="AP18" s="490"/>
      <c r="AQ18" s="480"/>
      <c r="AR18" s="490"/>
      <c r="AS18" s="1032"/>
      <c r="AT18" s="1029"/>
    </row>
    <row r="19" spans="1:46" ht="12.75" customHeight="1" thickBot="1">
      <c r="A19" s="1012" t="s">
        <v>166</v>
      </c>
      <c r="B19" s="1013"/>
      <c r="C19" s="1013"/>
      <c r="D19" s="1013"/>
      <c r="E19" s="1013">
        <f>SUM(E17:E18)</f>
        <v>185490</v>
      </c>
      <c r="F19" s="1013">
        <f>SUM(F17:F18)</f>
        <v>63053</v>
      </c>
      <c r="G19" s="1013"/>
      <c r="H19" s="1013"/>
      <c r="I19" s="1013">
        <f>SUM(I17:I18)</f>
        <v>1684857.000000001</v>
      </c>
      <c r="J19" s="1013">
        <f>SUM(J17:J18)</f>
        <v>119959.00000000001</v>
      </c>
      <c r="K19" s="992">
        <f>SUM(K17:K18)</f>
        <v>1804816.000000001</v>
      </c>
      <c r="L19" s="482"/>
      <c r="M19" s="1086" t="s">
        <v>175</v>
      </c>
      <c r="N19" s="1096">
        <v>330711.0692</v>
      </c>
      <c r="O19" s="1094">
        <f>'pril1-CP'!J26+'pril1-CP'!J96+'pril1-CP'!J114</f>
        <v>358043</v>
      </c>
      <c r="Q19" s="1016">
        <f>SUM(Q8:Q16)</f>
        <v>98999.99999999999</v>
      </c>
      <c r="R19" s="1017">
        <f>SUM(R8:R16)</f>
        <v>41148</v>
      </c>
      <c r="S19" s="1017">
        <f>SUM(S8:S16)</f>
        <v>23181</v>
      </c>
      <c r="T19" s="1017">
        <f>SUM(T8:T16)</f>
        <v>21905</v>
      </c>
      <c r="U19" s="1018"/>
      <c r="V19" s="991">
        <v>1619582</v>
      </c>
      <c r="X19" s="1030"/>
      <c r="Y19" s="1031"/>
      <c r="Z19" s="1031"/>
      <c r="AA19" s="1031"/>
      <c r="AB19" s="1031">
        <f>AA17-Z17</f>
        <v>620770.453026145</v>
      </c>
      <c r="AC19" s="1031"/>
      <c r="AD19" s="1031"/>
      <c r="AE19" s="1031"/>
      <c r="AF19" s="1031"/>
      <c r="AG19" s="1031">
        <f>AF17-AE17</f>
        <v>709050.9499999998</v>
      </c>
      <c r="AH19" s="1031"/>
      <c r="AI19" s="1031"/>
      <c r="AJ19" s="1031">
        <f>AI17-AH17</f>
        <v>1029315.3300000001</v>
      </c>
      <c r="AK19" s="1031"/>
      <c r="AL19" s="1031"/>
      <c r="AM19" s="1031"/>
      <c r="AN19" s="1031"/>
      <c r="AO19" s="1031"/>
      <c r="AP19" s="1031">
        <v>1185814</v>
      </c>
      <c r="AQ19" s="1031"/>
      <c r="AR19" s="1031"/>
      <c r="AS19" s="1035">
        <f>AR17-AQ17</f>
        <v>1260845.6400000008</v>
      </c>
      <c r="AT19" s="1029">
        <f>SUM(AT8:AT16)/9</f>
        <v>1.0420677102436124</v>
      </c>
    </row>
    <row r="20" spans="1:16" ht="11.25">
      <c r="A20" s="1158" t="s">
        <v>484</v>
      </c>
      <c r="B20" s="1159"/>
      <c r="C20" s="1160"/>
      <c r="D20" s="1159"/>
      <c r="E20" s="1161"/>
      <c r="F20" s="1159"/>
      <c r="G20" s="1160"/>
      <c r="H20" s="414"/>
      <c r="I20" s="1162"/>
      <c r="J20" s="1163"/>
      <c r="K20" s="1159"/>
      <c r="L20" s="483"/>
      <c r="M20" s="491"/>
      <c r="N20" s="483"/>
      <c r="O20" s="491"/>
      <c r="P20" s="491"/>
    </row>
    <row r="21" spans="1:23" ht="11.25">
      <c r="A21" s="1158" t="s">
        <v>390</v>
      </c>
      <c r="B21" s="414"/>
      <c r="C21" s="1164"/>
      <c r="D21" s="1162"/>
      <c r="E21" s="1165"/>
      <c r="F21" s="414"/>
      <c r="G21" s="414"/>
      <c r="H21" s="1163"/>
      <c r="I21" s="1163"/>
      <c r="J21" s="1159"/>
      <c r="K21" s="1163"/>
      <c r="L21" s="491"/>
      <c r="M21" s="483"/>
      <c r="N21" s="483"/>
      <c r="O21" s="1166">
        <f>O19/V19</f>
        <v>0.22107123936917056</v>
      </c>
      <c r="P21" s="483"/>
      <c r="Q21" s="491"/>
      <c r="R21" s="477"/>
      <c r="S21" s="477"/>
      <c r="T21" s="477"/>
      <c r="U21" s="477"/>
      <c r="V21" s="477"/>
      <c r="W21" s="477"/>
    </row>
    <row r="22" spans="7:16" ht="11.25">
      <c r="G22" s="495"/>
      <c r="H22" s="495"/>
      <c r="I22" s="495"/>
      <c r="J22" s="495"/>
      <c r="P22" s="492"/>
    </row>
    <row r="23" spans="1:23" ht="12" thickBot="1">
      <c r="A23" s="985"/>
      <c r="B23" s="985"/>
      <c r="C23" s="1241">
        <f>O19/V19</f>
        <v>0.22107123936917056</v>
      </c>
      <c r="D23" s="985"/>
      <c r="E23" s="985"/>
      <c r="F23" s="985"/>
      <c r="G23" s="985"/>
      <c r="H23" s="986"/>
      <c r="I23" s="987"/>
      <c r="J23" s="985"/>
      <c r="K23" s="985"/>
      <c r="L23" s="495"/>
      <c r="M23" s="495"/>
      <c r="N23" s="495"/>
      <c r="S23" s="496"/>
      <c r="W23" s="492"/>
    </row>
    <row r="24" spans="1:25" ht="11.25">
      <c r="A24" s="999" t="s">
        <v>11</v>
      </c>
      <c r="B24" s="1038" t="s">
        <v>226</v>
      </c>
      <c r="C24" s="1038" t="s">
        <v>50</v>
      </c>
      <c r="D24" s="1038" t="s">
        <v>50</v>
      </c>
      <c r="E24" s="1038" t="s">
        <v>51</v>
      </c>
      <c r="F24" s="1038" t="s">
        <v>227</v>
      </c>
      <c r="G24" s="1038" t="s">
        <v>151</v>
      </c>
      <c r="H24" s="1038" t="s">
        <v>162</v>
      </c>
      <c r="I24" s="1238" t="s">
        <v>491</v>
      </c>
      <c r="J24" s="1038" t="s">
        <v>162</v>
      </c>
      <c r="K24" s="1072" t="s">
        <v>391</v>
      </c>
      <c r="V24" s="496"/>
      <c r="Y24" s="492"/>
    </row>
    <row r="25" spans="1:22" ht="11.25">
      <c r="A25" s="1001"/>
      <c r="B25" s="1002" t="s">
        <v>397</v>
      </c>
      <c r="C25" s="1003" t="s">
        <v>46</v>
      </c>
      <c r="D25" s="1003" t="s">
        <v>47</v>
      </c>
      <c r="E25" s="1003"/>
      <c r="F25" s="1004" t="s">
        <v>490</v>
      </c>
      <c r="G25" s="1004" t="s">
        <v>392</v>
      </c>
      <c r="H25" s="1004" t="s">
        <v>22</v>
      </c>
      <c r="I25" s="1005">
        <v>2007</v>
      </c>
      <c r="J25" s="1005" t="s">
        <v>492</v>
      </c>
      <c r="K25" s="1006" t="s">
        <v>491</v>
      </c>
      <c r="V25" s="496"/>
    </row>
    <row r="26" spans="1:23" ht="12" thickBot="1">
      <c r="A26" s="1046" t="s">
        <v>149</v>
      </c>
      <c r="B26" s="1047"/>
      <c r="C26" s="1242">
        <v>0.2</v>
      </c>
      <c r="D26" s="1242">
        <v>0.4</v>
      </c>
      <c r="E26" s="1242">
        <v>0.4</v>
      </c>
      <c r="F26" s="1007"/>
      <c r="G26" s="1048" t="s">
        <v>393</v>
      </c>
      <c r="H26" s="1007"/>
      <c r="I26" s="1048" t="s">
        <v>22</v>
      </c>
      <c r="J26" s="1049" t="s">
        <v>493</v>
      </c>
      <c r="K26" s="1050" t="s">
        <v>394</v>
      </c>
      <c r="S26" s="492"/>
      <c r="W26" s="496"/>
    </row>
    <row r="27" spans="1:23" ht="11.25">
      <c r="A27" s="1000" t="s">
        <v>12</v>
      </c>
      <c r="B27" s="480">
        <f>U8</f>
        <v>38364</v>
      </c>
      <c r="C27" s="480">
        <f aca="true" t="shared" si="13" ref="C27:C35">$C$23*$C$26*$G$36*B8/$B$17</f>
        <v>7842.245267489717</v>
      </c>
      <c r="D27" s="480">
        <f aca="true" t="shared" si="14" ref="D27:D35">$C$23*$D$26*$G$36*C8/$C$17</f>
        <v>30260.914158821495</v>
      </c>
      <c r="E27" s="480">
        <f aca="true" t="shared" si="15" ref="E27:E35">$C$23*$E$26*$G$36*D8/$D$17</f>
        <v>26550.61479354522</v>
      </c>
      <c r="F27" s="480">
        <f>SUM(C27:E27)</f>
        <v>64653.77421985644</v>
      </c>
      <c r="G27" s="480">
        <f aca="true" t="shared" si="16" ref="G27:G35">K8-B27</f>
        <v>335431.97243865277</v>
      </c>
      <c r="H27" s="480">
        <f>B27+F27</f>
        <v>103017.77421985644</v>
      </c>
      <c r="I27" s="480">
        <f aca="true" t="shared" si="17" ref="I27:I35">K8-H27</f>
        <v>270778.19821879634</v>
      </c>
      <c r="J27" s="1073">
        <f>H27/(H27+I27)*100</f>
        <v>27.559894117576043</v>
      </c>
      <c r="K27" s="481">
        <f aca="true" t="shared" si="18" ref="K27:K35">I27-AP8</f>
        <v>30672.198218796344</v>
      </c>
      <c r="M27" s="492"/>
      <c r="N27" s="492"/>
      <c r="W27" s="496"/>
    </row>
    <row r="28" spans="1:23" ht="11.25">
      <c r="A28" s="1009" t="s">
        <v>13</v>
      </c>
      <c r="B28" s="485">
        <f aca="true" t="shared" si="19" ref="B28:B35">U9</f>
        <v>32043</v>
      </c>
      <c r="C28" s="485">
        <f t="shared" si="13"/>
        <v>16430.225514403304</v>
      </c>
      <c r="D28" s="485">
        <f t="shared" si="14"/>
        <v>20331.586930827296</v>
      </c>
      <c r="E28" s="485">
        <f t="shared" si="15"/>
        <v>19983.903534028024</v>
      </c>
      <c r="F28" s="485">
        <f aca="true" t="shared" si="20" ref="F28:F35">SUM(C28:E28)</f>
        <v>56745.715979258624</v>
      </c>
      <c r="G28" s="485">
        <f t="shared" si="16"/>
        <v>280161.1474498282</v>
      </c>
      <c r="H28" s="485">
        <f aca="true" t="shared" si="21" ref="H28:H35">B28+F28</f>
        <v>88788.71597925862</v>
      </c>
      <c r="I28" s="485">
        <f t="shared" si="17"/>
        <v>223415.4314705696</v>
      </c>
      <c r="J28" s="1074">
        <f aca="true" t="shared" si="22" ref="J28:J36">H28/(H28+I28)*100</f>
        <v>28.43931341223682</v>
      </c>
      <c r="K28" s="486">
        <f t="shared" si="18"/>
        <v>19595.4314705696</v>
      </c>
      <c r="M28" s="492"/>
      <c r="N28" s="492"/>
      <c r="W28" s="496"/>
    </row>
    <row r="29" spans="1:23" ht="11.25">
      <c r="A29" s="1009" t="s">
        <v>14</v>
      </c>
      <c r="B29" s="485">
        <f t="shared" si="19"/>
        <v>12377</v>
      </c>
      <c r="C29" s="485">
        <f t="shared" si="13"/>
        <v>7146.62688614541</v>
      </c>
      <c r="D29" s="485">
        <f t="shared" si="14"/>
        <v>7335.13195301975</v>
      </c>
      <c r="E29" s="485">
        <f t="shared" si="15"/>
        <v>11713.64334901126</v>
      </c>
      <c r="F29" s="485">
        <f t="shared" si="20"/>
        <v>26195.40218817642</v>
      </c>
      <c r="G29" s="485">
        <f t="shared" si="16"/>
        <v>108218.32348249879</v>
      </c>
      <c r="H29" s="485">
        <f t="shared" si="21"/>
        <v>38572.40218817642</v>
      </c>
      <c r="I29" s="485">
        <f t="shared" si="17"/>
        <v>82022.92129432237</v>
      </c>
      <c r="J29" s="1074">
        <f t="shared" si="22"/>
        <v>31.984990026395327</v>
      </c>
      <c r="K29" s="486">
        <f t="shared" si="18"/>
        <v>-1774.0787056776317</v>
      </c>
      <c r="M29" s="492"/>
      <c r="N29" s="492"/>
      <c r="W29" s="496"/>
    </row>
    <row r="30" spans="1:23" ht="11.25">
      <c r="A30" s="1009" t="s">
        <v>15</v>
      </c>
      <c r="B30" s="485">
        <f t="shared" si="19"/>
        <v>14362</v>
      </c>
      <c r="C30" s="485">
        <f t="shared" si="13"/>
        <v>7565.601646090541</v>
      </c>
      <c r="D30" s="485">
        <f t="shared" si="14"/>
        <v>10487.038063042593</v>
      </c>
      <c r="E30" s="485">
        <f t="shared" si="15"/>
        <v>12262.57500714602</v>
      </c>
      <c r="F30" s="485">
        <f t="shared" si="20"/>
        <v>30315.214716279155</v>
      </c>
      <c r="G30" s="485">
        <f t="shared" si="16"/>
        <v>125572.9563040681</v>
      </c>
      <c r="H30" s="485">
        <f t="shared" si="21"/>
        <v>44677.21471627915</v>
      </c>
      <c r="I30" s="485">
        <f t="shared" si="17"/>
        <v>95257.74158778894</v>
      </c>
      <c r="J30" s="1074">
        <f t="shared" si="22"/>
        <v>31.927129500936807</v>
      </c>
      <c r="K30" s="486">
        <f t="shared" si="18"/>
        <v>11964.741587788943</v>
      </c>
      <c r="M30" s="492"/>
      <c r="N30" s="492"/>
      <c r="W30" s="496"/>
    </row>
    <row r="31" spans="1:23" ht="11.25">
      <c r="A31" s="1009" t="s">
        <v>16</v>
      </c>
      <c r="B31" s="485">
        <f t="shared" si="19"/>
        <v>31699</v>
      </c>
      <c r="C31" s="485">
        <f t="shared" si="13"/>
        <v>7004.295747599456</v>
      </c>
      <c r="D31" s="485">
        <f t="shared" si="14"/>
        <v>37805.85000592353</v>
      </c>
      <c r="E31" s="485">
        <f t="shared" si="15"/>
        <v>33374.114421952574</v>
      </c>
      <c r="F31" s="485">
        <f t="shared" si="20"/>
        <v>78184.26017547556</v>
      </c>
      <c r="G31" s="485">
        <f t="shared" si="16"/>
        <v>277160.0899060897</v>
      </c>
      <c r="H31" s="485">
        <f t="shared" si="21"/>
        <v>109883.26017547556</v>
      </c>
      <c r="I31" s="485">
        <f t="shared" si="17"/>
        <v>198975.82973061415</v>
      </c>
      <c r="J31" s="1074">
        <f t="shared" si="22"/>
        <v>35.57714950493643</v>
      </c>
      <c r="K31" s="486">
        <f t="shared" si="18"/>
        <v>1891.8297306141467</v>
      </c>
      <c r="M31" s="492"/>
      <c r="N31" s="492"/>
      <c r="W31" s="496"/>
    </row>
    <row r="32" spans="1:14" ht="11.25">
      <c r="A32" s="1009" t="s">
        <v>17</v>
      </c>
      <c r="B32" s="485">
        <f t="shared" si="19"/>
        <v>11632</v>
      </c>
      <c r="C32" s="485">
        <f t="shared" si="13"/>
        <v>3929.141289437588</v>
      </c>
      <c r="D32" s="485">
        <f t="shared" si="14"/>
        <v>7181.922123864552</v>
      </c>
      <c r="E32" s="485">
        <f t="shared" si="15"/>
        <v>8246.069976353201</v>
      </c>
      <c r="F32" s="485">
        <f t="shared" si="20"/>
        <v>19357.13338965534</v>
      </c>
      <c r="G32" s="485">
        <f t="shared" si="16"/>
        <v>101706.41442572129</v>
      </c>
      <c r="H32" s="485">
        <f t="shared" si="21"/>
        <v>30989.13338965534</v>
      </c>
      <c r="I32" s="485">
        <f t="shared" si="17"/>
        <v>82349.28103606595</v>
      </c>
      <c r="J32" s="1074">
        <f t="shared" si="22"/>
        <v>27.34212715668854</v>
      </c>
      <c r="K32" s="486">
        <f t="shared" si="18"/>
        <v>-3101.7189639340504</v>
      </c>
      <c r="M32" s="492"/>
      <c r="N32" s="492"/>
    </row>
    <row r="33" spans="1:14" ht="11.25">
      <c r="A33" s="1009" t="s">
        <v>18</v>
      </c>
      <c r="B33" s="485">
        <f t="shared" si="19"/>
        <v>25388</v>
      </c>
      <c r="C33" s="485">
        <f t="shared" si="13"/>
        <v>11723.274622770929</v>
      </c>
      <c r="D33" s="485">
        <f t="shared" si="14"/>
        <v>16351.682593997713</v>
      </c>
      <c r="E33" s="485">
        <f t="shared" si="15"/>
        <v>15844.586674635566</v>
      </c>
      <c r="F33" s="485">
        <f t="shared" si="20"/>
        <v>43919.54389140421</v>
      </c>
      <c r="G33" s="485">
        <f t="shared" si="16"/>
        <v>221976.11479303328</v>
      </c>
      <c r="H33" s="485">
        <f t="shared" si="21"/>
        <v>69307.5438914042</v>
      </c>
      <c r="I33" s="485">
        <f t="shared" si="17"/>
        <v>178056.57090162908</v>
      </c>
      <c r="J33" s="1074">
        <f t="shared" si="22"/>
        <v>28.018431028038577</v>
      </c>
      <c r="K33" s="486">
        <f t="shared" si="18"/>
        <v>15735.570901629078</v>
      </c>
      <c r="M33" s="492"/>
      <c r="N33" s="492"/>
    </row>
    <row r="34" spans="1:14" ht="11.25">
      <c r="A34" s="1009" t="s">
        <v>19</v>
      </c>
      <c r="B34" s="485">
        <f t="shared" si="19"/>
        <v>6022</v>
      </c>
      <c r="C34" s="485">
        <f t="shared" si="13"/>
        <v>2415.620027434844</v>
      </c>
      <c r="D34" s="485">
        <f t="shared" si="14"/>
        <v>4983.547091836316</v>
      </c>
      <c r="E34" s="485">
        <f t="shared" si="15"/>
        <v>4873.396653067592</v>
      </c>
      <c r="F34" s="485">
        <f t="shared" si="20"/>
        <v>12272.563772338752</v>
      </c>
      <c r="G34" s="485">
        <f t="shared" si="16"/>
        <v>52657.72386757594</v>
      </c>
      <c r="H34" s="485">
        <f t="shared" si="21"/>
        <v>18294.56377233875</v>
      </c>
      <c r="I34" s="485">
        <f t="shared" si="17"/>
        <v>40385.160095237195</v>
      </c>
      <c r="J34" s="1074">
        <f t="shared" si="22"/>
        <v>31.17697658841164</v>
      </c>
      <c r="K34" s="486">
        <f t="shared" si="18"/>
        <v>-916.8399047628045</v>
      </c>
      <c r="M34" s="492"/>
      <c r="N34" s="492"/>
    </row>
    <row r="35" spans="1:14" ht="11.25">
      <c r="A35" s="1069" t="s">
        <v>20</v>
      </c>
      <c r="B35" s="1070">
        <f t="shared" si="19"/>
        <v>13347</v>
      </c>
      <c r="C35" s="1070">
        <f t="shared" si="13"/>
        <v>7551.568998628262</v>
      </c>
      <c r="D35" s="1070">
        <f t="shared" si="14"/>
        <v>8479.52707866686</v>
      </c>
      <c r="E35" s="1070">
        <f t="shared" si="15"/>
        <v>10368.295590260643</v>
      </c>
      <c r="F35" s="1070">
        <f t="shared" si="20"/>
        <v>26399.391667555763</v>
      </c>
      <c r="G35" s="1070">
        <f t="shared" si="16"/>
        <v>116697.25733253288</v>
      </c>
      <c r="H35" s="1070">
        <f t="shared" si="21"/>
        <v>39746.39166755576</v>
      </c>
      <c r="I35" s="1070">
        <f t="shared" si="17"/>
        <v>90297.86566497711</v>
      </c>
      <c r="J35" s="1075">
        <f t="shared" si="22"/>
        <v>30.563742284998618</v>
      </c>
      <c r="K35" s="1071">
        <f t="shared" si="18"/>
        <v>1657.8656649771146</v>
      </c>
      <c r="M35" s="492"/>
      <c r="N35" s="492"/>
    </row>
    <row r="36" spans="1:13" ht="12" thickBot="1">
      <c r="A36" s="1060" t="s">
        <v>163</v>
      </c>
      <c r="B36" s="1067">
        <f>SUM(B27:B35)</f>
        <v>185234</v>
      </c>
      <c r="C36" s="1067">
        <f aca="true" t="shared" si="23" ref="C36:K36">SUM(C27:C35)</f>
        <v>71608.60000000005</v>
      </c>
      <c r="D36" s="1067">
        <f t="shared" si="23"/>
        <v>143217.20000000013</v>
      </c>
      <c r="E36" s="1067">
        <f t="shared" si="23"/>
        <v>143217.2000000001</v>
      </c>
      <c r="F36" s="1067">
        <f t="shared" si="23"/>
        <v>358043.0000000003</v>
      </c>
      <c r="G36" s="1067">
        <f t="shared" si="23"/>
        <v>1619582.000000001</v>
      </c>
      <c r="H36" s="1067">
        <f t="shared" si="23"/>
        <v>543277.0000000001</v>
      </c>
      <c r="I36" s="1067">
        <f t="shared" si="23"/>
        <v>1261539.0000000007</v>
      </c>
      <c r="J36" s="1076">
        <f t="shared" si="22"/>
        <v>30.101517273783024</v>
      </c>
      <c r="K36" s="1068">
        <f t="shared" si="23"/>
        <v>75725.00000000074</v>
      </c>
      <c r="M36" s="492"/>
    </row>
    <row r="37" spans="1:13" ht="11.25">
      <c r="A37" s="1009" t="s">
        <v>395</v>
      </c>
      <c r="B37" s="502"/>
      <c r="C37" s="485"/>
      <c r="D37" s="485"/>
      <c r="E37" s="485"/>
      <c r="F37" s="485"/>
      <c r="G37" s="485"/>
      <c r="H37" s="485"/>
      <c r="I37" s="1010">
        <f>O17</f>
        <v>543277</v>
      </c>
      <c r="J37" s="503"/>
      <c r="K37" s="486"/>
      <c r="M37" s="492"/>
    </row>
    <row r="38" spans="1:13" ht="12" thickBot="1">
      <c r="A38" s="1051" t="s">
        <v>396</v>
      </c>
      <c r="B38" s="1052"/>
      <c r="C38" s="488"/>
      <c r="D38" s="488"/>
      <c r="E38" s="488"/>
      <c r="F38" s="488"/>
      <c r="G38" s="488"/>
      <c r="H38" s="488"/>
      <c r="I38" s="1053">
        <f>SUM(I36:I37)</f>
        <v>1804816.0000000007</v>
      </c>
      <c r="J38" s="1054"/>
      <c r="K38" s="1055"/>
      <c r="M38" s="492"/>
    </row>
    <row r="39" spans="4:6" ht="11.25">
      <c r="D39" s="497"/>
      <c r="F39" s="492"/>
    </row>
    <row r="40" ht="11.25">
      <c r="D40" s="497"/>
    </row>
    <row r="41" ht="11.25">
      <c r="D41" s="497"/>
    </row>
    <row r="42" ht="11.25">
      <c r="D42" s="497"/>
    </row>
    <row r="43" ht="11.25">
      <c r="D43" s="497"/>
    </row>
    <row r="44" spans="4:24" ht="15.75">
      <c r="D44" s="497"/>
      <c r="S44" s="469"/>
      <c r="T44" s="469"/>
      <c r="U44" s="469"/>
      <c r="V44" s="469"/>
      <c r="W44" s="469"/>
      <c r="X44" s="469"/>
    </row>
    <row r="45" ht="11.25">
      <c r="D45" s="497"/>
    </row>
    <row r="46" spans="1:26" ht="15.75">
      <c r="A46" s="498"/>
      <c r="B46" s="469"/>
      <c r="C46" s="469"/>
      <c r="D46" s="470"/>
      <c r="E46" s="469"/>
      <c r="F46" s="469"/>
      <c r="G46" s="469"/>
      <c r="H46" s="469"/>
      <c r="I46" s="469"/>
      <c r="J46" s="469"/>
      <c r="K46" s="469"/>
      <c r="L46" s="469"/>
      <c r="M46" s="469"/>
      <c r="N46" s="469"/>
      <c r="O46" s="469"/>
      <c r="P46" s="469"/>
      <c r="Q46" s="469"/>
      <c r="R46" s="469"/>
      <c r="Y46" s="469"/>
      <c r="Z46" s="469"/>
    </row>
    <row r="47" ht="11.25">
      <c r="D47" s="497"/>
    </row>
    <row r="48" ht="11.25">
      <c r="D48" s="497"/>
    </row>
    <row r="49" ht="11.25">
      <c r="D49" s="497"/>
    </row>
    <row r="50" ht="11.25">
      <c r="D50" s="497"/>
    </row>
    <row r="51" ht="11.25">
      <c r="D51" s="497"/>
    </row>
    <row r="52" ht="11.25">
      <c r="D52" s="497"/>
    </row>
    <row r="53" ht="11.25">
      <c r="D53" s="497"/>
    </row>
    <row r="54" ht="11.25">
      <c r="D54" s="497"/>
    </row>
    <row r="55" ht="11.25">
      <c r="D55" s="497"/>
    </row>
    <row r="56" ht="11.25">
      <c r="D56" s="497"/>
    </row>
    <row r="57" ht="11.25">
      <c r="D57" s="497"/>
    </row>
    <row r="58" ht="11.25">
      <c r="D58" s="497"/>
    </row>
    <row r="59" ht="11.25">
      <c r="D59" s="497"/>
    </row>
    <row r="60" ht="11.25">
      <c r="D60" s="497"/>
    </row>
    <row r="61" ht="11.25">
      <c r="D61" s="497"/>
    </row>
    <row r="62" ht="11.25">
      <c r="D62" s="497"/>
    </row>
    <row r="63" ht="11.25">
      <c r="D63" s="497"/>
    </row>
    <row r="64" ht="11.25">
      <c r="D64" s="497"/>
    </row>
    <row r="65" ht="11.25">
      <c r="D65" s="497"/>
    </row>
    <row r="66" ht="11.25">
      <c r="D66" s="497"/>
    </row>
    <row r="67" spans="1:4" ht="12.75">
      <c r="A67" s="499"/>
      <c r="B67" s="493"/>
      <c r="C67" s="493"/>
      <c r="D67" s="497"/>
    </row>
    <row r="68" spans="1:10" ht="11.25">
      <c r="A68" s="491"/>
      <c r="B68" s="500"/>
      <c r="C68" s="500"/>
      <c r="D68" s="497"/>
      <c r="J68" s="497"/>
    </row>
    <row r="69" spans="1:4" ht="11.25">
      <c r="A69" s="491"/>
      <c r="B69" s="500"/>
      <c r="D69" s="497"/>
    </row>
    <row r="70" spans="1:4" ht="11.25">
      <c r="A70" s="493"/>
      <c r="B70" s="500"/>
      <c r="D70" s="497"/>
    </row>
    <row r="71" spans="1:9" ht="11.25">
      <c r="A71" s="501"/>
      <c r="B71" s="494"/>
      <c r="C71" s="494"/>
      <c r="D71" s="497"/>
      <c r="G71" s="492"/>
      <c r="H71" s="494"/>
      <c r="I71" s="494"/>
    </row>
    <row r="72" spans="1:9" ht="11.25">
      <c r="A72" s="501"/>
      <c r="B72" s="494"/>
      <c r="C72" s="494"/>
      <c r="D72" s="497"/>
      <c r="G72" s="492"/>
      <c r="H72" s="494"/>
      <c r="I72" s="494"/>
    </row>
    <row r="73" spans="1:9" ht="11.25">
      <c r="A73" s="501"/>
      <c r="B73" s="494"/>
      <c r="C73" s="494"/>
      <c r="D73" s="497"/>
      <c r="G73" s="492"/>
      <c r="H73" s="494"/>
      <c r="I73" s="494"/>
    </row>
    <row r="74" spans="1:9" ht="11.25">
      <c r="A74" s="501"/>
      <c r="B74" s="494"/>
      <c r="C74" s="494"/>
      <c r="D74" s="497"/>
      <c r="G74" s="492"/>
      <c r="H74" s="494"/>
      <c r="I74" s="494"/>
    </row>
    <row r="75" spans="1:9" ht="11.25">
      <c r="A75" s="501"/>
      <c r="B75" s="494"/>
      <c r="C75" s="494"/>
      <c r="D75" s="497"/>
      <c r="G75" s="492"/>
      <c r="H75" s="494"/>
      <c r="I75" s="494"/>
    </row>
    <row r="76" spans="1:9" ht="11.25">
      <c r="A76" s="501"/>
      <c r="B76" s="494"/>
      <c r="C76" s="494"/>
      <c r="D76" s="497"/>
      <c r="G76" s="492"/>
      <c r="H76" s="494"/>
      <c r="I76" s="494"/>
    </row>
    <row r="77" spans="1:9" ht="11.25">
      <c r="A77" s="501"/>
      <c r="B77" s="494"/>
      <c r="C77" s="494"/>
      <c r="D77" s="497"/>
      <c r="G77" s="492"/>
      <c r="H77" s="494"/>
      <c r="I77" s="494"/>
    </row>
    <row r="78" spans="1:9" ht="11.25">
      <c r="A78" s="501"/>
      <c r="B78" s="494"/>
      <c r="C78" s="494"/>
      <c r="D78" s="497"/>
      <c r="E78" s="491"/>
      <c r="F78" s="491"/>
      <c r="G78" s="492"/>
      <c r="H78" s="494"/>
      <c r="I78" s="494"/>
    </row>
    <row r="79" spans="1:9" ht="11.25">
      <c r="A79" s="501"/>
      <c r="B79" s="494"/>
      <c r="C79" s="494"/>
      <c r="D79" s="497"/>
      <c r="G79" s="492"/>
      <c r="H79" s="494"/>
      <c r="I79" s="494"/>
    </row>
    <row r="80" spans="1:9" ht="11.25">
      <c r="A80" s="501"/>
      <c r="B80" s="494"/>
      <c r="C80" s="494"/>
      <c r="D80" s="497"/>
      <c r="G80" s="492"/>
      <c r="H80" s="494"/>
      <c r="I80" s="494"/>
    </row>
    <row r="81" spans="2:4" ht="11.25">
      <c r="B81" s="494"/>
      <c r="C81" s="494"/>
      <c r="D81" s="497"/>
    </row>
    <row r="82" ht="11.25">
      <c r="D82" s="497"/>
    </row>
    <row r="83" ht="11.25">
      <c r="D83" s="497"/>
    </row>
    <row r="84" ht="11.25">
      <c r="D84" s="497"/>
    </row>
    <row r="85" ht="11.25">
      <c r="D85" s="497"/>
    </row>
    <row r="86" ht="11.25">
      <c r="D86" s="497"/>
    </row>
    <row r="87" ht="11.25">
      <c r="D87" s="497"/>
    </row>
    <row r="88" ht="11.25">
      <c r="D88" s="497"/>
    </row>
    <row r="89" ht="11.25">
      <c r="D89" s="497"/>
    </row>
    <row r="90" ht="11.25">
      <c r="D90" s="497"/>
    </row>
    <row r="91" ht="11.25">
      <c r="D91" s="497"/>
    </row>
    <row r="92" ht="11.25">
      <c r="D92" s="497"/>
    </row>
    <row r="93" ht="11.25">
      <c r="D93" s="497"/>
    </row>
    <row r="94" ht="11.25">
      <c r="D94" s="497"/>
    </row>
    <row r="95" ht="11.25">
      <c r="D95" s="497"/>
    </row>
    <row r="96" ht="11.25">
      <c r="D96" s="497"/>
    </row>
    <row r="97" ht="11.25">
      <c r="D97" s="497"/>
    </row>
    <row r="98" ht="11.25">
      <c r="D98" s="497"/>
    </row>
    <row r="99" ht="11.25">
      <c r="D99" s="497"/>
    </row>
    <row r="100" ht="11.25">
      <c r="D100" s="497"/>
    </row>
    <row r="101" ht="11.25">
      <c r="D101" s="497"/>
    </row>
    <row r="102" ht="11.25">
      <c r="D102" s="497"/>
    </row>
    <row r="103" ht="11.25">
      <c r="D103" s="497"/>
    </row>
    <row r="104" ht="11.25">
      <c r="D104" s="497"/>
    </row>
    <row r="105" ht="11.25">
      <c r="D105" s="497"/>
    </row>
    <row r="106" ht="11.25">
      <c r="D106" s="497"/>
    </row>
    <row r="107" ht="11.25">
      <c r="D107" s="497"/>
    </row>
    <row r="108" ht="11.25">
      <c r="D108" s="497"/>
    </row>
    <row r="109" ht="11.25">
      <c r="D109" s="497"/>
    </row>
    <row r="110" ht="11.25">
      <c r="D110" s="497"/>
    </row>
    <row r="111" ht="11.25">
      <c r="D111" s="497"/>
    </row>
    <row r="112" ht="11.25">
      <c r="D112" s="497"/>
    </row>
    <row r="113" ht="11.25">
      <c r="D113" s="497"/>
    </row>
    <row r="114" ht="11.25">
      <c r="D114" s="497"/>
    </row>
    <row r="115" ht="11.25">
      <c r="D115" s="497"/>
    </row>
    <row r="116" ht="11.25">
      <c r="D116" s="497"/>
    </row>
    <row r="117" ht="11.25">
      <c r="D117" s="497"/>
    </row>
    <row r="118" ht="11.25">
      <c r="D118" s="497"/>
    </row>
    <row r="119" ht="11.25">
      <c r="D119" s="497"/>
    </row>
    <row r="120" ht="11.25">
      <c r="D120" s="497"/>
    </row>
    <row r="121" ht="11.25">
      <c r="D121" s="497"/>
    </row>
    <row r="122" ht="11.25">
      <c r="D122" s="497"/>
    </row>
    <row r="123" ht="11.25">
      <c r="D123" s="497"/>
    </row>
    <row r="124" ht="11.25">
      <c r="D124" s="497"/>
    </row>
    <row r="125" ht="11.25">
      <c r="D125" s="497"/>
    </row>
    <row r="126" ht="11.25">
      <c r="D126" s="497"/>
    </row>
    <row r="127" ht="11.25">
      <c r="D127" s="497"/>
    </row>
    <row r="128" ht="11.25">
      <c r="D128" s="497"/>
    </row>
    <row r="129" ht="11.25">
      <c r="D129" s="497"/>
    </row>
    <row r="130" ht="11.25">
      <c r="D130" s="497"/>
    </row>
    <row r="131" ht="11.25">
      <c r="D131" s="497"/>
    </row>
    <row r="132" ht="11.25">
      <c r="D132" s="497"/>
    </row>
    <row r="133" ht="11.25">
      <c r="D133" s="497"/>
    </row>
    <row r="134" ht="11.25">
      <c r="D134" s="497"/>
    </row>
    <row r="135" ht="11.25">
      <c r="D135" s="497"/>
    </row>
    <row r="136" ht="11.25">
      <c r="D136" s="497"/>
    </row>
    <row r="137" ht="11.25">
      <c r="D137" s="497"/>
    </row>
    <row r="138" ht="11.25">
      <c r="D138" s="497"/>
    </row>
    <row r="139" ht="11.25">
      <c r="D139" s="497"/>
    </row>
    <row r="140" ht="11.25">
      <c r="D140" s="497"/>
    </row>
    <row r="141" ht="11.25">
      <c r="D141" s="497"/>
    </row>
    <row r="142" ht="11.25">
      <c r="D142" s="497"/>
    </row>
    <row r="143" ht="11.25">
      <c r="D143" s="497"/>
    </row>
    <row r="144" ht="11.25">
      <c r="D144" s="497"/>
    </row>
    <row r="145" ht="11.25">
      <c r="D145" s="497"/>
    </row>
    <row r="146" ht="11.25">
      <c r="D146" s="497"/>
    </row>
    <row r="147" ht="11.25">
      <c r="D147" s="497"/>
    </row>
    <row r="148" ht="11.25">
      <c r="D148" s="497"/>
    </row>
    <row r="149" ht="11.25">
      <c r="D149" s="497"/>
    </row>
    <row r="150" ht="11.25">
      <c r="D150" s="497"/>
    </row>
    <row r="151" ht="11.25">
      <c r="D151" s="497"/>
    </row>
    <row r="152" ht="11.25">
      <c r="D152" s="497"/>
    </row>
    <row r="153" ht="11.25">
      <c r="D153" s="497"/>
    </row>
    <row r="154" ht="11.25">
      <c r="D154" s="497"/>
    </row>
    <row r="155" ht="11.25">
      <c r="D155" s="497"/>
    </row>
    <row r="156" ht="11.25">
      <c r="D156" s="497"/>
    </row>
    <row r="157" ht="11.25">
      <c r="D157" s="497"/>
    </row>
    <row r="158" ht="11.25">
      <c r="D158" s="497"/>
    </row>
    <row r="159" ht="11.25">
      <c r="D159" s="497"/>
    </row>
    <row r="160" ht="11.25">
      <c r="D160" s="497"/>
    </row>
    <row r="161" ht="11.25">
      <c r="D161" s="497"/>
    </row>
    <row r="162" ht="11.25">
      <c r="D162" s="497"/>
    </row>
    <row r="163" ht="11.25">
      <c r="D163" s="497"/>
    </row>
    <row r="164" ht="11.25">
      <c r="D164" s="497"/>
    </row>
    <row r="165" ht="11.25">
      <c r="D165" s="497"/>
    </row>
    <row r="166" ht="11.25">
      <c r="D166" s="497"/>
    </row>
    <row r="167" ht="11.25">
      <c r="D167" s="497"/>
    </row>
    <row r="168" ht="11.25">
      <c r="D168" s="497"/>
    </row>
    <row r="169" ht="11.25">
      <c r="D169" s="497"/>
    </row>
    <row r="170" ht="11.25">
      <c r="D170" s="497"/>
    </row>
    <row r="171" ht="11.25">
      <c r="D171" s="497"/>
    </row>
    <row r="172" ht="11.25">
      <c r="D172" s="497"/>
    </row>
    <row r="173" ht="11.25">
      <c r="D173" s="497"/>
    </row>
    <row r="174" ht="11.25">
      <c r="D174" s="497"/>
    </row>
    <row r="175" ht="11.25">
      <c r="D175" s="497"/>
    </row>
    <row r="176" ht="11.25">
      <c r="D176" s="497"/>
    </row>
    <row r="177" ht="11.25">
      <c r="D177" s="497"/>
    </row>
    <row r="178" ht="11.25">
      <c r="D178" s="497"/>
    </row>
  </sheetData>
  <mergeCells count="1">
    <mergeCell ref="AT5:AT6"/>
  </mergeCells>
  <printOptions horizontalCentered="1" verticalCentered="1"/>
  <pageMargins left="0.34" right="0.15748031496062992" top="0.5905511811023623" bottom="0.6692913385826772" header="0.3937007874015748" footer="0.35433070866141736"/>
  <pageSetup horizontalDpi="1200" verticalDpi="1200" orientation="landscape" paperSize="9" scale="85" r:id="rId1"/>
  <headerFooter alignWithMargins="0">
    <oddHeader>&amp;R
</oddHeader>
    <oddFooter>&amp;C4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79"/>
  <sheetViews>
    <sheetView workbookViewId="0" topLeftCell="A39">
      <selection activeCell="C70" sqref="C70"/>
    </sheetView>
  </sheetViews>
  <sheetFormatPr defaultColWidth="9.00390625" defaultRowHeight="12.75"/>
  <cols>
    <col min="1" max="1" width="4.625" style="2" customWidth="1"/>
    <col min="2" max="2" width="5.00390625" style="2" customWidth="1"/>
    <col min="3" max="3" width="15.25390625" style="2" customWidth="1"/>
    <col min="4" max="4" width="11.25390625" style="2" customWidth="1"/>
    <col min="5" max="6" width="10.75390625" style="2" customWidth="1"/>
    <col min="7" max="7" width="10.00390625" style="2" customWidth="1"/>
    <col min="8" max="8" width="9.875" style="2" customWidth="1"/>
    <col min="9" max="9" width="9.25390625" style="2" customWidth="1"/>
    <col min="10" max="10" width="10.375" style="2" customWidth="1"/>
    <col min="11" max="11" width="9.625" style="2" customWidth="1"/>
    <col min="12" max="12" width="9.875" style="2" customWidth="1"/>
    <col min="13" max="16384" width="9.125" style="2" customWidth="1"/>
  </cols>
  <sheetData>
    <row r="1" spans="1:2" ht="12.75">
      <c r="A1" s="20" t="s">
        <v>402</v>
      </c>
      <c r="B1" s="20"/>
    </row>
    <row r="2" spans="1:3" ht="12.75">
      <c r="A2" s="20"/>
      <c r="B2" s="20"/>
      <c r="C2" s="415"/>
    </row>
    <row r="3" spans="1:2" ht="13.5" thickBot="1">
      <c r="A3" s="20" t="s">
        <v>401</v>
      </c>
      <c r="B3" s="20"/>
    </row>
    <row r="4" spans="1:9" ht="12.75">
      <c r="A4" s="416"/>
      <c r="B4" s="417"/>
      <c r="C4" s="3"/>
      <c r="D4" s="1261" t="s">
        <v>262</v>
      </c>
      <c r="E4" s="1262"/>
      <c r="F4" s="1262"/>
      <c r="G4" s="1265" t="s">
        <v>229</v>
      </c>
      <c r="H4" s="1266"/>
      <c r="I4" s="1267"/>
    </row>
    <row r="5" spans="1:9" ht="12.75">
      <c r="A5" s="418"/>
      <c r="B5" s="419"/>
      <c r="C5" s="7"/>
      <c r="D5" s="72"/>
      <c r="E5" s="1263" t="s">
        <v>65</v>
      </c>
      <c r="F5" s="1264"/>
      <c r="G5" s="75"/>
      <c r="H5" s="1268" t="s">
        <v>65</v>
      </c>
      <c r="I5" s="1269"/>
    </row>
    <row r="6" spans="1:9" ht="12.75">
      <c r="A6" s="418"/>
      <c r="B6" s="419" t="s">
        <v>72</v>
      </c>
      <c r="C6" s="7"/>
      <c r="D6" s="73" t="s">
        <v>403</v>
      </c>
      <c r="E6" s="118" t="s">
        <v>144</v>
      </c>
      <c r="F6" s="420" t="s">
        <v>108</v>
      </c>
      <c r="G6" s="76" t="s">
        <v>403</v>
      </c>
      <c r="H6" s="118" t="s">
        <v>144</v>
      </c>
      <c r="I6" s="421" t="s">
        <v>108</v>
      </c>
    </row>
    <row r="7" spans="1:9" ht="13.5" thickBot="1">
      <c r="A7" s="422" t="s">
        <v>69</v>
      </c>
      <c r="B7" s="423" t="s">
        <v>73</v>
      </c>
      <c r="C7" s="4"/>
      <c r="D7" s="74" t="s">
        <v>22</v>
      </c>
      <c r="E7" s="424" t="s">
        <v>49</v>
      </c>
      <c r="F7" s="425" t="s">
        <v>22</v>
      </c>
      <c r="G7" s="77" t="s">
        <v>22</v>
      </c>
      <c r="H7" s="424" t="s">
        <v>49</v>
      </c>
      <c r="I7" s="426" t="s">
        <v>22</v>
      </c>
    </row>
    <row r="8" spans="1:12" ht="12.75">
      <c r="A8" s="427">
        <v>16</v>
      </c>
      <c r="B8" s="428">
        <v>11</v>
      </c>
      <c r="C8" s="7" t="s">
        <v>12</v>
      </c>
      <c r="D8" s="468">
        <v>270778</v>
      </c>
      <c r="E8" s="6">
        <f>'str1-3'!D70</f>
        <v>27207</v>
      </c>
      <c r="F8" s="96">
        <f>D8-E8</f>
        <v>243571</v>
      </c>
      <c r="G8" s="66">
        <f>SUM(H8:I8)</f>
        <v>240106</v>
      </c>
      <c r="H8" s="6">
        <v>24126</v>
      </c>
      <c r="I8" s="63">
        <v>215980</v>
      </c>
      <c r="J8" s="466"/>
      <c r="K8" s="467"/>
      <c r="L8" s="504"/>
    </row>
    <row r="9" spans="1:12" ht="12.75">
      <c r="A9" s="430">
        <v>17</v>
      </c>
      <c r="B9" s="431">
        <v>21</v>
      </c>
      <c r="C9" s="100" t="s">
        <v>13</v>
      </c>
      <c r="D9" s="142">
        <v>223415</v>
      </c>
      <c r="E9" s="143">
        <f>'str1-3'!D71</f>
        <v>13192</v>
      </c>
      <c r="F9" s="144">
        <f aca="true" t="shared" si="0" ref="F9:F16">D9-E9</f>
        <v>210223</v>
      </c>
      <c r="G9" s="145">
        <f aca="true" t="shared" si="1" ref="G9:G16">SUM(H9:I9)</f>
        <v>203820</v>
      </c>
      <c r="H9" s="143">
        <v>13132</v>
      </c>
      <c r="I9" s="146">
        <v>190688</v>
      </c>
      <c r="J9" s="466"/>
      <c r="K9" s="467"/>
      <c r="L9" s="504"/>
    </row>
    <row r="10" spans="1:12" ht="12.75">
      <c r="A10" s="430">
        <v>18</v>
      </c>
      <c r="B10" s="431">
        <v>22</v>
      </c>
      <c r="C10" s="100" t="s">
        <v>14</v>
      </c>
      <c r="D10" s="142">
        <v>82023</v>
      </c>
      <c r="E10" s="143">
        <f>'str1-3'!D72</f>
        <v>2089</v>
      </c>
      <c r="F10" s="144">
        <f t="shared" si="0"/>
        <v>79934</v>
      </c>
      <c r="G10" s="145">
        <f t="shared" si="1"/>
        <v>83797</v>
      </c>
      <c r="H10" s="143">
        <v>1619</v>
      </c>
      <c r="I10" s="146">
        <v>82178</v>
      </c>
      <c r="J10" s="466"/>
      <c r="K10" s="467"/>
      <c r="L10" s="504"/>
    </row>
    <row r="11" spans="1:12" ht="12.75">
      <c r="A11" s="430">
        <v>19</v>
      </c>
      <c r="B11" s="431">
        <v>23</v>
      </c>
      <c r="C11" s="100" t="s">
        <v>15</v>
      </c>
      <c r="D11" s="142">
        <v>95258</v>
      </c>
      <c r="E11" s="143">
        <f>'str1-3'!D73</f>
        <v>9669</v>
      </c>
      <c r="F11" s="144">
        <f t="shared" si="0"/>
        <v>85589</v>
      </c>
      <c r="G11" s="145">
        <f t="shared" si="1"/>
        <v>83293</v>
      </c>
      <c r="H11" s="143">
        <v>9892</v>
      </c>
      <c r="I11" s="146">
        <v>73401</v>
      </c>
      <c r="J11" s="466"/>
      <c r="K11" s="467"/>
      <c r="L11" s="504"/>
    </row>
    <row r="12" spans="1:12" ht="12.75">
      <c r="A12" s="430">
        <v>20</v>
      </c>
      <c r="B12" s="431">
        <v>31</v>
      </c>
      <c r="C12" s="100" t="s">
        <v>16</v>
      </c>
      <c r="D12" s="142">
        <v>198976</v>
      </c>
      <c r="E12" s="143">
        <f>'str1-3'!D74</f>
        <v>51472</v>
      </c>
      <c r="F12" s="144">
        <f t="shared" si="0"/>
        <v>147504</v>
      </c>
      <c r="G12" s="145">
        <f t="shared" si="1"/>
        <v>197084</v>
      </c>
      <c r="H12" s="143">
        <v>49027</v>
      </c>
      <c r="I12" s="146">
        <v>148057</v>
      </c>
      <c r="J12" s="466"/>
      <c r="K12" s="467"/>
      <c r="L12" s="504"/>
    </row>
    <row r="13" spans="1:12" ht="12.75">
      <c r="A13" s="430">
        <v>21</v>
      </c>
      <c r="B13" s="431">
        <v>33</v>
      </c>
      <c r="C13" s="100" t="s">
        <v>17</v>
      </c>
      <c r="D13" s="142">
        <v>82349</v>
      </c>
      <c r="E13" s="143">
        <f>'str1-3'!D75</f>
        <v>7044</v>
      </c>
      <c r="F13" s="144">
        <f t="shared" si="0"/>
        <v>75305</v>
      </c>
      <c r="G13" s="145">
        <f t="shared" si="1"/>
        <v>85451</v>
      </c>
      <c r="H13" s="143">
        <v>6980</v>
      </c>
      <c r="I13" s="146">
        <v>78471</v>
      </c>
      <c r="J13" s="466"/>
      <c r="K13" s="467"/>
      <c r="L13" s="504"/>
    </row>
    <row r="14" spans="1:12" ht="12.75">
      <c r="A14" s="430">
        <v>22</v>
      </c>
      <c r="B14" s="431">
        <v>41</v>
      </c>
      <c r="C14" s="100" t="s">
        <v>18</v>
      </c>
      <c r="D14" s="142">
        <v>178057</v>
      </c>
      <c r="E14" s="143">
        <f>'str1-3'!D76</f>
        <v>3766</v>
      </c>
      <c r="F14" s="144">
        <f t="shared" si="0"/>
        <v>174291</v>
      </c>
      <c r="G14" s="145">
        <f t="shared" si="1"/>
        <v>162321</v>
      </c>
      <c r="H14" s="143">
        <v>3134</v>
      </c>
      <c r="I14" s="146">
        <v>159187</v>
      </c>
      <c r="J14" s="466"/>
      <c r="K14" s="467"/>
      <c r="L14" s="504"/>
    </row>
    <row r="15" spans="1:12" ht="12.75">
      <c r="A15" s="430">
        <v>23</v>
      </c>
      <c r="B15" s="431">
        <v>51</v>
      </c>
      <c r="C15" s="100" t="s">
        <v>19</v>
      </c>
      <c r="D15" s="142">
        <v>40385</v>
      </c>
      <c r="E15" s="143">
        <f>'str1-3'!D77</f>
        <v>158</v>
      </c>
      <c r="F15" s="144">
        <f t="shared" si="0"/>
        <v>40227</v>
      </c>
      <c r="G15" s="145">
        <f t="shared" si="1"/>
        <v>41302</v>
      </c>
      <c r="H15" s="143">
        <v>297</v>
      </c>
      <c r="I15" s="146">
        <v>41005</v>
      </c>
      <c r="J15" s="466"/>
      <c r="K15" s="467"/>
      <c r="L15" s="504"/>
    </row>
    <row r="16" spans="1:12" ht="12.75">
      <c r="A16" s="432">
        <v>24</v>
      </c>
      <c r="B16" s="433">
        <v>56</v>
      </c>
      <c r="C16" s="121" t="s">
        <v>20</v>
      </c>
      <c r="D16" s="147">
        <v>90298</v>
      </c>
      <c r="E16" s="148">
        <f>'str1-3'!D78</f>
        <v>5362</v>
      </c>
      <c r="F16" s="149">
        <f t="shared" si="0"/>
        <v>84936</v>
      </c>
      <c r="G16" s="150">
        <f t="shared" si="1"/>
        <v>88640</v>
      </c>
      <c r="H16" s="148">
        <v>4708</v>
      </c>
      <c r="I16" s="151">
        <v>83932</v>
      </c>
      <c r="J16" s="466"/>
      <c r="K16" s="467"/>
      <c r="L16" s="504"/>
    </row>
    <row r="17" spans="1:12" s="20" customFormat="1" ht="12.75">
      <c r="A17" s="505">
        <v>25</v>
      </c>
      <c r="B17" s="506" t="s">
        <v>74</v>
      </c>
      <c r="C17" s="507"/>
      <c r="D17" s="508">
        <f aca="true" t="shared" si="2" ref="D17:I17">SUM(D8:D16)</f>
        <v>1261539</v>
      </c>
      <c r="E17" s="509">
        <f t="shared" si="2"/>
        <v>119959</v>
      </c>
      <c r="F17" s="510">
        <f t="shared" si="2"/>
        <v>1141580</v>
      </c>
      <c r="G17" s="78">
        <f t="shared" si="2"/>
        <v>1185814</v>
      </c>
      <c r="H17" s="511">
        <f t="shared" si="2"/>
        <v>112915</v>
      </c>
      <c r="I17" s="512">
        <f t="shared" si="2"/>
        <v>1072899</v>
      </c>
      <c r="J17" s="513"/>
      <c r="K17" s="514"/>
      <c r="L17" s="514"/>
    </row>
    <row r="18" spans="1:12" ht="12.75">
      <c r="A18" s="427">
        <v>26</v>
      </c>
      <c r="B18" s="428">
        <v>81</v>
      </c>
      <c r="C18" s="7" t="s">
        <v>150</v>
      </c>
      <c r="D18" s="452">
        <f>SUM(E18:F18)</f>
        <v>0</v>
      </c>
      <c r="E18" s="6"/>
      <c r="F18" s="146">
        <f>'pril1-CP'!J104</f>
        <v>0</v>
      </c>
      <c r="G18" s="66">
        <f>SUM(H18:I18)</f>
        <v>0</v>
      </c>
      <c r="H18" s="6"/>
      <c r="I18" s="63">
        <v>0</v>
      </c>
      <c r="J18" s="429"/>
      <c r="K18" s="429"/>
      <c r="L18" s="429"/>
    </row>
    <row r="19" spans="1:9" ht="12.75">
      <c r="A19" s="430">
        <v>27</v>
      </c>
      <c r="B19" s="431">
        <v>82</v>
      </c>
      <c r="C19" s="100" t="s">
        <v>5</v>
      </c>
      <c r="D19" s="452">
        <f aca="true" t="shared" si="3" ref="D19:D27">SUM(E19:F19)</f>
        <v>0</v>
      </c>
      <c r="E19" s="143"/>
      <c r="F19" s="146">
        <f>'pril1-CP'!J105</f>
        <v>0</v>
      </c>
      <c r="G19" s="145">
        <f>SUM(H19:I19)</f>
        <v>0</v>
      </c>
      <c r="H19" s="143"/>
      <c r="I19" s="146">
        <v>0</v>
      </c>
    </row>
    <row r="20" spans="1:9" ht="12.75">
      <c r="A20" s="430">
        <f>A19+1</f>
        <v>28</v>
      </c>
      <c r="B20" s="431">
        <v>83</v>
      </c>
      <c r="C20" s="100" t="s">
        <v>204</v>
      </c>
      <c r="D20" s="452">
        <f t="shared" si="3"/>
        <v>3675</v>
      </c>
      <c r="E20" s="143"/>
      <c r="F20" s="146">
        <f>'pril1-CP'!J106</f>
        <v>3675</v>
      </c>
      <c r="G20" s="145">
        <f aca="true" t="shared" si="4" ref="G20:G27">SUM(H20:I20)</f>
        <v>3500</v>
      </c>
      <c r="H20" s="143"/>
      <c r="I20" s="146">
        <v>3500</v>
      </c>
    </row>
    <row r="21" spans="1:9" ht="12.75">
      <c r="A21" s="430">
        <f aca="true" t="shared" si="5" ref="A21:A33">A20+1</f>
        <v>29</v>
      </c>
      <c r="B21" s="431">
        <v>84</v>
      </c>
      <c r="C21" s="100" t="s">
        <v>202</v>
      </c>
      <c r="D21" s="452">
        <f t="shared" si="3"/>
        <v>1796</v>
      </c>
      <c r="E21" s="143"/>
      <c r="F21" s="146">
        <f>'pril1-CP'!J107</f>
        <v>1796</v>
      </c>
      <c r="G21" s="145">
        <f t="shared" si="4"/>
        <v>1710</v>
      </c>
      <c r="H21" s="143"/>
      <c r="I21" s="146">
        <v>1710</v>
      </c>
    </row>
    <row r="22" spans="1:9" ht="12.75">
      <c r="A22" s="430">
        <f t="shared" si="5"/>
        <v>30</v>
      </c>
      <c r="B22" s="431">
        <v>85</v>
      </c>
      <c r="C22" s="100" t="s">
        <v>324</v>
      </c>
      <c r="D22" s="452">
        <f t="shared" si="3"/>
        <v>0</v>
      </c>
      <c r="E22" s="143"/>
      <c r="F22" s="146">
        <f>'pril1-CP'!J108</f>
        <v>0</v>
      </c>
      <c r="G22" s="145">
        <f t="shared" si="4"/>
        <v>0</v>
      </c>
      <c r="H22" s="143"/>
      <c r="I22" s="146">
        <v>0</v>
      </c>
    </row>
    <row r="23" spans="1:9" ht="12.75">
      <c r="A23" s="430">
        <f t="shared" si="5"/>
        <v>31</v>
      </c>
      <c r="B23" s="431">
        <v>92</v>
      </c>
      <c r="C23" s="100" t="s">
        <v>23</v>
      </c>
      <c r="D23" s="452">
        <f t="shared" si="3"/>
        <v>94555</v>
      </c>
      <c r="E23" s="143"/>
      <c r="F23" s="146">
        <f>'pril1-CP'!J109</f>
        <v>94555</v>
      </c>
      <c r="G23" s="145">
        <f t="shared" si="4"/>
        <v>88369</v>
      </c>
      <c r="H23" s="143"/>
      <c r="I23" s="146">
        <v>88369</v>
      </c>
    </row>
    <row r="24" spans="1:9" ht="12.75">
      <c r="A24" s="430">
        <f t="shared" si="5"/>
        <v>32</v>
      </c>
      <c r="B24" s="431">
        <v>94</v>
      </c>
      <c r="C24" s="100" t="s">
        <v>161</v>
      </c>
      <c r="D24" s="452">
        <f t="shared" si="3"/>
        <v>0</v>
      </c>
      <c r="E24" s="143"/>
      <c r="F24" s="146">
        <f>'pril1-CP'!J110</f>
        <v>0</v>
      </c>
      <c r="G24" s="145">
        <f t="shared" si="4"/>
        <v>0</v>
      </c>
      <c r="H24" s="143"/>
      <c r="I24" s="146">
        <v>0</v>
      </c>
    </row>
    <row r="25" spans="1:9" ht="12.75">
      <c r="A25" s="430">
        <f t="shared" si="5"/>
        <v>33</v>
      </c>
      <c r="B25" s="431">
        <v>96</v>
      </c>
      <c r="C25" s="100" t="s">
        <v>53</v>
      </c>
      <c r="D25" s="452">
        <f t="shared" si="3"/>
        <v>26609</v>
      </c>
      <c r="E25" s="143"/>
      <c r="F25" s="146">
        <f>'pril1-CP'!J111</f>
        <v>26609</v>
      </c>
      <c r="G25" s="145">
        <f t="shared" si="4"/>
        <v>21961</v>
      </c>
      <c r="H25" s="143"/>
      <c r="I25" s="146">
        <v>21961</v>
      </c>
    </row>
    <row r="26" spans="1:9" ht="12.75">
      <c r="A26" s="430">
        <f t="shared" si="5"/>
        <v>34</v>
      </c>
      <c r="B26" s="431">
        <v>97</v>
      </c>
      <c r="C26" s="100" t="s">
        <v>54</v>
      </c>
      <c r="D26" s="452">
        <f t="shared" si="3"/>
        <v>7749</v>
      </c>
      <c r="E26" s="143"/>
      <c r="F26" s="146">
        <f>'pril1-CP'!J112</f>
        <v>7749</v>
      </c>
      <c r="G26" s="145">
        <f t="shared" si="4"/>
        <v>7380</v>
      </c>
      <c r="H26" s="143"/>
      <c r="I26" s="146">
        <v>7380</v>
      </c>
    </row>
    <row r="27" spans="1:9" ht="12.75">
      <c r="A27" s="432">
        <f t="shared" si="5"/>
        <v>35</v>
      </c>
      <c r="B27" s="433">
        <v>99</v>
      </c>
      <c r="C27" s="121" t="s">
        <v>223</v>
      </c>
      <c r="D27" s="452">
        <f t="shared" si="3"/>
        <v>79317</v>
      </c>
      <c r="E27" s="148"/>
      <c r="F27" s="146">
        <f>'pril1-CP'!J113</f>
        <v>79317</v>
      </c>
      <c r="G27" s="150">
        <f t="shared" si="4"/>
        <v>74128</v>
      </c>
      <c r="H27" s="148"/>
      <c r="I27" s="151">
        <v>74128</v>
      </c>
    </row>
    <row r="28" spans="1:10" s="20" customFormat="1" ht="12.75">
      <c r="A28" s="515">
        <f t="shared" si="5"/>
        <v>36</v>
      </c>
      <c r="B28" s="516" t="s">
        <v>485</v>
      </c>
      <c r="C28" s="516"/>
      <c r="D28" s="517">
        <f>SUM(D18:D27)</f>
        <v>213701</v>
      </c>
      <c r="E28" s="518"/>
      <c r="F28" s="519">
        <f>SUM(F18:F27)</f>
        <v>213701</v>
      </c>
      <c r="G28" s="517">
        <f>SUM(G18:G27)</f>
        <v>197048</v>
      </c>
      <c r="H28" s="518"/>
      <c r="I28" s="520">
        <f>SUM(I18:I27)</f>
        <v>197048</v>
      </c>
      <c r="J28" s="513"/>
    </row>
    <row r="29" spans="1:9" ht="12.75">
      <c r="A29" s="453">
        <f t="shared" si="5"/>
        <v>37</v>
      </c>
      <c r="B29" s="454" t="s">
        <v>222</v>
      </c>
      <c r="C29" s="454"/>
      <c r="D29" s="452">
        <f>SUM(E29:F29)</f>
        <v>185234</v>
      </c>
      <c r="E29" s="455"/>
      <c r="F29" s="456">
        <f>'pril1-CP'!J5</f>
        <v>185234</v>
      </c>
      <c r="G29" s="457">
        <f>SUM(H29:I29)</f>
        <v>169333</v>
      </c>
      <c r="H29" s="455"/>
      <c r="I29" s="458">
        <v>169333</v>
      </c>
    </row>
    <row r="30" spans="1:9" ht="12.75">
      <c r="A30" s="137">
        <f t="shared" si="5"/>
        <v>38</v>
      </c>
      <c r="B30" s="459" t="s">
        <v>220</v>
      </c>
      <c r="C30" s="459"/>
      <c r="D30" s="142">
        <f>SUM(E30:F30)</f>
        <v>128342</v>
      </c>
      <c r="E30" s="143"/>
      <c r="F30" s="144">
        <f>'pril1-CP'!J26</f>
        <v>128342</v>
      </c>
      <c r="G30" s="145">
        <f>SUM(H30:I30)</f>
        <v>115713</v>
      </c>
      <c r="H30" s="143"/>
      <c r="I30" s="146">
        <v>115713</v>
      </c>
    </row>
    <row r="31" spans="1:10" ht="12.75">
      <c r="A31" s="434">
        <f t="shared" si="5"/>
        <v>39</v>
      </c>
      <c r="B31" s="435" t="s">
        <v>221</v>
      </c>
      <c r="C31" s="435"/>
      <c r="D31" s="70">
        <f>SUM(E31:F31)</f>
        <v>16000</v>
      </c>
      <c r="E31" s="22"/>
      <c r="F31" s="97">
        <f>'pril1-CP'!J96</f>
        <v>16000</v>
      </c>
      <c r="G31" s="67">
        <f>SUM(H31:I31)</f>
        <v>15700</v>
      </c>
      <c r="H31" s="22"/>
      <c r="I31" s="64">
        <v>15700</v>
      </c>
      <c r="J31" s="94"/>
    </row>
    <row r="32" spans="1:9" ht="13.5" thickBot="1">
      <c r="A32" s="35">
        <f t="shared" si="5"/>
        <v>40</v>
      </c>
      <c r="B32" s="36" t="s">
        <v>2</v>
      </c>
      <c r="C32" s="36"/>
      <c r="D32" s="71">
        <f>SUM(D28:D31)</f>
        <v>543277</v>
      </c>
      <c r="E32" s="37"/>
      <c r="F32" s="98">
        <f>SUM(F28:F31)</f>
        <v>543277</v>
      </c>
      <c r="G32" s="68">
        <f>SUM(G28:G31)</f>
        <v>497794</v>
      </c>
      <c r="H32" s="37"/>
      <c r="I32" s="65">
        <f>SUM(I28:I31)</f>
        <v>497794</v>
      </c>
    </row>
    <row r="33" spans="1:9" ht="13.5" thickBot="1">
      <c r="A33" s="26">
        <f t="shared" si="5"/>
        <v>41</v>
      </c>
      <c r="B33" s="27" t="s">
        <v>70</v>
      </c>
      <c r="C33" s="27"/>
      <c r="D33" s="79">
        <f aca="true" t="shared" si="6" ref="D33:I33">D17+D32</f>
        <v>1804816</v>
      </c>
      <c r="E33" s="23">
        <f t="shared" si="6"/>
        <v>119959</v>
      </c>
      <c r="F33" s="436">
        <f t="shared" si="6"/>
        <v>1684857</v>
      </c>
      <c r="G33" s="90">
        <f t="shared" si="6"/>
        <v>1683608</v>
      </c>
      <c r="H33" s="88">
        <f t="shared" si="6"/>
        <v>112915</v>
      </c>
      <c r="I33" s="437">
        <f t="shared" si="6"/>
        <v>1570693</v>
      </c>
    </row>
    <row r="34" spans="4:10" ht="12.75">
      <c r="D34" s="466"/>
      <c r="E34" s="466"/>
      <c r="F34" s="466"/>
      <c r="G34" s="466"/>
      <c r="H34" s="466"/>
      <c r="I34" s="466"/>
      <c r="J34" s="429"/>
    </row>
    <row r="35" spans="1:9" ht="14.25">
      <c r="A35" s="438"/>
      <c r="D35" s="429"/>
      <c r="E35" s="429"/>
      <c r="F35" s="429"/>
      <c r="G35" s="429"/>
      <c r="H35" s="429"/>
      <c r="I35" s="429"/>
    </row>
    <row r="36" spans="1:9" ht="14.25">
      <c r="A36" s="438"/>
      <c r="D36" s="429"/>
      <c r="E36" s="429"/>
      <c r="G36" s="429"/>
      <c r="H36" s="429"/>
      <c r="I36" s="429"/>
    </row>
    <row r="37" spans="1:9" ht="14.25">
      <c r="A37" s="438"/>
      <c r="D37" s="429"/>
      <c r="E37" s="429"/>
      <c r="G37" s="429"/>
      <c r="H37" s="429"/>
      <c r="I37" s="429"/>
    </row>
    <row r="39" ht="11.25" customHeight="1"/>
    <row r="40" ht="17.25" customHeight="1" thickBot="1">
      <c r="A40" s="20" t="s">
        <v>404</v>
      </c>
    </row>
    <row r="41" spans="1:12" ht="12.75" customHeight="1">
      <c r="A41" s="416"/>
      <c r="B41" s="417"/>
      <c r="C41" s="3"/>
      <c r="D41" s="1261" t="s">
        <v>262</v>
      </c>
      <c r="E41" s="1262"/>
      <c r="F41" s="1262"/>
      <c r="G41" s="417"/>
      <c r="H41" s="3"/>
      <c r="I41" s="32"/>
      <c r="J41" s="1265" t="s">
        <v>229</v>
      </c>
      <c r="K41" s="1266"/>
      <c r="L41" s="1267"/>
    </row>
    <row r="42" spans="1:12" ht="13.5" customHeight="1">
      <c r="A42" s="418"/>
      <c r="B42" s="419"/>
      <c r="C42" s="7"/>
      <c r="D42" s="72" t="s">
        <v>110</v>
      </c>
      <c r="E42" s="1264" t="s">
        <v>65</v>
      </c>
      <c r="F42" s="1264"/>
      <c r="G42" s="419"/>
      <c r="H42" s="7"/>
      <c r="I42" s="356"/>
      <c r="J42" s="75" t="s">
        <v>110</v>
      </c>
      <c r="K42" s="1264" t="s">
        <v>65</v>
      </c>
      <c r="L42" s="1270"/>
    </row>
    <row r="43" spans="1:12" ht="13.5" customHeight="1">
      <c r="A43" s="418"/>
      <c r="B43" s="419" t="s">
        <v>72</v>
      </c>
      <c r="C43" s="7"/>
      <c r="D43" s="73" t="s">
        <v>45</v>
      </c>
      <c r="E43" s="118" t="s">
        <v>138</v>
      </c>
      <c r="F43" s="439" t="s">
        <v>108</v>
      </c>
      <c r="G43" s="1271" t="s">
        <v>109</v>
      </c>
      <c r="H43" s="1272"/>
      <c r="I43" s="1273"/>
      <c r="J43" s="76" t="s">
        <v>45</v>
      </c>
      <c r="K43" s="118" t="s">
        <v>138</v>
      </c>
      <c r="L43" s="440" t="s">
        <v>108</v>
      </c>
    </row>
    <row r="44" spans="1:12" ht="15" customHeight="1" thickBot="1">
      <c r="A44" s="422" t="s">
        <v>69</v>
      </c>
      <c r="B44" s="423" t="s">
        <v>73</v>
      </c>
      <c r="C44" s="4"/>
      <c r="D44" s="74" t="s">
        <v>22</v>
      </c>
      <c r="E44" s="424" t="s">
        <v>49</v>
      </c>
      <c r="F44" s="441" t="s">
        <v>22</v>
      </c>
      <c r="G44" s="14" t="s">
        <v>66</v>
      </c>
      <c r="H44" s="85" t="s">
        <v>67</v>
      </c>
      <c r="I44" s="13" t="s">
        <v>68</v>
      </c>
      <c r="J44" s="77" t="s">
        <v>22</v>
      </c>
      <c r="K44" s="424" t="s">
        <v>49</v>
      </c>
      <c r="L44" s="442" t="s">
        <v>22</v>
      </c>
    </row>
    <row r="45" spans="1:12" ht="12.75">
      <c r="A45" s="33">
        <v>42</v>
      </c>
      <c r="B45" s="118">
        <v>11</v>
      </c>
      <c r="C45" s="7" t="s">
        <v>12</v>
      </c>
      <c r="D45" s="69">
        <f>SUM(E45:F45)</f>
        <v>282341</v>
      </c>
      <c r="E45" s="6">
        <f aca="true" t="shared" si="7" ref="E45:E53">E8</f>
        <v>27207</v>
      </c>
      <c r="F45" s="443">
        <f>SUM(G45:I45)</f>
        <v>255134</v>
      </c>
      <c r="G45" s="82">
        <f>F8</f>
        <v>243571</v>
      </c>
      <c r="H45" s="80">
        <f>'příl.4-odhad odpisu07'!Z6</f>
        <v>11563</v>
      </c>
      <c r="I45" s="81">
        <v>0</v>
      </c>
      <c r="J45" s="66">
        <f>SUM(K45:L45)</f>
        <v>240106</v>
      </c>
      <c r="K45" s="6">
        <f>H8</f>
        <v>24126</v>
      </c>
      <c r="L45" s="444">
        <f>I8</f>
        <v>215980</v>
      </c>
    </row>
    <row r="46" spans="1:12" ht="12.75">
      <c r="A46" s="137">
        <v>43</v>
      </c>
      <c r="B46" s="119">
        <v>21</v>
      </c>
      <c r="C46" s="100" t="s">
        <v>13</v>
      </c>
      <c r="D46" s="142">
        <f aca="true" t="shared" si="8" ref="D46:D53">SUM(E46:F46)</f>
        <v>225859</v>
      </c>
      <c r="E46" s="143">
        <f t="shared" si="7"/>
        <v>13192</v>
      </c>
      <c r="F46" s="445">
        <f aca="true" t="shared" si="9" ref="F46:F53">SUM(G46:I46)</f>
        <v>212667</v>
      </c>
      <c r="G46" s="156">
        <f>F9</f>
        <v>210223</v>
      </c>
      <c r="H46" s="157">
        <f>'příl.4-odhad odpisu07'!Z7</f>
        <v>2444</v>
      </c>
      <c r="I46" s="158">
        <v>0</v>
      </c>
      <c r="J46" s="145">
        <f aca="true" t="shared" si="10" ref="J46:J53">SUM(K46:L46)</f>
        <v>203820</v>
      </c>
      <c r="K46" s="1102">
        <f aca="true" t="shared" si="11" ref="K46:K53">H9</f>
        <v>13132</v>
      </c>
      <c r="L46" s="446">
        <f aca="true" t="shared" si="12" ref="L46:L53">I9</f>
        <v>190688</v>
      </c>
    </row>
    <row r="47" spans="1:12" ht="12.75">
      <c r="A47" s="137">
        <v>44</v>
      </c>
      <c r="B47" s="119">
        <v>22</v>
      </c>
      <c r="C47" s="100" t="s">
        <v>14</v>
      </c>
      <c r="D47" s="142">
        <f t="shared" si="8"/>
        <v>83294</v>
      </c>
      <c r="E47" s="143">
        <f t="shared" si="7"/>
        <v>2089</v>
      </c>
      <c r="F47" s="445">
        <f t="shared" si="9"/>
        <v>81205</v>
      </c>
      <c r="G47" s="156">
        <f aca="true" t="shared" si="13" ref="G47:G53">F10</f>
        <v>79934</v>
      </c>
      <c r="H47" s="157">
        <f>'příl.4-odhad odpisu07'!Z8</f>
        <v>1271</v>
      </c>
      <c r="I47" s="158">
        <v>0</v>
      </c>
      <c r="J47" s="145">
        <f t="shared" si="10"/>
        <v>83797</v>
      </c>
      <c r="K47" s="1102">
        <f t="shared" si="11"/>
        <v>1619</v>
      </c>
      <c r="L47" s="446">
        <f t="shared" si="12"/>
        <v>82178</v>
      </c>
    </row>
    <row r="48" spans="1:12" ht="12.75">
      <c r="A48" s="137">
        <v>45</v>
      </c>
      <c r="B48" s="119">
        <v>23</v>
      </c>
      <c r="C48" s="100" t="s">
        <v>15</v>
      </c>
      <c r="D48" s="142">
        <f t="shared" si="8"/>
        <v>97028</v>
      </c>
      <c r="E48" s="143">
        <f t="shared" si="7"/>
        <v>9669</v>
      </c>
      <c r="F48" s="445">
        <f t="shared" si="9"/>
        <v>87359</v>
      </c>
      <c r="G48" s="156">
        <f t="shared" si="13"/>
        <v>85589</v>
      </c>
      <c r="H48" s="157">
        <f>'příl.4-odhad odpisu07'!Z9</f>
        <v>1770</v>
      </c>
      <c r="I48" s="158">
        <v>0</v>
      </c>
      <c r="J48" s="145">
        <f t="shared" si="10"/>
        <v>83293</v>
      </c>
      <c r="K48" s="1102">
        <f t="shared" si="11"/>
        <v>9892</v>
      </c>
      <c r="L48" s="446">
        <f t="shared" si="12"/>
        <v>73401</v>
      </c>
    </row>
    <row r="49" spans="1:12" ht="12.75">
      <c r="A49" s="137">
        <v>46</v>
      </c>
      <c r="B49" s="119">
        <v>31</v>
      </c>
      <c r="C49" s="100" t="s">
        <v>16</v>
      </c>
      <c r="D49" s="142">
        <f t="shared" si="8"/>
        <v>216683</v>
      </c>
      <c r="E49" s="143">
        <f t="shared" si="7"/>
        <v>51472</v>
      </c>
      <c r="F49" s="445">
        <f t="shared" si="9"/>
        <v>165211</v>
      </c>
      <c r="G49" s="156">
        <f t="shared" si="13"/>
        <v>147504</v>
      </c>
      <c r="H49" s="157">
        <f>'příl.4-odhad odpisu07'!Z10</f>
        <v>17707</v>
      </c>
      <c r="I49" s="158">
        <v>0</v>
      </c>
      <c r="J49" s="145">
        <f t="shared" si="10"/>
        <v>197084</v>
      </c>
      <c r="K49" s="1102">
        <f t="shared" si="11"/>
        <v>49027</v>
      </c>
      <c r="L49" s="446">
        <f t="shared" si="12"/>
        <v>148057</v>
      </c>
    </row>
    <row r="50" spans="1:12" ht="12.75">
      <c r="A50" s="137">
        <v>47</v>
      </c>
      <c r="B50" s="119">
        <v>33</v>
      </c>
      <c r="C50" s="100" t="s">
        <v>17</v>
      </c>
      <c r="D50" s="142">
        <f t="shared" si="8"/>
        <v>92010</v>
      </c>
      <c r="E50" s="143">
        <f t="shared" si="7"/>
        <v>7044</v>
      </c>
      <c r="F50" s="445">
        <f t="shared" si="9"/>
        <v>84966</v>
      </c>
      <c r="G50" s="156">
        <f t="shared" si="13"/>
        <v>75305</v>
      </c>
      <c r="H50" s="157">
        <f>'příl.4-odhad odpisu07'!Z11+'pril1-CP'!J75</f>
        <v>9661</v>
      </c>
      <c r="I50" s="158">
        <v>0</v>
      </c>
      <c r="J50" s="145">
        <f t="shared" si="10"/>
        <v>89951</v>
      </c>
      <c r="K50" s="1102">
        <f t="shared" si="11"/>
        <v>6980</v>
      </c>
      <c r="L50" s="446">
        <f>I13+'pril1-CP'!H75</f>
        <v>82971</v>
      </c>
    </row>
    <row r="51" spans="1:12" ht="12.75">
      <c r="A51" s="137">
        <v>48</v>
      </c>
      <c r="B51" s="119">
        <v>41</v>
      </c>
      <c r="C51" s="100" t="s">
        <v>18</v>
      </c>
      <c r="D51" s="142">
        <f t="shared" si="8"/>
        <v>179655</v>
      </c>
      <c r="E51" s="143">
        <f t="shared" si="7"/>
        <v>3766</v>
      </c>
      <c r="F51" s="445">
        <f t="shared" si="9"/>
        <v>175889</v>
      </c>
      <c r="G51" s="156">
        <f t="shared" si="13"/>
        <v>174291</v>
      </c>
      <c r="H51" s="157">
        <f>'příl.4-odhad odpisu07'!Z12</f>
        <v>1598</v>
      </c>
      <c r="I51" s="158">
        <v>0</v>
      </c>
      <c r="J51" s="145">
        <f t="shared" si="10"/>
        <v>162321</v>
      </c>
      <c r="K51" s="1102">
        <f t="shared" si="11"/>
        <v>3134</v>
      </c>
      <c r="L51" s="446">
        <f t="shared" si="12"/>
        <v>159187</v>
      </c>
    </row>
    <row r="52" spans="1:12" ht="12.75">
      <c r="A52" s="137">
        <v>49</v>
      </c>
      <c r="B52" s="119">
        <v>51</v>
      </c>
      <c r="C52" s="100" t="s">
        <v>19</v>
      </c>
      <c r="D52" s="142">
        <f t="shared" si="8"/>
        <v>61623</v>
      </c>
      <c r="E52" s="143">
        <f t="shared" si="7"/>
        <v>158</v>
      </c>
      <c r="F52" s="445">
        <f t="shared" si="9"/>
        <v>61465</v>
      </c>
      <c r="G52" s="156">
        <f t="shared" si="13"/>
        <v>40227</v>
      </c>
      <c r="H52" s="157">
        <f>'příl.4-odhad odpisu07'!Z13+'pril1-CP'!J91</f>
        <v>21238</v>
      </c>
      <c r="I52" s="158">
        <v>0</v>
      </c>
      <c r="J52" s="145">
        <f t="shared" si="10"/>
        <v>60122</v>
      </c>
      <c r="K52" s="1102">
        <f t="shared" si="11"/>
        <v>297</v>
      </c>
      <c r="L52" s="446">
        <f>I15+'pril1-CP'!H91</f>
        <v>59825</v>
      </c>
    </row>
    <row r="53" spans="1:12" ht="12.75">
      <c r="A53" s="447">
        <v>50</v>
      </c>
      <c r="B53" s="120">
        <v>56</v>
      </c>
      <c r="C53" s="121" t="s">
        <v>20</v>
      </c>
      <c r="D53" s="147">
        <f t="shared" si="8"/>
        <v>92068</v>
      </c>
      <c r="E53" s="148">
        <f t="shared" si="7"/>
        <v>5362</v>
      </c>
      <c r="F53" s="448">
        <f t="shared" si="9"/>
        <v>86706</v>
      </c>
      <c r="G53" s="159">
        <f t="shared" si="13"/>
        <v>84936</v>
      </c>
      <c r="H53" s="160">
        <f>'příl.4-odhad odpisu07'!Z14</f>
        <v>1770</v>
      </c>
      <c r="I53" s="161">
        <v>0</v>
      </c>
      <c r="J53" s="150">
        <f t="shared" si="10"/>
        <v>88640</v>
      </c>
      <c r="K53" s="1103">
        <f t="shared" si="11"/>
        <v>4708</v>
      </c>
      <c r="L53" s="449">
        <f t="shared" si="12"/>
        <v>83932</v>
      </c>
    </row>
    <row r="54" spans="1:13" ht="12.75">
      <c r="A54" s="434">
        <v>51</v>
      </c>
      <c r="B54" s="38" t="s">
        <v>74</v>
      </c>
      <c r="C54" s="39"/>
      <c r="D54" s="78">
        <f aca="true" t="shared" si="14" ref="D54:I54">SUM(D45:D53)</f>
        <v>1330561</v>
      </c>
      <c r="E54" s="40">
        <f t="shared" si="14"/>
        <v>119959</v>
      </c>
      <c r="F54" s="91">
        <f t="shared" si="14"/>
        <v>1210602</v>
      </c>
      <c r="G54" s="41">
        <f t="shared" si="14"/>
        <v>1141580</v>
      </c>
      <c r="H54" s="42">
        <f t="shared" si="14"/>
        <v>69022</v>
      </c>
      <c r="I54" s="43">
        <f t="shared" si="14"/>
        <v>0</v>
      </c>
      <c r="J54" s="89">
        <f>SUM(J45:J53)</f>
        <v>1209134</v>
      </c>
      <c r="K54" s="40">
        <f>SUM(K45:K53)</f>
        <v>112915</v>
      </c>
      <c r="L54" s="92">
        <f>SUM(L45:L53)</f>
        <v>1096219</v>
      </c>
      <c r="M54" s="521"/>
    </row>
    <row r="55" spans="1:12" ht="12.75">
      <c r="A55" s="427">
        <v>52</v>
      </c>
      <c r="B55" s="428">
        <v>81</v>
      </c>
      <c r="C55" s="7" t="s">
        <v>150</v>
      </c>
      <c r="D55" s="69">
        <f aca="true" t="shared" si="15" ref="D55:D64">SUM(E55:F55)</f>
        <v>0</v>
      </c>
      <c r="E55" s="37">
        <v>0</v>
      </c>
      <c r="F55" s="127">
        <f>SUM(G55:I55)</f>
        <v>0</v>
      </c>
      <c r="G55" s="82">
        <f>F18</f>
        <v>0</v>
      </c>
      <c r="H55" s="80">
        <f>'pril1-CP'!J11</f>
        <v>0</v>
      </c>
      <c r="I55" s="81">
        <v>0</v>
      </c>
      <c r="J55" s="66">
        <f>SUM(K55:L55)</f>
        <v>0</v>
      </c>
      <c r="K55" s="37"/>
      <c r="L55" s="450">
        <f>I18</f>
        <v>0</v>
      </c>
    </row>
    <row r="56" spans="1:12" ht="12.75">
      <c r="A56" s="430">
        <v>53</v>
      </c>
      <c r="B56" s="431">
        <v>82</v>
      </c>
      <c r="C56" s="100" t="s">
        <v>5</v>
      </c>
      <c r="D56" s="142">
        <f t="shared" si="15"/>
        <v>0</v>
      </c>
      <c r="E56" s="462"/>
      <c r="F56" s="464">
        <f aca="true" t="shared" si="16" ref="F56:F64">SUM(G56:I56)</f>
        <v>0</v>
      </c>
      <c r="G56" s="1105">
        <f aca="true" t="shared" si="17" ref="G56:G64">F19</f>
        <v>0</v>
      </c>
      <c r="H56" s="157">
        <f>'pril1-CP'!J12</f>
        <v>0</v>
      </c>
      <c r="I56" s="158"/>
      <c r="J56" s="145">
        <f>SUM(K56:L56)</f>
        <v>0</v>
      </c>
      <c r="K56" s="462"/>
      <c r="L56" s="463">
        <f>I19</f>
        <v>0</v>
      </c>
    </row>
    <row r="57" spans="1:12" ht="12.75">
      <c r="A57" s="430">
        <v>54</v>
      </c>
      <c r="B57" s="431">
        <v>83</v>
      </c>
      <c r="C57" s="100" t="s">
        <v>204</v>
      </c>
      <c r="D57" s="142">
        <f t="shared" si="15"/>
        <v>4071</v>
      </c>
      <c r="E57" s="462"/>
      <c r="F57" s="464">
        <f t="shared" si="16"/>
        <v>4071</v>
      </c>
      <c r="G57" s="1105">
        <f t="shared" si="17"/>
        <v>3675</v>
      </c>
      <c r="H57" s="157">
        <f>'pril1-CP'!J13</f>
        <v>396</v>
      </c>
      <c r="I57" s="158"/>
      <c r="J57" s="145">
        <f>SUM(K57:L57)</f>
        <v>3895</v>
      </c>
      <c r="K57" s="462"/>
      <c r="L57" s="463">
        <f>I20+'pril1-CP'!H13</f>
        <v>3895</v>
      </c>
    </row>
    <row r="58" spans="1:12" ht="12.75">
      <c r="A58" s="430">
        <v>55</v>
      </c>
      <c r="B58" s="431">
        <v>84</v>
      </c>
      <c r="C58" s="100" t="s">
        <v>202</v>
      </c>
      <c r="D58" s="142">
        <f t="shared" si="15"/>
        <v>3110</v>
      </c>
      <c r="E58" s="462"/>
      <c r="F58" s="464">
        <f t="shared" si="16"/>
        <v>3110</v>
      </c>
      <c r="G58" s="1105">
        <f t="shared" si="17"/>
        <v>1796</v>
      </c>
      <c r="H58" s="157">
        <f>'pril1-CP'!J14+'pril1-CP'!J93</f>
        <v>1314</v>
      </c>
      <c r="I58" s="158"/>
      <c r="J58" s="145">
        <f>SUM(K58:L58)</f>
        <v>1740</v>
      </c>
      <c r="K58" s="462"/>
      <c r="L58" s="463">
        <f>I21+'pril1-CP'!H14</f>
        <v>1740</v>
      </c>
    </row>
    <row r="59" spans="1:12" ht="12.75">
      <c r="A59" s="430">
        <v>56</v>
      </c>
      <c r="B59" s="431">
        <v>85</v>
      </c>
      <c r="C59" s="100" t="s">
        <v>324</v>
      </c>
      <c r="D59" s="142">
        <f t="shared" si="15"/>
        <v>0</v>
      </c>
      <c r="E59" s="143">
        <f aca="true" t="shared" si="18" ref="E59:E64">E22</f>
        <v>0</v>
      </c>
      <c r="F59" s="445">
        <f t="shared" si="16"/>
        <v>0</v>
      </c>
      <c r="G59" s="1105">
        <f t="shared" si="17"/>
        <v>0</v>
      </c>
      <c r="H59" s="157">
        <f>'pril1-CP'!J15</f>
        <v>0</v>
      </c>
      <c r="I59" s="158">
        <v>0</v>
      </c>
      <c r="J59" s="145">
        <f aca="true" t="shared" si="19" ref="J59:J64">SUM(K59:L59)</f>
        <v>0</v>
      </c>
      <c r="K59" s="143"/>
      <c r="L59" s="463">
        <f>I22+'pril1-CP'!H15</f>
        <v>0</v>
      </c>
    </row>
    <row r="60" spans="1:12" ht="12.75">
      <c r="A60" s="430">
        <v>57</v>
      </c>
      <c r="B60" s="431">
        <v>92</v>
      </c>
      <c r="C60" s="100" t="s">
        <v>23</v>
      </c>
      <c r="D60" s="142">
        <f t="shared" si="15"/>
        <v>128545</v>
      </c>
      <c r="E60" s="143">
        <f t="shared" si="18"/>
        <v>0</v>
      </c>
      <c r="F60" s="445">
        <f t="shared" si="16"/>
        <v>128545</v>
      </c>
      <c r="G60" s="1105">
        <f t="shared" si="17"/>
        <v>94555</v>
      </c>
      <c r="H60" s="157">
        <f>'pril1-CP'!J17+'pril1-CP'!J87</f>
        <v>33990</v>
      </c>
      <c r="I60" s="158">
        <v>0</v>
      </c>
      <c r="J60" s="145">
        <f t="shared" si="19"/>
        <v>135191</v>
      </c>
      <c r="K60" s="143"/>
      <c r="L60" s="463">
        <f>I23+'pril1-CP'!H87+'pril1-CP'!H17</f>
        <v>135191</v>
      </c>
    </row>
    <row r="61" spans="1:12" ht="12.75">
      <c r="A61" s="430">
        <v>58</v>
      </c>
      <c r="B61" s="431">
        <v>94</v>
      </c>
      <c r="C61" s="100" t="s">
        <v>161</v>
      </c>
      <c r="D61" s="142">
        <f t="shared" si="15"/>
        <v>0</v>
      </c>
      <c r="E61" s="143">
        <f t="shared" si="18"/>
        <v>0</v>
      </c>
      <c r="F61" s="445">
        <f t="shared" si="16"/>
        <v>0</v>
      </c>
      <c r="G61" s="1105">
        <f t="shared" si="17"/>
        <v>0</v>
      </c>
      <c r="H61" s="157">
        <f>'pril1-CP'!J18</f>
        <v>0</v>
      </c>
      <c r="I61" s="158">
        <v>0</v>
      </c>
      <c r="J61" s="145">
        <f t="shared" si="19"/>
        <v>0</v>
      </c>
      <c r="K61" s="143"/>
      <c r="L61" s="463">
        <v>0</v>
      </c>
    </row>
    <row r="62" spans="1:12" ht="12.75">
      <c r="A62" s="430">
        <v>59</v>
      </c>
      <c r="B62" s="431">
        <v>96</v>
      </c>
      <c r="C62" s="100" t="s">
        <v>53</v>
      </c>
      <c r="D62" s="142">
        <f t="shared" si="15"/>
        <v>26667</v>
      </c>
      <c r="E62" s="143">
        <f t="shared" si="18"/>
        <v>0</v>
      </c>
      <c r="F62" s="445">
        <f t="shared" si="16"/>
        <v>26667</v>
      </c>
      <c r="G62" s="1105">
        <f t="shared" si="17"/>
        <v>26609</v>
      </c>
      <c r="H62" s="157">
        <f>'pril1-CP'!J19</f>
        <v>58</v>
      </c>
      <c r="I62" s="158">
        <v>0</v>
      </c>
      <c r="J62" s="145">
        <f t="shared" si="19"/>
        <v>22003</v>
      </c>
      <c r="K62" s="143"/>
      <c r="L62" s="463">
        <f>I25+'pril1-CP'!H19</f>
        <v>22003</v>
      </c>
    </row>
    <row r="63" spans="1:12" ht="12.75">
      <c r="A63" s="430">
        <v>60</v>
      </c>
      <c r="B63" s="431">
        <v>97</v>
      </c>
      <c r="C63" s="100" t="s">
        <v>54</v>
      </c>
      <c r="D63" s="142">
        <f t="shared" si="15"/>
        <v>7820</v>
      </c>
      <c r="E63" s="143">
        <f t="shared" si="18"/>
        <v>0</v>
      </c>
      <c r="F63" s="445">
        <f t="shared" si="16"/>
        <v>7820</v>
      </c>
      <c r="G63" s="1105">
        <f t="shared" si="17"/>
        <v>7749</v>
      </c>
      <c r="H63" s="157">
        <f>'pril1-CP'!J20</f>
        <v>71</v>
      </c>
      <c r="I63" s="158">
        <v>0</v>
      </c>
      <c r="J63" s="145">
        <f t="shared" si="19"/>
        <v>7444</v>
      </c>
      <c r="K63" s="143"/>
      <c r="L63" s="463">
        <f>I26+'pril1-CP'!H20</f>
        <v>7444</v>
      </c>
    </row>
    <row r="64" spans="1:12" ht="14.25">
      <c r="A64" s="432">
        <v>61</v>
      </c>
      <c r="B64" s="433">
        <v>99</v>
      </c>
      <c r="C64" s="121" t="s">
        <v>4</v>
      </c>
      <c r="D64" s="70">
        <f t="shared" si="15"/>
        <v>205042</v>
      </c>
      <c r="E64" s="22">
        <f t="shared" si="18"/>
        <v>0</v>
      </c>
      <c r="F64" s="460">
        <f t="shared" si="16"/>
        <v>205042</v>
      </c>
      <c r="G64" s="1104">
        <f t="shared" si="17"/>
        <v>79317</v>
      </c>
      <c r="H64" s="461">
        <f>'pril1-CP'!J21+'pril1-CP'!J22+'pril1-CP'!J72</f>
        <v>109725</v>
      </c>
      <c r="I64" s="43">
        <f>'pril1-CP'!J96</f>
        <v>16000</v>
      </c>
      <c r="J64" s="67">
        <f t="shared" si="19"/>
        <v>167025</v>
      </c>
      <c r="K64" s="22"/>
      <c r="L64" s="463">
        <f>I27+'pril1-CP'!H21+'pril1-CP'!H72+'pril1-CP'!H96+'pril1-CP'!H22</f>
        <v>167025</v>
      </c>
    </row>
    <row r="65" spans="1:13" ht="12.75">
      <c r="A65" s="33">
        <v>62</v>
      </c>
      <c r="B65" s="36" t="s">
        <v>224</v>
      </c>
      <c r="C65" s="36"/>
      <c r="D65" s="71">
        <f aca="true" t="shared" si="20" ref="D65:I65">SUM(D55:D64)</f>
        <v>375255</v>
      </c>
      <c r="E65" s="126">
        <f t="shared" si="20"/>
        <v>0</v>
      </c>
      <c r="F65" s="127">
        <f>SUM(F55:F64)</f>
        <v>375255</v>
      </c>
      <c r="G65" s="126">
        <f t="shared" si="20"/>
        <v>213701</v>
      </c>
      <c r="H65" s="128">
        <f t="shared" si="20"/>
        <v>145554</v>
      </c>
      <c r="I65" s="129">
        <f t="shared" si="20"/>
        <v>16000</v>
      </c>
      <c r="J65" s="130">
        <f>SUM(J55:J64)</f>
        <v>337298</v>
      </c>
      <c r="K65" s="131">
        <f>SUM(K59:K64)</f>
        <v>0</v>
      </c>
      <c r="L65" s="132">
        <f>SUM(L55:L64)</f>
        <v>337298</v>
      </c>
      <c r="M65" s="521"/>
    </row>
    <row r="66" spans="1:13" ht="12.75">
      <c r="A66" s="137">
        <v>63</v>
      </c>
      <c r="B66" s="1243" t="s">
        <v>495</v>
      </c>
      <c r="C66" s="1244"/>
      <c r="D66" s="1245"/>
      <c r="E66" s="462"/>
      <c r="F66" s="464"/>
      <c r="G66" s="156"/>
      <c r="H66" s="157"/>
      <c r="I66" s="158"/>
      <c r="J66" s="1246">
        <f>SUM(K66:L66)</f>
        <v>38176</v>
      </c>
      <c r="K66" s="462"/>
      <c r="L66" s="463">
        <v>38176</v>
      </c>
      <c r="M66" s="521"/>
    </row>
    <row r="67" spans="1:12" ht="13.5" thickBot="1">
      <c r="A67" s="451">
        <v>64</v>
      </c>
      <c r="B67" s="152" t="s">
        <v>219</v>
      </c>
      <c r="C67" s="152"/>
      <c r="D67" s="153">
        <f>SUM(E67:F67)</f>
        <v>99000</v>
      </c>
      <c r="E67" s="154">
        <v>0</v>
      </c>
      <c r="F67" s="162">
        <f>SUM(G67:I67)</f>
        <v>99000</v>
      </c>
      <c r="G67" s="163"/>
      <c r="H67" s="164">
        <f>'pril1-CP'!J6</f>
        <v>99000</v>
      </c>
      <c r="I67" s="165">
        <v>0</v>
      </c>
      <c r="J67" s="155">
        <f>SUM(K67:L67)</f>
        <v>99000</v>
      </c>
      <c r="K67" s="154">
        <v>0</v>
      </c>
      <c r="L67" s="166">
        <f>'pril1-CP'!J6</f>
        <v>99000</v>
      </c>
    </row>
    <row r="68" spans="1:12" ht="14.25" customHeight="1" thickBot="1">
      <c r="A68" s="87">
        <v>65</v>
      </c>
      <c r="B68" s="27" t="s">
        <v>70</v>
      </c>
      <c r="C68" s="28"/>
      <c r="D68" s="79">
        <f>D54+D65+D67</f>
        <v>1804816</v>
      </c>
      <c r="E68" s="23">
        <f>E54+E65</f>
        <v>119959</v>
      </c>
      <c r="F68" s="29">
        <f>F54+F65+F67</f>
        <v>1684857</v>
      </c>
      <c r="G68" s="83">
        <f>G54+G65+G67</f>
        <v>1355281</v>
      </c>
      <c r="H68" s="86">
        <f>H54+H65+H67</f>
        <v>313576</v>
      </c>
      <c r="I68" s="84">
        <f>I54+I65+G67</f>
        <v>16000</v>
      </c>
      <c r="J68" s="90">
        <f>J54+SUM(J65:J67)</f>
        <v>1683608</v>
      </c>
      <c r="K68" s="88">
        <f>SUM(K65:K67)+K54</f>
        <v>112915</v>
      </c>
      <c r="L68" s="93">
        <f>SUM(L65:L67)+L54</f>
        <v>1570693</v>
      </c>
    </row>
    <row r="69" spans="1:12" s="1107" customFormat="1" ht="13.5">
      <c r="A69" s="1106" t="s">
        <v>494</v>
      </c>
      <c r="D69" s="1108"/>
      <c r="E69" s="1108"/>
      <c r="G69" s="1108"/>
      <c r="H69" s="1108"/>
      <c r="I69" s="1108"/>
      <c r="L69" s="1108"/>
    </row>
    <row r="70" spans="1:9" s="1" customFormat="1" ht="14.25">
      <c r="A70" s="522"/>
      <c r="D70" s="523"/>
      <c r="E70" s="523"/>
      <c r="G70" s="523"/>
      <c r="H70" s="523"/>
      <c r="I70" s="523"/>
    </row>
    <row r="71" spans="4:8" ht="12.75">
      <c r="D71" s="429"/>
      <c r="F71" s="429"/>
      <c r="H71" s="429"/>
    </row>
    <row r="72" spans="1:8" ht="12.75">
      <c r="A72" s="1" t="s">
        <v>75</v>
      </c>
      <c r="D72" s="429"/>
      <c r="H72" s="429"/>
    </row>
    <row r="73" spans="1:3" ht="12.75">
      <c r="A73" s="2" t="s">
        <v>76</v>
      </c>
      <c r="C73" s="2" t="s">
        <v>405</v>
      </c>
    </row>
    <row r="74" spans="1:3" ht="12.75">
      <c r="A74" s="2" t="s">
        <v>77</v>
      </c>
      <c r="C74" s="2" t="s">
        <v>406</v>
      </c>
    </row>
    <row r="75" spans="1:3" ht="12.75">
      <c r="A75" s="2" t="s">
        <v>157</v>
      </c>
      <c r="C75" s="2" t="s">
        <v>487</v>
      </c>
    </row>
    <row r="76" spans="1:3" ht="12.75">
      <c r="A76" s="2" t="s">
        <v>470</v>
      </c>
      <c r="C76" s="1145" t="s">
        <v>469</v>
      </c>
    </row>
    <row r="77" ht="12.75">
      <c r="C77" s="415"/>
    </row>
    <row r="79" ht="12.75">
      <c r="A79" s="2" t="s">
        <v>486</v>
      </c>
    </row>
  </sheetData>
  <mergeCells count="9">
    <mergeCell ref="J41:L41"/>
    <mergeCell ref="E42:F42"/>
    <mergeCell ref="K42:L42"/>
    <mergeCell ref="G43:I43"/>
    <mergeCell ref="D41:F41"/>
    <mergeCell ref="D4:F4"/>
    <mergeCell ref="E5:F5"/>
    <mergeCell ref="G4:I4"/>
    <mergeCell ref="H5:I5"/>
  </mergeCells>
  <printOptions/>
  <pageMargins left="0.57" right="0.3" top="0.68" bottom="0.34" header="0.4921259845" footer="0.19"/>
  <pageSetup horizontalDpi="1200" verticalDpi="1200" orientation="landscape" paperSize="9" r:id="rId1"/>
  <headerFooter alignWithMargins="0">
    <oddFooter>&amp;C&amp;P+4
</oddFooter>
  </headerFooter>
  <rowBreaks count="1" manualBreakCount="1">
    <brk id="3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116"/>
  <sheetViews>
    <sheetView tabSelected="1" workbookViewId="0" topLeftCell="A80">
      <selection activeCell="J100" sqref="J100"/>
    </sheetView>
  </sheetViews>
  <sheetFormatPr defaultColWidth="9.00390625" defaultRowHeight="12.75"/>
  <cols>
    <col min="1" max="1" width="4.375" style="320" customWidth="1"/>
    <col min="2" max="2" width="3.875" style="319" customWidth="1"/>
    <col min="3" max="3" width="52.625" style="320" bestFit="1" customWidth="1"/>
    <col min="4" max="6" width="6.625" style="321" hidden="1" customWidth="1"/>
    <col min="7" max="7" width="6.625" style="330" hidden="1" customWidth="1"/>
    <col min="8" max="8" width="7.375" style="330" bestFit="1" customWidth="1"/>
    <col min="9" max="9" width="8.00390625" style="321" bestFit="1" customWidth="1"/>
    <col min="10" max="10" width="10.00390625" style="321" customWidth="1"/>
    <col min="11" max="11" width="6.75390625" style="321" customWidth="1"/>
    <col min="12" max="12" width="17.875" style="321" customWidth="1"/>
    <col min="13" max="16384" width="9.125" style="320" customWidth="1"/>
  </cols>
  <sheetData>
    <row r="1" spans="1:10" ht="15.75">
      <c r="A1" s="318" t="s">
        <v>272</v>
      </c>
      <c r="G1" s="321"/>
      <c r="H1" s="321"/>
      <c r="I1" s="331"/>
      <c r="J1" s="596"/>
    </row>
    <row r="2" spans="2:12" s="322" customFormat="1" ht="13.5" thickBot="1">
      <c r="B2" s="323"/>
      <c r="D2" s="321"/>
      <c r="E2" s="321"/>
      <c r="F2" s="321"/>
      <c r="G2" s="321"/>
      <c r="I2" s="331"/>
      <c r="J2" s="597" t="s">
        <v>120</v>
      </c>
      <c r="K2" s="321"/>
      <c r="L2" s="321"/>
    </row>
    <row r="3" spans="1:12" ht="12.75" customHeight="1">
      <c r="A3" s="324"/>
      <c r="B3" s="325"/>
      <c r="C3" s="326"/>
      <c r="D3" s="598" t="s">
        <v>55</v>
      </c>
      <c r="E3" s="598" t="s">
        <v>55</v>
      </c>
      <c r="F3" s="598" t="s">
        <v>55</v>
      </c>
      <c r="G3" s="598" t="s">
        <v>55</v>
      </c>
      <c r="H3" s="599" t="s">
        <v>55</v>
      </c>
      <c r="I3" s="859" t="s">
        <v>273</v>
      </c>
      <c r="J3" s="529" t="s">
        <v>274</v>
      </c>
      <c r="L3" s="332"/>
    </row>
    <row r="4" spans="1:10" ht="12.75" customHeight="1" thickBot="1">
      <c r="A4" s="327"/>
      <c r="B4" s="328" t="s">
        <v>56</v>
      </c>
      <c r="C4" s="329" t="s">
        <v>57</v>
      </c>
      <c r="D4" s="600">
        <v>2002</v>
      </c>
      <c r="E4" s="600">
        <v>2003</v>
      </c>
      <c r="F4" s="600">
        <v>2004</v>
      </c>
      <c r="G4" s="600">
        <v>2005</v>
      </c>
      <c r="H4" s="601">
        <v>2006</v>
      </c>
      <c r="I4" s="860" t="s">
        <v>275</v>
      </c>
      <c r="J4" s="530">
        <v>2007</v>
      </c>
    </row>
    <row r="5" spans="1:10" ht="12.75" customHeight="1" thickBot="1">
      <c r="A5" s="531"/>
      <c r="B5" s="532"/>
      <c r="C5" s="533" t="s">
        <v>259</v>
      </c>
      <c r="D5" s="603">
        <f>D6+D9+D10+D22</f>
        <v>96800</v>
      </c>
      <c r="E5" s="604">
        <f>E6+E9+E10+E22</f>
        <v>135000</v>
      </c>
      <c r="F5" s="603">
        <f>F6+F9+F10+F22</f>
        <v>149727</v>
      </c>
      <c r="G5" s="604">
        <f>G6+G9+G10+G22</f>
        <v>208145</v>
      </c>
      <c r="H5" s="605">
        <f>H6+H9+H10+H22</f>
        <v>169333</v>
      </c>
      <c r="I5" s="873">
        <f>I6+SUM(I9:I10)+I22</f>
        <v>0</v>
      </c>
      <c r="J5" s="885">
        <f>J6+SUM(J9:J10)+J22</f>
        <v>185234</v>
      </c>
    </row>
    <row r="6" spans="1:12" s="331" customFormat="1" ht="12.75" customHeight="1">
      <c r="A6" s="534"/>
      <c r="B6" s="606">
        <v>1</v>
      </c>
      <c r="C6" s="607" t="s">
        <v>231</v>
      </c>
      <c r="D6" s="608">
        <v>88000</v>
      </c>
      <c r="E6" s="608">
        <v>89000</v>
      </c>
      <c r="F6" s="609"/>
      <c r="G6" s="609">
        <v>88000</v>
      </c>
      <c r="H6" s="610">
        <v>99000</v>
      </c>
      <c r="I6" s="874">
        <f>SUM(I7:I8)</f>
        <v>0</v>
      </c>
      <c r="J6" s="886">
        <f>SUM(J7:J8)</f>
        <v>99000</v>
      </c>
      <c r="K6" s="321"/>
      <c r="L6" s="321"/>
    </row>
    <row r="7" spans="1:12" s="331" customFormat="1" ht="12.75" customHeight="1">
      <c r="A7" s="336"/>
      <c r="B7" s="535"/>
      <c r="C7" s="552" t="s">
        <v>276</v>
      </c>
      <c r="D7" s="611"/>
      <c r="E7" s="611"/>
      <c r="F7" s="612"/>
      <c r="G7" s="612"/>
      <c r="H7" s="553"/>
      <c r="I7" s="875"/>
      <c r="J7" s="887">
        <v>23960</v>
      </c>
      <c r="K7" s="321"/>
      <c r="L7" s="321"/>
    </row>
    <row r="8" spans="1:12" s="331" customFormat="1" ht="12.75" customHeight="1">
      <c r="A8" s="336"/>
      <c r="B8" s="535"/>
      <c r="C8" s="613" t="s">
        <v>277</v>
      </c>
      <c r="D8" s="614"/>
      <c r="E8" s="614"/>
      <c r="F8" s="615"/>
      <c r="G8" s="615"/>
      <c r="H8" s="616"/>
      <c r="I8" s="876"/>
      <c r="J8" s="888">
        <v>75040</v>
      </c>
      <c r="K8" s="321"/>
      <c r="L8" s="321"/>
    </row>
    <row r="9" spans="1:12" s="331" customFormat="1" ht="12.75" customHeight="1">
      <c r="A9" s="336"/>
      <c r="B9" s="617">
        <v>2</v>
      </c>
      <c r="C9" s="618" t="s">
        <v>278</v>
      </c>
      <c r="D9" s="619"/>
      <c r="E9" s="619"/>
      <c r="F9" s="620">
        <v>92280</v>
      </c>
      <c r="G9" s="620">
        <v>21517</v>
      </c>
      <c r="H9" s="621">
        <v>38176</v>
      </c>
      <c r="I9" s="877">
        <v>0</v>
      </c>
      <c r="J9" s="889">
        <f>'příl.4-odhad odpisu07'!Z27</f>
        <v>41148</v>
      </c>
      <c r="K9" s="321"/>
      <c r="L9" s="321"/>
    </row>
    <row r="10" spans="1:12" s="333" customFormat="1" ht="12.75" customHeight="1">
      <c r="A10" s="336"/>
      <c r="B10" s="617">
        <v>3</v>
      </c>
      <c r="C10" s="618" t="s">
        <v>232</v>
      </c>
      <c r="D10" s="619">
        <f aca="true" t="shared" si="0" ref="D10:J10">SUM(D11:D21)</f>
        <v>0</v>
      </c>
      <c r="E10" s="619">
        <f t="shared" si="0"/>
        <v>13000</v>
      </c>
      <c r="F10" s="619">
        <f t="shared" si="0"/>
        <v>37547</v>
      </c>
      <c r="G10" s="619">
        <f t="shared" si="0"/>
        <v>19628</v>
      </c>
      <c r="H10" s="622">
        <f t="shared" si="0"/>
        <v>22520</v>
      </c>
      <c r="I10" s="878">
        <f t="shared" si="0"/>
        <v>0</v>
      </c>
      <c r="J10" s="856">
        <f t="shared" si="0"/>
        <v>21905</v>
      </c>
      <c r="K10" s="321"/>
      <c r="L10" s="354"/>
    </row>
    <row r="11" spans="1:12" s="333" customFormat="1" ht="12.75" customHeight="1">
      <c r="A11" s="346"/>
      <c r="B11" s="536"/>
      <c r="C11" s="537" t="s">
        <v>62</v>
      </c>
      <c r="D11" s="623"/>
      <c r="E11" s="624"/>
      <c r="F11" s="624">
        <v>7078</v>
      </c>
      <c r="G11" s="624"/>
      <c r="H11" s="538">
        <v>0</v>
      </c>
      <c r="I11" s="864"/>
      <c r="J11" s="890">
        <v>0</v>
      </c>
      <c r="K11" s="321"/>
      <c r="L11" s="321"/>
    </row>
    <row r="12" spans="1:12" s="333" customFormat="1" ht="12.75" customHeight="1">
      <c r="A12" s="346"/>
      <c r="B12" s="536"/>
      <c r="C12" s="539" t="s">
        <v>183</v>
      </c>
      <c r="D12" s="625"/>
      <c r="E12" s="626"/>
      <c r="F12" s="626"/>
      <c r="G12" s="626"/>
      <c r="H12" s="540">
        <v>0</v>
      </c>
      <c r="I12" s="872"/>
      <c r="J12" s="891">
        <v>0</v>
      </c>
      <c r="K12" s="321"/>
      <c r="L12" s="321"/>
    </row>
    <row r="13" spans="1:12" s="333" customFormat="1" ht="12.75" customHeight="1">
      <c r="A13" s="346"/>
      <c r="B13" s="536"/>
      <c r="C13" s="539" t="s">
        <v>212</v>
      </c>
      <c r="D13" s="625"/>
      <c r="E13" s="626"/>
      <c r="F13" s="626"/>
      <c r="G13" s="626">
        <v>300</v>
      </c>
      <c r="H13" s="540">
        <v>395</v>
      </c>
      <c r="I13" s="872"/>
      <c r="J13" s="891">
        <f>'příl.4-odhad odpisu07'!Z17</f>
        <v>396</v>
      </c>
      <c r="K13" s="321"/>
      <c r="L13" s="321"/>
    </row>
    <row r="14" spans="1:12" s="333" customFormat="1" ht="12.75" customHeight="1">
      <c r="A14" s="346"/>
      <c r="B14" s="536"/>
      <c r="C14" s="539" t="s">
        <v>199</v>
      </c>
      <c r="D14" s="625"/>
      <c r="E14" s="626"/>
      <c r="F14" s="626"/>
      <c r="G14" s="626">
        <v>114</v>
      </c>
      <c r="H14" s="540">
        <v>30</v>
      </c>
      <c r="I14" s="872"/>
      <c r="J14" s="891">
        <f>'příl.4-odhad odpisu07'!Z18</f>
        <v>64</v>
      </c>
      <c r="K14" s="321"/>
      <c r="L14" s="321"/>
    </row>
    <row r="15" spans="1:12" s="333" customFormat="1" ht="12.75" customHeight="1">
      <c r="A15" s="346"/>
      <c r="B15" s="536"/>
      <c r="C15" s="539" t="s">
        <v>279</v>
      </c>
      <c r="D15" s="625"/>
      <c r="E15" s="626"/>
      <c r="F15" s="626"/>
      <c r="G15" s="626"/>
      <c r="H15" s="540">
        <v>0</v>
      </c>
      <c r="I15" s="872"/>
      <c r="J15" s="891">
        <v>0</v>
      </c>
      <c r="K15" s="321"/>
      <c r="L15" s="321"/>
    </row>
    <row r="16" spans="1:12" s="333" customFormat="1" ht="12.75" customHeight="1" hidden="1">
      <c r="A16" s="346"/>
      <c r="B16" s="536"/>
      <c r="C16" s="539" t="s">
        <v>233</v>
      </c>
      <c r="D16" s="625"/>
      <c r="E16" s="626"/>
      <c r="F16" s="626">
        <v>381</v>
      </c>
      <c r="G16" s="626"/>
      <c r="H16" s="540"/>
      <c r="I16" s="872"/>
      <c r="J16" s="891">
        <v>0</v>
      </c>
      <c r="K16" s="321"/>
      <c r="L16" s="321"/>
    </row>
    <row r="17" spans="1:12" s="333" customFormat="1" ht="12.75" customHeight="1">
      <c r="A17" s="346"/>
      <c r="B17" s="536"/>
      <c r="C17" s="539" t="s">
        <v>234</v>
      </c>
      <c r="D17" s="625"/>
      <c r="E17" s="626">
        <v>13000</v>
      </c>
      <c r="F17" s="626">
        <f>9708+17263</f>
        <v>26971</v>
      </c>
      <c r="G17" s="626">
        <v>18314</v>
      </c>
      <c r="H17" s="540">
        <v>20182</v>
      </c>
      <c r="I17" s="872"/>
      <c r="J17" s="891">
        <f>'příl.4-odhad odpisu07'!Z21</f>
        <v>19690</v>
      </c>
      <c r="K17" s="321"/>
      <c r="L17" s="321"/>
    </row>
    <row r="18" spans="1:12" s="333" customFormat="1" ht="12.75" customHeight="1">
      <c r="A18" s="346"/>
      <c r="B18" s="536"/>
      <c r="C18" s="539" t="s">
        <v>154</v>
      </c>
      <c r="D18" s="625"/>
      <c r="E18" s="626"/>
      <c r="F18" s="626"/>
      <c r="G18" s="626"/>
      <c r="H18" s="540">
        <v>0</v>
      </c>
      <c r="I18" s="872"/>
      <c r="J18" s="891">
        <v>0</v>
      </c>
      <c r="K18" s="321"/>
      <c r="L18" s="321"/>
    </row>
    <row r="19" spans="1:12" s="334" customFormat="1" ht="12.75" customHeight="1">
      <c r="A19" s="346"/>
      <c r="B19" s="536"/>
      <c r="C19" s="539" t="s">
        <v>63</v>
      </c>
      <c r="D19" s="625"/>
      <c r="E19" s="626"/>
      <c r="F19" s="626">
        <v>68</v>
      </c>
      <c r="G19" s="626">
        <v>60</v>
      </c>
      <c r="H19" s="540">
        <v>42</v>
      </c>
      <c r="I19" s="872"/>
      <c r="J19" s="891">
        <f>'příl.4-odhad odpisu07'!Z23</f>
        <v>58</v>
      </c>
      <c r="K19" s="321"/>
      <c r="L19" s="321"/>
    </row>
    <row r="20" spans="1:12" s="331" customFormat="1" ht="12.75" customHeight="1">
      <c r="A20" s="346"/>
      <c r="B20" s="536"/>
      <c r="C20" s="539" t="s">
        <v>64</v>
      </c>
      <c r="D20" s="625"/>
      <c r="E20" s="626"/>
      <c r="F20" s="626">
        <v>74</v>
      </c>
      <c r="G20" s="626">
        <v>63</v>
      </c>
      <c r="H20" s="540">
        <v>64</v>
      </c>
      <c r="I20" s="872"/>
      <c r="J20" s="891">
        <f>'příl.4-odhad odpisu07'!Z24</f>
        <v>71</v>
      </c>
      <c r="K20" s="321"/>
      <c r="L20" s="321"/>
    </row>
    <row r="21" spans="1:12" s="334" customFormat="1" ht="12.75" customHeight="1">
      <c r="A21" s="541"/>
      <c r="B21" s="542"/>
      <c r="C21" s="543" t="s">
        <v>184</v>
      </c>
      <c r="D21" s="627"/>
      <c r="E21" s="628"/>
      <c r="F21" s="628">
        <v>2975</v>
      </c>
      <c r="G21" s="628">
        <v>777</v>
      </c>
      <c r="H21" s="544">
        <v>1807</v>
      </c>
      <c r="I21" s="879"/>
      <c r="J21" s="891">
        <f>'příl.4-odhad odpisu07'!Z25</f>
        <v>1626</v>
      </c>
      <c r="K21" s="694"/>
      <c r="L21" s="694"/>
    </row>
    <row r="22" spans="1:12" s="334" customFormat="1" ht="12.75" customHeight="1">
      <c r="A22" s="336"/>
      <c r="B22" s="617">
        <v>4</v>
      </c>
      <c r="C22" s="629" t="s">
        <v>185</v>
      </c>
      <c r="D22" s="630">
        <f aca="true" t="shared" si="1" ref="D22:J22">SUM(D23:D24)</f>
        <v>8800</v>
      </c>
      <c r="E22" s="630">
        <f t="shared" si="1"/>
        <v>33000</v>
      </c>
      <c r="F22" s="619">
        <f t="shared" si="1"/>
        <v>19900</v>
      </c>
      <c r="G22" s="619">
        <f t="shared" si="1"/>
        <v>79000</v>
      </c>
      <c r="H22" s="622">
        <f t="shared" si="1"/>
        <v>9637</v>
      </c>
      <c r="I22" s="878">
        <f t="shared" si="1"/>
        <v>0</v>
      </c>
      <c r="J22" s="856">
        <f t="shared" si="1"/>
        <v>23181</v>
      </c>
      <c r="K22" s="321"/>
      <c r="L22" s="321"/>
    </row>
    <row r="23" spans="1:13" ht="13.5">
      <c r="A23" s="541"/>
      <c r="B23" s="631"/>
      <c r="C23" s="537" t="s">
        <v>471</v>
      </c>
      <c r="D23" s="632"/>
      <c r="E23" s="633">
        <v>13000</v>
      </c>
      <c r="F23" s="633">
        <v>10000</v>
      </c>
      <c r="G23" s="633">
        <v>41000</v>
      </c>
      <c r="H23" s="545">
        <v>0</v>
      </c>
      <c r="I23" s="863"/>
      <c r="J23" s="972">
        <f>75750-I58</f>
        <v>19681</v>
      </c>
      <c r="K23" s="853"/>
      <c r="L23" s="854"/>
      <c r="M23" s="352"/>
    </row>
    <row r="24" spans="1:12" ht="12.75" thickBot="1">
      <c r="A24" s="973"/>
      <c r="B24" s="974"/>
      <c r="C24" s="975" t="s">
        <v>186</v>
      </c>
      <c r="D24" s="976">
        <v>8800</v>
      </c>
      <c r="E24" s="976">
        <v>20000</v>
      </c>
      <c r="F24" s="976">
        <v>9900</v>
      </c>
      <c r="G24" s="976">
        <v>38000</v>
      </c>
      <c r="H24" s="977">
        <v>9637</v>
      </c>
      <c r="I24" s="978"/>
      <c r="J24" s="979">
        <v>3500</v>
      </c>
      <c r="K24" s="694"/>
      <c r="L24" s="1300">
        <f>J22+I26</f>
        <v>79250</v>
      </c>
    </row>
    <row r="25" spans="1:12" ht="12.75" hidden="1" thickBot="1">
      <c r="A25" s="541"/>
      <c r="B25" s="634"/>
      <c r="C25" s="537" t="s">
        <v>280</v>
      </c>
      <c r="D25" s="635"/>
      <c r="E25" s="636"/>
      <c r="F25" s="635"/>
      <c r="G25" s="636"/>
      <c r="H25" s="637"/>
      <c r="I25" s="880"/>
      <c r="J25" s="892">
        <v>75750</v>
      </c>
      <c r="K25" s="694"/>
      <c r="L25" s="694"/>
    </row>
    <row r="26" spans="1:11" ht="12.75" thickBot="1">
      <c r="A26" s="531"/>
      <c r="B26" s="532"/>
      <c r="C26" s="533" t="s">
        <v>187</v>
      </c>
      <c r="D26" s="603">
        <f>D72+D75+D87</f>
        <v>75279</v>
      </c>
      <c r="E26" s="604">
        <f>E72+E75+E87</f>
        <v>59485</v>
      </c>
      <c r="F26" s="603">
        <f>F72+F75+F87</f>
        <v>69200</v>
      </c>
      <c r="G26" s="604">
        <f>G72+G75+G87</f>
        <v>71185</v>
      </c>
      <c r="H26" s="638">
        <f>H72+H75+H87+H91+H95</f>
        <v>115713</v>
      </c>
      <c r="I26" s="873">
        <f>I72+I75+I87+I91+I95</f>
        <v>56069</v>
      </c>
      <c r="J26" s="885">
        <f>J72+J75+J87+J91+J93+J95</f>
        <v>128342</v>
      </c>
      <c r="K26" s="354"/>
    </row>
    <row r="27" spans="1:10" ht="12.75" customHeight="1">
      <c r="A27" s="336"/>
      <c r="B27" s="338">
        <v>5</v>
      </c>
      <c r="C27" s="546" t="s">
        <v>235</v>
      </c>
      <c r="D27" s="639">
        <v>1300</v>
      </c>
      <c r="E27" s="639">
        <f>D27</f>
        <v>1300</v>
      </c>
      <c r="F27" s="639">
        <v>1100</v>
      </c>
      <c r="G27" s="639">
        <v>1700</v>
      </c>
      <c r="H27" s="547">
        <v>2500</v>
      </c>
      <c r="I27" s="861"/>
      <c r="J27" s="893">
        <v>1639</v>
      </c>
    </row>
    <row r="28" spans="1:10" ht="12.75" customHeight="1">
      <c r="A28" s="336"/>
      <c r="B28" s="338">
        <v>6</v>
      </c>
      <c r="C28" s="339" t="s">
        <v>228</v>
      </c>
      <c r="D28" s="639">
        <v>350</v>
      </c>
      <c r="E28" s="639">
        <f>D28</f>
        <v>350</v>
      </c>
      <c r="F28" s="639">
        <v>360</v>
      </c>
      <c r="G28" s="639">
        <v>400</v>
      </c>
      <c r="H28" s="547">
        <v>490</v>
      </c>
      <c r="I28" s="861"/>
      <c r="J28" s="893">
        <v>800</v>
      </c>
    </row>
    <row r="29" spans="1:10" ht="12.75" customHeight="1">
      <c r="A29" s="336"/>
      <c r="B29" s="338">
        <v>7</v>
      </c>
      <c r="C29" s="910" t="s">
        <v>335</v>
      </c>
      <c r="D29" s="639">
        <v>400</v>
      </c>
      <c r="E29" s="639">
        <f>D29</f>
        <v>400</v>
      </c>
      <c r="F29" s="639">
        <v>2000</v>
      </c>
      <c r="G29" s="639">
        <v>2100</v>
      </c>
      <c r="H29" s="547">
        <v>120</v>
      </c>
      <c r="I29" s="861"/>
      <c r="J29" s="893">
        <v>1500</v>
      </c>
    </row>
    <row r="30" spans="1:10" ht="12.75" customHeight="1">
      <c r="A30" s="336"/>
      <c r="B30" s="338">
        <v>8</v>
      </c>
      <c r="C30" s="339" t="s">
        <v>189</v>
      </c>
      <c r="D30" s="639"/>
      <c r="E30" s="639"/>
      <c r="F30" s="639"/>
      <c r="G30" s="639">
        <v>1050</v>
      </c>
      <c r="H30" s="547">
        <v>1000</v>
      </c>
      <c r="I30" s="861"/>
      <c r="J30" s="893">
        <v>850</v>
      </c>
    </row>
    <row r="31" spans="1:10" ht="12.75" customHeight="1">
      <c r="A31" s="336"/>
      <c r="B31" s="338">
        <v>9</v>
      </c>
      <c r="C31" s="339" t="s">
        <v>58</v>
      </c>
      <c r="D31" s="639">
        <v>20000</v>
      </c>
      <c r="E31" s="639">
        <v>16900</v>
      </c>
      <c r="F31" s="639">
        <v>16304</v>
      </c>
      <c r="G31" s="639">
        <v>15500</v>
      </c>
      <c r="H31" s="547">
        <v>17540</v>
      </c>
      <c r="I31" s="861"/>
      <c r="J31" s="893">
        <v>17762</v>
      </c>
    </row>
    <row r="32" spans="1:10" ht="12.75" customHeight="1" hidden="1">
      <c r="A32" s="336"/>
      <c r="B32" s="338"/>
      <c r="C32" s="339" t="s">
        <v>236</v>
      </c>
      <c r="D32" s="639">
        <v>48757</v>
      </c>
      <c r="E32" s="639">
        <v>10000</v>
      </c>
      <c r="F32" s="639">
        <v>7800</v>
      </c>
      <c r="G32" s="639">
        <v>6000</v>
      </c>
      <c r="H32" s="547">
        <v>0</v>
      </c>
      <c r="I32" s="861"/>
      <c r="J32" s="893">
        <v>0</v>
      </c>
    </row>
    <row r="33" spans="1:10" ht="12.75" customHeight="1">
      <c r="A33" s="336"/>
      <c r="B33" s="338">
        <v>10</v>
      </c>
      <c r="C33" s="339" t="s">
        <v>190</v>
      </c>
      <c r="D33" s="639">
        <v>500</v>
      </c>
      <c r="E33" s="639">
        <f>D33</f>
        <v>500</v>
      </c>
      <c r="F33" s="639">
        <v>225</v>
      </c>
      <c r="G33" s="639">
        <v>300</v>
      </c>
      <c r="H33" s="547">
        <v>300</v>
      </c>
      <c r="I33" s="861"/>
      <c r="J33" s="893">
        <v>300</v>
      </c>
    </row>
    <row r="34" spans="1:10" ht="12.75" customHeight="1">
      <c r="A34" s="336"/>
      <c r="B34" s="338">
        <v>11</v>
      </c>
      <c r="C34" s="339" t="s">
        <v>191</v>
      </c>
      <c r="D34" s="639"/>
      <c r="E34" s="639">
        <v>620</v>
      </c>
      <c r="F34" s="639">
        <v>890</v>
      </c>
      <c r="G34" s="639">
        <v>1235</v>
      </c>
      <c r="H34" s="547">
        <v>1300</v>
      </c>
      <c r="I34" s="861"/>
      <c r="J34" s="893">
        <v>1300</v>
      </c>
    </row>
    <row r="35" spans="1:10" ht="12.75" customHeight="1">
      <c r="A35" s="336"/>
      <c r="B35" s="338"/>
      <c r="C35" s="911" t="s">
        <v>281</v>
      </c>
      <c r="D35" s="640"/>
      <c r="E35" s="640">
        <v>1500</v>
      </c>
      <c r="F35" s="640">
        <f>600+1500</f>
        <v>2100</v>
      </c>
      <c r="G35" s="640">
        <v>1600</v>
      </c>
      <c r="H35" s="548">
        <v>500</v>
      </c>
      <c r="I35" s="861"/>
      <c r="J35" s="893">
        <v>0</v>
      </c>
    </row>
    <row r="36" spans="1:10" ht="12.75" customHeight="1">
      <c r="A36" s="336"/>
      <c r="B36" s="338">
        <v>12</v>
      </c>
      <c r="C36" s="911" t="s">
        <v>282</v>
      </c>
      <c r="D36" s="640"/>
      <c r="E36" s="640"/>
      <c r="F36" s="640"/>
      <c r="G36" s="640"/>
      <c r="H36" s="548"/>
      <c r="I36" s="861"/>
      <c r="J36" s="893">
        <v>500</v>
      </c>
    </row>
    <row r="37" spans="1:10" ht="12.75" customHeight="1">
      <c r="A37" s="336"/>
      <c r="B37" s="338">
        <v>13</v>
      </c>
      <c r="C37" s="546" t="s">
        <v>192</v>
      </c>
      <c r="D37" s="640"/>
      <c r="E37" s="640">
        <v>100</v>
      </c>
      <c r="F37" s="640">
        <v>100</v>
      </c>
      <c r="G37" s="640">
        <v>100</v>
      </c>
      <c r="H37" s="548">
        <v>100</v>
      </c>
      <c r="I37" s="861"/>
      <c r="J37" s="893">
        <v>200</v>
      </c>
    </row>
    <row r="38" spans="1:10" ht="12.75" customHeight="1">
      <c r="A38" s="336"/>
      <c r="B38" s="338">
        <v>14</v>
      </c>
      <c r="C38" s="339" t="s">
        <v>237</v>
      </c>
      <c r="D38" s="639"/>
      <c r="E38" s="639"/>
      <c r="F38" s="639"/>
      <c r="G38" s="639"/>
      <c r="H38" s="547">
        <v>500</v>
      </c>
      <c r="I38" s="861"/>
      <c r="J38" s="893">
        <v>500</v>
      </c>
    </row>
    <row r="39" spans="1:10" ht="12.75" customHeight="1">
      <c r="A39" s="336"/>
      <c r="B39" s="338">
        <v>15</v>
      </c>
      <c r="C39" s="339" t="s">
        <v>193</v>
      </c>
      <c r="D39" s="639"/>
      <c r="E39" s="639">
        <v>212</v>
      </c>
      <c r="F39" s="639">
        <v>300</v>
      </c>
      <c r="G39" s="639">
        <v>300</v>
      </c>
      <c r="H39" s="547">
        <v>300</v>
      </c>
      <c r="I39" s="861"/>
      <c r="J39" s="893">
        <v>350</v>
      </c>
    </row>
    <row r="40" spans="1:10" ht="12.75" customHeight="1">
      <c r="A40" s="336"/>
      <c r="B40" s="338">
        <v>16</v>
      </c>
      <c r="C40" s="549" t="s">
        <v>238</v>
      </c>
      <c r="D40" s="641"/>
      <c r="E40" s="641"/>
      <c r="F40" s="641"/>
      <c r="G40" s="641"/>
      <c r="H40" s="550">
        <v>1000</v>
      </c>
      <c r="I40" s="861"/>
      <c r="J40" s="893">
        <v>1000</v>
      </c>
    </row>
    <row r="41" spans="1:10" ht="12.75" customHeight="1">
      <c r="A41" s="336"/>
      <c r="B41" s="338">
        <v>17</v>
      </c>
      <c r="C41" s="549" t="s">
        <v>239</v>
      </c>
      <c r="D41" s="641"/>
      <c r="E41" s="641"/>
      <c r="F41" s="641"/>
      <c r="G41" s="641"/>
      <c r="H41" s="550">
        <v>200</v>
      </c>
      <c r="I41" s="861"/>
      <c r="J41" s="893">
        <v>200</v>
      </c>
    </row>
    <row r="42" spans="1:10" ht="12.75" customHeight="1">
      <c r="A42" s="336"/>
      <c r="B42" s="338">
        <v>18</v>
      </c>
      <c r="C42" s="546" t="s">
        <v>188</v>
      </c>
      <c r="D42" s="641"/>
      <c r="E42" s="641"/>
      <c r="F42" s="640">
        <v>300</v>
      </c>
      <c r="G42" s="640">
        <v>300</v>
      </c>
      <c r="H42" s="548">
        <v>400</v>
      </c>
      <c r="I42" s="861"/>
      <c r="J42" s="893">
        <v>400</v>
      </c>
    </row>
    <row r="43" spans="1:10" ht="12.75" customHeight="1">
      <c r="A43" s="336"/>
      <c r="B43" s="338">
        <v>19</v>
      </c>
      <c r="C43" s="549" t="s">
        <v>240</v>
      </c>
      <c r="D43" s="641"/>
      <c r="E43" s="641"/>
      <c r="F43" s="641"/>
      <c r="G43" s="641"/>
      <c r="H43" s="550">
        <v>882</v>
      </c>
      <c r="I43" s="861"/>
      <c r="J43" s="893">
        <v>650</v>
      </c>
    </row>
    <row r="44" spans="1:10" ht="12.75" customHeight="1">
      <c r="A44" s="336"/>
      <c r="B44" s="338">
        <v>20</v>
      </c>
      <c r="C44" s="912" t="s">
        <v>336</v>
      </c>
      <c r="D44" s="641"/>
      <c r="E44" s="641"/>
      <c r="F44" s="641"/>
      <c r="G44" s="641"/>
      <c r="H44" s="550">
        <v>500</v>
      </c>
      <c r="I44" s="861"/>
      <c r="J44" s="893">
        <v>500</v>
      </c>
    </row>
    <row r="45" spans="1:10" ht="12.75" customHeight="1">
      <c r="A45" s="336"/>
      <c r="B45" s="338">
        <v>21</v>
      </c>
      <c r="C45" s="912" t="s">
        <v>337</v>
      </c>
      <c r="D45" s="641"/>
      <c r="E45" s="641"/>
      <c r="F45" s="641"/>
      <c r="G45" s="641"/>
      <c r="H45" s="550">
        <v>180</v>
      </c>
      <c r="I45" s="861"/>
      <c r="J45" s="893">
        <v>200</v>
      </c>
    </row>
    <row r="46" spans="1:10" ht="12.75" customHeight="1">
      <c r="A46" s="336"/>
      <c r="B46" s="338">
        <v>22</v>
      </c>
      <c r="C46" s="912" t="s">
        <v>241</v>
      </c>
      <c r="D46" s="641"/>
      <c r="E46" s="641"/>
      <c r="F46" s="641"/>
      <c r="G46" s="641"/>
      <c r="H46" s="550">
        <v>310</v>
      </c>
      <c r="I46" s="861"/>
      <c r="J46" s="893">
        <v>40</v>
      </c>
    </row>
    <row r="47" spans="1:10" ht="12.75" customHeight="1">
      <c r="A47" s="336"/>
      <c r="B47" s="338">
        <v>23</v>
      </c>
      <c r="C47" s="912" t="s">
        <v>283</v>
      </c>
      <c r="D47" s="641"/>
      <c r="E47" s="641"/>
      <c r="F47" s="641"/>
      <c r="G47" s="641"/>
      <c r="H47" s="550"/>
      <c r="I47" s="861"/>
      <c r="J47" s="893">
        <v>300</v>
      </c>
    </row>
    <row r="48" spans="1:10" ht="12.75" customHeight="1">
      <c r="A48" s="336"/>
      <c r="B48" s="338">
        <v>24</v>
      </c>
      <c r="C48" s="549" t="s">
        <v>242</v>
      </c>
      <c r="D48" s="641"/>
      <c r="E48" s="641"/>
      <c r="F48" s="641"/>
      <c r="G48" s="641"/>
      <c r="H48" s="550">
        <v>700</v>
      </c>
      <c r="I48" s="861"/>
      <c r="J48" s="893">
        <v>300</v>
      </c>
    </row>
    <row r="49" spans="1:10" ht="12.75" customHeight="1">
      <c r="A49" s="336"/>
      <c r="B49" s="338">
        <v>25</v>
      </c>
      <c r="C49" s="549" t="s">
        <v>243</v>
      </c>
      <c r="D49" s="641"/>
      <c r="E49" s="641"/>
      <c r="F49" s="641"/>
      <c r="G49" s="641"/>
      <c r="H49" s="550">
        <v>300</v>
      </c>
      <c r="I49" s="861"/>
      <c r="J49" s="893">
        <v>300</v>
      </c>
    </row>
    <row r="50" spans="1:10" ht="12.75" customHeight="1">
      <c r="A50" s="336"/>
      <c r="B50" s="338">
        <v>26</v>
      </c>
      <c r="C50" s="549" t="s">
        <v>284</v>
      </c>
      <c r="D50" s="641"/>
      <c r="E50" s="641"/>
      <c r="F50" s="641"/>
      <c r="G50" s="641"/>
      <c r="H50" s="550">
        <v>500</v>
      </c>
      <c r="I50" s="861"/>
      <c r="J50" s="893">
        <v>500</v>
      </c>
    </row>
    <row r="51" spans="1:10" ht="12.75" customHeight="1">
      <c r="A51" s="336"/>
      <c r="B51" s="338">
        <v>27</v>
      </c>
      <c r="C51" s="549" t="s">
        <v>285</v>
      </c>
      <c r="D51" s="641"/>
      <c r="E51" s="641"/>
      <c r="F51" s="641"/>
      <c r="G51" s="641"/>
      <c r="H51" s="550">
        <v>500</v>
      </c>
      <c r="I51" s="861"/>
      <c r="J51" s="893">
        <v>500</v>
      </c>
    </row>
    <row r="52" spans="1:12" s="341" customFormat="1" ht="12">
      <c r="A52" s="336"/>
      <c r="B52" s="338">
        <v>28</v>
      </c>
      <c r="C52" s="549" t="s">
        <v>244</v>
      </c>
      <c r="D52" s="641"/>
      <c r="E52" s="641"/>
      <c r="F52" s="641"/>
      <c r="G52" s="641"/>
      <c r="H52" s="550">
        <v>1835</v>
      </c>
      <c r="I52" s="861"/>
      <c r="J52" s="893">
        <f>150+1879</f>
        <v>2029</v>
      </c>
      <c r="K52" s="321"/>
      <c r="L52" s="321"/>
    </row>
    <row r="53" spans="1:12" s="341" customFormat="1" ht="12">
      <c r="A53" s="336"/>
      <c r="B53" s="338">
        <v>29</v>
      </c>
      <c r="C53" s="549" t="s">
        <v>286</v>
      </c>
      <c r="D53" s="641"/>
      <c r="E53" s="641"/>
      <c r="F53" s="641"/>
      <c r="G53" s="641"/>
      <c r="H53" s="550"/>
      <c r="I53" s="862"/>
      <c r="J53" s="893">
        <v>15000</v>
      </c>
      <c r="K53" s="321"/>
      <c r="L53" s="321"/>
    </row>
    <row r="54" spans="1:12" s="341" customFormat="1" ht="12">
      <c r="A54" s="336"/>
      <c r="B54" s="338">
        <v>30</v>
      </c>
      <c r="C54" s="549" t="s">
        <v>245</v>
      </c>
      <c r="D54" s="641"/>
      <c r="E54" s="641"/>
      <c r="F54" s="641"/>
      <c r="G54" s="641"/>
      <c r="H54" s="550">
        <v>250</v>
      </c>
      <c r="I54" s="862"/>
      <c r="J54" s="893">
        <v>250</v>
      </c>
      <c r="K54" s="321"/>
      <c r="L54" s="321"/>
    </row>
    <row r="55" spans="1:12" s="341" customFormat="1" ht="12">
      <c r="A55" s="336"/>
      <c r="B55" s="338">
        <v>31</v>
      </c>
      <c r="C55" s="912" t="s">
        <v>287</v>
      </c>
      <c r="D55" s="641"/>
      <c r="E55" s="641"/>
      <c r="F55" s="641"/>
      <c r="G55" s="641"/>
      <c r="H55" s="550"/>
      <c r="I55" s="862"/>
      <c r="J55" s="893">
        <v>40</v>
      </c>
      <c r="K55" s="321"/>
      <c r="L55" s="321"/>
    </row>
    <row r="56" spans="1:12" s="341" customFormat="1" ht="12">
      <c r="A56" s="336"/>
      <c r="B56" s="338">
        <v>32</v>
      </c>
      <c r="C56" s="549" t="s">
        <v>288</v>
      </c>
      <c r="D56" s="641"/>
      <c r="E56" s="641"/>
      <c r="F56" s="641"/>
      <c r="G56" s="641"/>
      <c r="H56" s="550"/>
      <c r="I56" s="862"/>
      <c r="J56" s="893">
        <v>2075</v>
      </c>
      <c r="K56" s="321"/>
      <c r="L56" s="321"/>
    </row>
    <row r="57" spans="1:12" s="341" customFormat="1" ht="12">
      <c r="A57" s="336"/>
      <c r="B57" s="342"/>
      <c r="C57" s="549" t="s">
        <v>246</v>
      </c>
      <c r="D57" s="641"/>
      <c r="E57" s="641"/>
      <c r="F57" s="641"/>
      <c r="G57" s="641"/>
      <c r="H57" s="550">
        <v>200</v>
      </c>
      <c r="I57" s="862"/>
      <c r="J57" s="893">
        <v>0</v>
      </c>
      <c r="K57" s="321"/>
      <c r="L57" s="321"/>
    </row>
    <row r="58" spans="1:12" s="341" customFormat="1" ht="12">
      <c r="A58" s="336"/>
      <c r="B58" s="966">
        <v>33</v>
      </c>
      <c r="C58" s="967" t="s">
        <v>340</v>
      </c>
      <c r="D58" s="968"/>
      <c r="E58" s="968">
        <v>12803</v>
      </c>
      <c r="F58" s="968">
        <v>15430</v>
      </c>
      <c r="G58" s="968">
        <v>13430</v>
      </c>
      <c r="H58" s="969">
        <v>15700</v>
      </c>
      <c r="I58" s="970">
        <v>56069</v>
      </c>
      <c r="J58" s="971">
        <v>16000</v>
      </c>
      <c r="K58" s="321"/>
      <c r="L58" s="321"/>
    </row>
    <row r="59" spans="1:12" s="341" customFormat="1" ht="12.75" customHeight="1">
      <c r="A59" s="336"/>
      <c r="B59" s="551">
        <v>34</v>
      </c>
      <c r="C59" s="552" t="s">
        <v>260</v>
      </c>
      <c r="D59" s="612">
        <v>2000</v>
      </c>
      <c r="E59" s="612">
        <v>6500</v>
      </c>
      <c r="F59" s="612">
        <v>2954</v>
      </c>
      <c r="G59" s="612">
        <v>4905</v>
      </c>
      <c r="H59" s="553">
        <v>4113</v>
      </c>
      <c r="I59" s="863"/>
      <c r="J59" s="894">
        <v>2600</v>
      </c>
      <c r="K59" s="321"/>
      <c r="L59" s="321"/>
    </row>
    <row r="60" spans="1:12" s="341" customFormat="1" ht="12.75" customHeight="1">
      <c r="A60" s="346"/>
      <c r="B60" s="338">
        <v>35</v>
      </c>
      <c r="C60" s="552" t="s">
        <v>289</v>
      </c>
      <c r="D60" s="642"/>
      <c r="E60" s="642"/>
      <c r="F60" s="642">
        <v>4812</v>
      </c>
      <c r="G60" s="642">
        <v>5545</v>
      </c>
      <c r="H60" s="554">
        <v>5655</v>
      </c>
      <c r="I60" s="863"/>
      <c r="J60" s="893">
        <v>5655</v>
      </c>
      <c r="K60" s="321"/>
      <c r="L60" s="321"/>
    </row>
    <row r="61" spans="1:12" s="341" customFormat="1" ht="12.75" customHeight="1">
      <c r="A61" s="346"/>
      <c r="B61" s="338">
        <v>36</v>
      </c>
      <c r="C61" s="552" t="s">
        <v>247</v>
      </c>
      <c r="D61" s="642"/>
      <c r="E61" s="642"/>
      <c r="F61" s="642"/>
      <c r="G61" s="642"/>
      <c r="H61" s="554">
        <v>5753</v>
      </c>
      <c r="I61" s="863"/>
      <c r="J61" s="893">
        <v>5753</v>
      </c>
      <c r="K61" s="321"/>
      <c r="L61" s="321"/>
    </row>
    <row r="62" spans="1:12" s="341" customFormat="1" ht="12.75" customHeight="1">
      <c r="A62" s="346"/>
      <c r="B62" s="338">
        <v>37</v>
      </c>
      <c r="C62" s="552" t="s">
        <v>290</v>
      </c>
      <c r="D62" s="642"/>
      <c r="E62" s="642"/>
      <c r="F62" s="642"/>
      <c r="G62" s="642"/>
      <c r="H62" s="554">
        <v>350</v>
      </c>
      <c r="I62" s="863"/>
      <c r="J62" s="893">
        <v>595</v>
      </c>
      <c r="K62" s="321"/>
      <c r="L62" s="321"/>
    </row>
    <row r="63" spans="1:12" s="341" customFormat="1" ht="12.75" customHeight="1">
      <c r="A63" s="346"/>
      <c r="B63" s="338"/>
      <c r="C63" s="552" t="s">
        <v>291</v>
      </c>
      <c r="D63" s="642"/>
      <c r="E63" s="642"/>
      <c r="F63" s="642"/>
      <c r="G63" s="642"/>
      <c r="H63" s="554">
        <v>400</v>
      </c>
      <c r="I63" s="863"/>
      <c r="J63" s="893"/>
      <c r="K63" s="321"/>
      <c r="L63" s="321"/>
    </row>
    <row r="64" spans="1:12" s="341" customFormat="1" ht="12.75" customHeight="1">
      <c r="A64" s="346"/>
      <c r="B64" s="338">
        <v>38</v>
      </c>
      <c r="C64" s="552" t="s">
        <v>292</v>
      </c>
      <c r="D64" s="642"/>
      <c r="E64" s="642"/>
      <c r="F64" s="642"/>
      <c r="G64" s="642"/>
      <c r="H64" s="554">
        <v>350</v>
      </c>
      <c r="I64" s="863"/>
      <c r="J64" s="893">
        <v>55</v>
      </c>
      <c r="K64" s="321"/>
      <c r="L64" s="321"/>
    </row>
    <row r="65" spans="1:12" s="341" customFormat="1" ht="12.75" customHeight="1">
      <c r="A65" s="346"/>
      <c r="B65" s="338">
        <v>39</v>
      </c>
      <c r="C65" s="552" t="s">
        <v>293</v>
      </c>
      <c r="D65" s="642"/>
      <c r="E65" s="642"/>
      <c r="F65" s="642">
        <f>2000+160+1200</f>
        <v>3360</v>
      </c>
      <c r="G65" s="642"/>
      <c r="H65" s="554"/>
      <c r="I65" s="863"/>
      <c r="J65" s="893">
        <v>250</v>
      </c>
      <c r="K65" s="321"/>
      <c r="L65" s="321"/>
    </row>
    <row r="66" spans="1:10" ht="12.75" customHeight="1" hidden="1">
      <c r="A66" s="346"/>
      <c r="B66" s="338"/>
      <c r="C66" s="552" t="s">
        <v>294</v>
      </c>
      <c r="D66" s="642"/>
      <c r="E66" s="642"/>
      <c r="F66" s="642"/>
      <c r="G66" s="642"/>
      <c r="H66" s="554"/>
      <c r="I66" s="863"/>
      <c r="J66" s="895">
        <v>0</v>
      </c>
    </row>
    <row r="67" spans="1:10" ht="12.75" customHeight="1">
      <c r="A67" s="346"/>
      <c r="B67" s="338">
        <v>40</v>
      </c>
      <c r="C67" s="552" t="s">
        <v>248</v>
      </c>
      <c r="D67" s="642"/>
      <c r="E67" s="642"/>
      <c r="F67" s="642">
        <f>1000+850+265</f>
        <v>2115</v>
      </c>
      <c r="G67" s="642">
        <v>1000</v>
      </c>
      <c r="H67" s="554">
        <v>1000</v>
      </c>
      <c r="I67" s="864"/>
      <c r="J67" s="893">
        <v>1000</v>
      </c>
    </row>
    <row r="68" spans="1:12" s="347" customFormat="1" ht="12.75" customHeight="1">
      <c r="A68" s="346"/>
      <c r="B68" s="342">
        <v>41</v>
      </c>
      <c r="C68" s="552" t="s">
        <v>295</v>
      </c>
      <c r="D68" s="642"/>
      <c r="E68" s="642"/>
      <c r="F68" s="642"/>
      <c r="G68" s="642">
        <v>1000</v>
      </c>
      <c r="H68" s="554">
        <v>0</v>
      </c>
      <c r="I68" s="864"/>
      <c r="J68" s="893">
        <v>1500</v>
      </c>
      <c r="K68" s="321"/>
      <c r="L68" s="321"/>
    </row>
    <row r="69" spans="1:10" ht="12.75" customHeight="1">
      <c r="A69" s="346"/>
      <c r="B69" s="342">
        <v>42</v>
      </c>
      <c r="C69" s="552" t="s">
        <v>296</v>
      </c>
      <c r="D69" s="642"/>
      <c r="E69" s="642"/>
      <c r="F69" s="642"/>
      <c r="G69" s="642"/>
      <c r="H69" s="554"/>
      <c r="I69" s="864"/>
      <c r="J69" s="893">
        <v>1500</v>
      </c>
    </row>
    <row r="70" spans="1:10" ht="12">
      <c r="A70" s="346"/>
      <c r="B70" s="342">
        <v>43</v>
      </c>
      <c r="C70" s="552" t="s">
        <v>249</v>
      </c>
      <c r="D70" s="642"/>
      <c r="E70" s="642"/>
      <c r="F70" s="642"/>
      <c r="G70" s="642"/>
      <c r="H70" s="554">
        <v>25</v>
      </c>
      <c r="I70" s="864"/>
      <c r="J70" s="893">
        <v>25</v>
      </c>
    </row>
    <row r="71" spans="1:12" ht="12" hidden="1">
      <c r="A71" s="643"/>
      <c r="B71" s="644">
        <v>41</v>
      </c>
      <c r="C71" s="645" t="s">
        <v>194</v>
      </c>
      <c r="D71" s="646"/>
      <c r="E71" s="646"/>
      <c r="F71" s="646"/>
      <c r="G71" s="646">
        <v>4000</v>
      </c>
      <c r="H71" s="647">
        <v>0</v>
      </c>
      <c r="I71" s="863"/>
      <c r="J71" s="893">
        <v>0</v>
      </c>
      <c r="K71" s="855"/>
      <c r="L71" s="855"/>
    </row>
    <row r="72" spans="1:10" ht="12">
      <c r="A72" s="336"/>
      <c r="B72" s="343"/>
      <c r="C72" s="344" t="s">
        <v>59</v>
      </c>
      <c r="D72" s="648">
        <f aca="true" t="shared" si="2" ref="D72:J72">SUM(D27:D71)</f>
        <v>73307</v>
      </c>
      <c r="E72" s="648">
        <f t="shared" si="2"/>
        <v>51185</v>
      </c>
      <c r="F72" s="648">
        <f t="shared" si="2"/>
        <v>60150</v>
      </c>
      <c r="G72" s="648">
        <f t="shared" si="2"/>
        <v>60465</v>
      </c>
      <c r="H72" s="555">
        <f t="shared" si="2"/>
        <v>65753</v>
      </c>
      <c r="I72" s="865">
        <f>SUM(I27:I71)</f>
        <v>56069</v>
      </c>
      <c r="J72" s="896">
        <f t="shared" si="2"/>
        <v>84918</v>
      </c>
    </row>
    <row r="73" spans="1:10" ht="12">
      <c r="A73" s="336"/>
      <c r="B73" s="560">
        <v>44</v>
      </c>
      <c r="C73" s="561" t="s">
        <v>60</v>
      </c>
      <c r="D73" s="649">
        <f>(1777+195)</f>
        <v>1972</v>
      </c>
      <c r="E73" s="649">
        <v>2300</v>
      </c>
      <c r="F73" s="649">
        <v>2300</v>
      </c>
      <c r="G73" s="649">
        <v>3600</v>
      </c>
      <c r="H73" s="562">
        <v>4500</v>
      </c>
      <c r="I73" s="866"/>
      <c r="J73" s="897">
        <v>6560</v>
      </c>
    </row>
    <row r="74" spans="1:10" ht="12.75" customHeight="1">
      <c r="A74" s="336"/>
      <c r="B74" s="337">
        <v>45</v>
      </c>
      <c r="C74" s="650" t="s">
        <v>297</v>
      </c>
      <c r="D74" s="651"/>
      <c r="E74" s="651"/>
      <c r="F74" s="651"/>
      <c r="G74" s="651"/>
      <c r="H74" s="652"/>
      <c r="I74" s="867"/>
      <c r="J74" s="898">
        <v>1014</v>
      </c>
    </row>
    <row r="75" spans="1:10" ht="12.75" customHeight="1">
      <c r="A75" s="346"/>
      <c r="B75" s="343"/>
      <c r="C75" s="344" t="s">
        <v>61</v>
      </c>
      <c r="D75" s="648">
        <f>SUM(D73)</f>
        <v>1972</v>
      </c>
      <c r="E75" s="648">
        <f>SUM(E73)</f>
        <v>2300</v>
      </c>
      <c r="F75" s="648">
        <f>SUM(F73)</f>
        <v>2300</v>
      </c>
      <c r="G75" s="648">
        <f>SUM(G73)</f>
        <v>3600</v>
      </c>
      <c r="H75" s="555">
        <f>H73</f>
        <v>4500</v>
      </c>
      <c r="I75" s="881">
        <v>0</v>
      </c>
      <c r="J75" s="896">
        <f>SUM(J73:J74)</f>
        <v>7574</v>
      </c>
    </row>
    <row r="76" spans="1:10" ht="12.75" customHeight="1">
      <c r="A76" s="336"/>
      <c r="B76" s="348">
        <v>46</v>
      </c>
      <c r="C76" s="349" t="s">
        <v>134</v>
      </c>
      <c r="D76" s="653" t="s">
        <v>195</v>
      </c>
      <c r="E76" s="654">
        <v>5400</v>
      </c>
      <c r="F76" s="654">
        <v>5670</v>
      </c>
      <c r="G76" s="654">
        <v>6040</v>
      </c>
      <c r="H76" s="557">
        <v>6040</v>
      </c>
      <c r="I76" s="868"/>
      <c r="J76" s="899">
        <v>6300</v>
      </c>
    </row>
    <row r="77" spans="1:10" ht="12.75" customHeight="1">
      <c r="A77" s="336"/>
      <c r="B77" s="350">
        <v>47</v>
      </c>
      <c r="C77" s="351" t="s">
        <v>250</v>
      </c>
      <c r="D77" s="655"/>
      <c r="E77" s="656">
        <v>600</v>
      </c>
      <c r="F77" s="656">
        <v>1080</v>
      </c>
      <c r="G77" s="656">
        <v>1080</v>
      </c>
      <c r="H77" s="353">
        <v>1550</v>
      </c>
      <c r="I77" s="869"/>
      <c r="J77" s="891">
        <f>1500+650</f>
        <v>2150</v>
      </c>
    </row>
    <row r="78" spans="1:10" ht="12.75" customHeight="1">
      <c r="A78" s="336"/>
      <c r="B78" s="350">
        <v>48</v>
      </c>
      <c r="C78" s="339" t="s">
        <v>251</v>
      </c>
      <c r="D78" s="655"/>
      <c r="E78" s="656"/>
      <c r="F78" s="656"/>
      <c r="G78" s="656"/>
      <c r="H78" s="353">
        <v>5000</v>
      </c>
      <c r="I78" s="869"/>
      <c r="J78" s="891">
        <v>1000</v>
      </c>
    </row>
    <row r="79" spans="1:10" ht="12.75" customHeight="1">
      <c r="A79" s="336"/>
      <c r="B79" s="350"/>
      <c r="C79" s="339" t="s">
        <v>252</v>
      </c>
      <c r="D79" s="655"/>
      <c r="E79" s="656"/>
      <c r="F79" s="656"/>
      <c r="G79" s="656"/>
      <c r="H79" s="353">
        <v>6150</v>
      </c>
      <c r="I79" s="869"/>
      <c r="J79" s="891"/>
    </row>
    <row r="80" spans="1:10" ht="12.75" customHeight="1">
      <c r="A80" s="336"/>
      <c r="B80" s="350"/>
      <c r="C80" s="339" t="s">
        <v>298</v>
      </c>
      <c r="D80" s="655"/>
      <c r="E80" s="656"/>
      <c r="F80" s="656"/>
      <c r="G80" s="656"/>
      <c r="H80" s="353">
        <v>1800</v>
      </c>
      <c r="I80" s="869"/>
      <c r="J80" s="891"/>
    </row>
    <row r="81" spans="1:10" ht="12.75" customHeight="1">
      <c r="A81" s="336"/>
      <c r="B81" s="350">
        <v>49</v>
      </c>
      <c r="C81" s="339" t="s">
        <v>299</v>
      </c>
      <c r="D81" s="655"/>
      <c r="E81" s="656"/>
      <c r="F81" s="656"/>
      <c r="G81" s="656"/>
      <c r="H81" s="353"/>
      <c r="I81" s="869"/>
      <c r="J81" s="891">
        <v>1500</v>
      </c>
    </row>
    <row r="82" spans="1:10" ht="12.75" customHeight="1" hidden="1">
      <c r="A82" s="336"/>
      <c r="B82" s="350"/>
      <c r="C82" s="339" t="s">
        <v>300</v>
      </c>
      <c r="D82" s="655"/>
      <c r="E82" s="656"/>
      <c r="F82" s="656"/>
      <c r="G82" s="656"/>
      <c r="H82" s="353"/>
      <c r="I82" s="869"/>
      <c r="J82" s="891">
        <v>0</v>
      </c>
    </row>
    <row r="83" spans="1:10" ht="12.75" customHeight="1">
      <c r="A83" s="336"/>
      <c r="B83" s="350">
        <v>50</v>
      </c>
      <c r="C83" s="339" t="s">
        <v>301</v>
      </c>
      <c r="D83" s="655"/>
      <c r="E83" s="656"/>
      <c r="F83" s="656"/>
      <c r="G83" s="656"/>
      <c r="H83" s="353"/>
      <c r="I83" s="869"/>
      <c r="J83" s="891">
        <v>1500</v>
      </c>
    </row>
    <row r="84" spans="1:10" ht="12.75" customHeight="1" hidden="1">
      <c r="A84" s="336"/>
      <c r="B84" s="350"/>
      <c r="C84" s="339" t="s">
        <v>302</v>
      </c>
      <c r="D84" s="655"/>
      <c r="E84" s="656"/>
      <c r="F84" s="656"/>
      <c r="G84" s="656"/>
      <c r="H84" s="353"/>
      <c r="I84" s="869"/>
      <c r="J84" s="891">
        <v>0</v>
      </c>
    </row>
    <row r="85" spans="1:10" ht="12.75" customHeight="1">
      <c r="A85" s="336"/>
      <c r="B85" s="350">
        <v>51</v>
      </c>
      <c r="C85" s="339" t="s">
        <v>303</v>
      </c>
      <c r="D85" s="655"/>
      <c r="E85" s="656"/>
      <c r="F85" s="656"/>
      <c r="G85" s="656"/>
      <c r="H85" s="353"/>
      <c r="I85" s="869"/>
      <c r="J85" s="891">
        <v>1850</v>
      </c>
    </row>
    <row r="86" spans="1:10" ht="12.75" customHeight="1">
      <c r="A86" s="336"/>
      <c r="B86" s="914">
        <v>52</v>
      </c>
      <c r="C86" s="558" t="s">
        <v>304</v>
      </c>
      <c r="D86" s="653"/>
      <c r="E86" s="654"/>
      <c r="F86" s="654"/>
      <c r="G86" s="654"/>
      <c r="H86" s="557">
        <v>6100</v>
      </c>
      <c r="I86" s="870"/>
      <c r="J86" s="898"/>
    </row>
    <row r="87" spans="1:10" ht="12.75" customHeight="1">
      <c r="A87" s="346"/>
      <c r="B87" s="559"/>
      <c r="C87" s="344" t="s">
        <v>196</v>
      </c>
      <c r="D87" s="657">
        <f>SUM(D76:D77)</f>
        <v>0</v>
      </c>
      <c r="E87" s="657">
        <f>SUM(E76:E77)</f>
        <v>6000</v>
      </c>
      <c r="F87" s="648">
        <f>SUM(F76:F77)</f>
        <v>6750</v>
      </c>
      <c r="G87" s="648">
        <f>SUM(G76:G77)</f>
        <v>7120</v>
      </c>
      <c r="H87" s="555">
        <f>SUM(H76:H86)</f>
        <v>26640</v>
      </c>
      <c r="I87" s="881">
        <f>SUM(I76:I86)</f>
        <v>0</v>
      </c>
      <c r="J87" s="896">
        <f>SUM(J76:J86)</f>
        <v>14300</v>
      </c>
    </row>
    <row r="88" spans="1:10" ht="12.75" customHeight="1">
      <c r="A88" s="336"/>
      <c r="B88" s="560">
        <v>53</v>
      </c>
      <c r="C88" s="561" t="s">
        <v>253</v>
      </c>
      <c r="D88" s="649">
        <f>(1777+195)</f>
        <v>1972</v>
      </c>
      <c r="E88" s="649">
        <v>2300</v>
      </c>
      <c r="F88" s="649"/>
      <c r="G88" s="649"/>
      <c r="H88" s="562">
        <v>15500</v>
      </c>
      <c r="I88" s="871"/>
      <c r="J88" s="897">
        <v>20000</v>
      </c>
    </row>
    <row r="89" spans="1:10" ht="12.75" customHeight="1">
      <c r="A89" s="336"/>
      <c r="B89" s="338"/>
      <c r="C89" s="339" t="s">
        <v>254</v>
      </c>
      <c r="D89" s="639"/>
      <c r="E89" s="639"/>
      <c r="F89" s="639"/>
      <c r="G89" s="639"/>
      <c r="H89" s="547">
        <v>2650</v>
      </c>
      <c r="I89" s="872"/>
      <c r="J89" s="891">
        <v>0</v>
      </c>
    </row>
    <row r="90" spans="1:10" ht="12.75" customHeight="1">
      <c r="A90" s="336"/>
      <c r="B90" s="340">
        <v>54</v>
      </c>
      <c r="C90" s="558" t="s">
        <v>255</v>
      </c>
      <c r="D90" s="653"/>
      <c r="E90" s="654"/>
      <c r="F90" s="654"/>
      <c r="G90" s="654"/>
      <c r="H90" s="557">
        <v>670</v>
      </c>
      <c r="I90" s="867"/>
      <c r="J90" s="898">
        <v>300</v>
      </c>
    </row>
    <row r="91" spans="1:10" ht="12.75" customHeight="1">
      <c r="A91" s="346"/>
      <c r="B91" s="343"/>
      <c r="C91" s="344" t="s">
        <v>256</v>
      </c>
      <c r="D91" s="648">
        <f>SUM(D88)</f>
        <v>1972</v>
      </c>
      <c r="E91" s="648">
        <f>SUM(E88)</f>
        <v>2300</v>
      </c>
      <c r="F91" s="648">
        <f>SUM(F88)</f>
        <v>0</v>
      </c>
      <c r="G91" s="648"/>
      <c r="H91" s="555">
        <f>SUM(H88:H90)</f>
        <v>18820</v>
      </c>
      <c r="I91" s="882">
        <f>SUM(I88:I90)</f>
        <v>0</v>
      </c>
      <c r="J91" s="900">
        <f>SUM(J88:J90)</f>
        <v>20300</v>
      </c>
    </row>
    <row r="92" spans="1:10" ht="12.75" customHeight="1">
      <c r="A92" s="336"/>
      <c r="B92" s="337">
        <v>55</v>
      </c>
      <c r="C92" s="345" t="s">
        <v>305</v>
      </c>
      <c r="D92" s="658"/>
      <c r="E92" s="658"/>
      <c r="F92" s="658"/>
      <c r="G92" s="658"/>
      <c r="H92" s="556"/>
      <c r="I92" s="883"/>
      <c r="J92" s="901">
        <v>1250</v>
      </c>
    </row>
    <row r="93" spans="1:12" s="347" customFormat="1" ht="12.75" customHeight="1" thickBot="1">
      <c r="A93" s="346"/>
      <c r="B93" s="343"/>
      <c r="C93" s="344" t="s">
        <v>306</v>
      </c>
      <c r="D93" s="648"/>
      <c r="E93" s="648"/>
      <c r="F93" s="648"/>
      <c r="G93" s="648"/>
      <c r="H93" s="555">
        <f>H92</f>
        <v>0</v>
      </c>
      <c r="I93" s="882"/>
      <c r="J93" s="900">
        <f>J92</f>
        <v>1250</v>
      </c>
      <c r="K93" s="321"/>
      <c r="L93" s="321"/>
    </row>
    <row r="94" spans="1:10" ht="12.75" customHeight="1" hidden="1">
      <c r="A94" s="336"/>
      <c r="B94" s="337"/>
      <c r="C94" s="345" t="s">
        <v>257</v>
      </c>
      <c r="D94" s="658">
        <f>(1777+195)</f>
        <v>1972</v>
      </c>
      <c r="E94" s="658">
        <v>2300</v>
      </c>
      <c r="F94" s="658"/>
      <c r="G94" s="658"/>
      <c r="H94" s="556"/>
      <c r="I94" s="883">
        <v>0</v>
      </c>
      <c r="J94" s="901">
        <v>0</v>
      </c>
    </row>
    <row r="95" spans="1:10" ht="12.75" customHeight="1" hidden="1" thickBot="1">
      <c r="A95" s="346"/>
      <c r="B95" s="343"/>
      <c r="C95" s="344" t="s">
        <v>258</v>
      </c>
      <c r="D95" s="648">
        <f aca="true" t="shared" si="3" ref="D95:I95">SUM(D94)</f>
        <v>1972</v>
      </c>
      <c r="E95" s="648">
        <f t="shared" si="3"/>
        <v>2300</v>
      </c>
      <c r="F95" s="648">
        <f t="shared" si="3"/>
        <v>0</v>
      </c>
      <c r="G95" s="648">
        <f>G94</f>
        <v>0</v>
      </c>
      <c r="H95" s="555">
        <f>H94</f>
        <v>0</v>
      </c>
      <c r="I95" s="878">
        <f t="shared" si="3"/>
        <v>0</v>
      </c>
      <c r="J95" s="856">
        <f>J94</f>
        <v>0</v>
      </c>
    </row>
    <row r="96" spans="1:10" ht="12.75" customHeight="1" thickBot="1">
      <c r="A96" s="531"/>
      <c r="B96" s="532"/>
      <c r="C96" s="563" t="s">
        <v>339</v>
      </c>
      <c r="D96" s="659">
        <f>928479*0.01</f>
        <v>9284.79</v>
      </c>
      <c r="E96" s="659">
        <v>10583</v>
      </c>
      <c r="F96" s="659">
        <v>13092</v>
      </c>
      <c r="G96" s="659">
        <v>10000</v>
      </c>
      <c r="H96" s="564">
        <v>15700</v>
      </c>
      <c r="I96" s="873">
        <v>0</v>
      </c>
      <c r="J96" s="885">
        <v>16000</v>
      </c>
    </row>
    <row r="97" spans="1:12" s="347" customFormat="1" ht="12.75" customHeight="1" thickBot="1">
      <c r="A97" s="327"/>
      <c r="B97" s="565">
        <v>56</v>
      </c>
      <c r="C97" s="566" t="s">
        <v>197</v>
      </c>
      <c r="D97" s="660">
        <f aca="true" t="shared" si="4" ref="D97:J97">D5+D26+D96</f>
        <v>181363.79</v>
      </c>
      <c r="E97" s="660">
        <f t="shared" si="4"/>
        <v>205068</v>
      </c>
      <c r="F97" s="660">
        <f t="shared" si="4"/>
        <v>232019</v>
      </c>
      <c r="G97" s="660">
        <f t="shared" si="4"/>
        <v>289330</v>
      </c>
      <c r="H97" s="661">
        <f t="shared" si="4"/>
        <v>300746</v>
      </c>
      <c r="I97" s="884">
        <f t="shared" si="4"/>
        <v>56069</v>
      </c>
      <c r="J97" s="902">
        <f t="shared" si="4"/>
        <v>329576</v>
      </c>
      <c r="K97" s="321"/>
      <c r="L97" s="321"/>
    </row>
    <row r="98" spans="1:12" s="333" customFormat="1" ht="12.75" customHeight="1">
      <c r="A98" s="1146" t="s">
        <v>472</v>
      </c>
      <c r="B98" s="1147" t="s">
        <v>473</v>
      </c>
      <c r="C98" s="1148"/>
      <c r="D98" s="1149"/>
      <c r="E98" s="1149"/>
      <c r="F98" s="1149"/>
      <c r="G98" s="1149"/>
      <c r="H98" s="1149"/>
      <c r="I98" s="1150"/>
      <c r="J98" s="1151">
        <v>79250</v>
      </c>
      <c r="K98" s="1152"/>
      <c r="L98" s="1152"/>
    </row>
    <row r="99" spans="1:12" s="333" customFormat="1" ht="11.25">
      <c r="A99" s="1146"/>
      <c r="B99" s="1147"/>
      <c r="C99" s="1147" t="s">
        <v>474</v>
      </c>
      <c r="D99" s="1149"/>
      <c r="E99" s="1149"/>
      <c r="F99" s="1149"/>
      <c r="G99" s="1149"/>
      <c r="H99" s="1149"/>
      <c r="I99" s="1150"/>
      <c r="J99" s="1151">
        <f>J23+J24</f>
        <v>23181</v>
      </c>
      <c r="K99" s="1152"/>
      <c r="L99" s="1152"/>
    </row>
    <row r="100" spans="1:12" s="333" customFormat="1" ht="11.25">
      <c r="A100" s="1146"/>
      <c r="B100" s="1147"/>
      <c r="C100" s="1147" t="s">
        <v>480</v>
      </c>
      <c r="D100" s="1149"/>
      <c r="E100" s="1149"/>
      <c r="F100" s="1149"/>
      <c r="G100" s="1149"/>
      <c r="H100" s="1149"/>
      <c r="I100" s="1150"/>
      <c r="J100" s="1151">
        <f>I97</f>
        <v>56069</v>
      </c>
      <c r="K100" s="1152"/>
      <c r="L100" s="1152"/>
    </row>
    <row r="101" spans="1:12" s="347" customFormat="1" ht="12.75" customHeight="1">
      <c r="A101" s="662"/>
      <c r="B101" s="567"/>
      <c r="C101" s="567"/>
      <c r="D101" s="663"/>
      <c r="E101" s="663"/>
      <c r="F101" s="663"/>
      <c r="G101" s="663"/>
      <c r="H101" s="664"/>
      <c r="I101" s="568"/>
      <c r="J101" s="903"/>
      <c r="K101" s="665"/>
      <c r="L101" s="665"/>
    </row>
    <row r="102" spans="1:12" ht="12.75" customHeight="1" thickBot="1">
      <c r="A102" s="666"/>
      <c r="B102" s="667"/>
      <c r="C102" s="668"/>
      <c r="D102" s="669"/>
      <c r="E102" s="669"/>
      <c r="F102" s="669"/>
      <c r="G102" s="669"/>
      <c r="H102" s="670"/>
      <c r="I102" s="671"/>
      <c r="J102" s="904">
        <v>1.07</v>
      </c>
      <c r="K102" s="1100">
        <v>1.05</v>
      </c>
      <c r="L102" s="699"/>
    </row>
    <row r="103" spans="1:10" ht="12.75" customHeight="1">
      <c r="A103" s="672"/>
      <c r="B103" s="673"/>
      <c r="C103" s="674" t="s">
        <v>307</v>
      </c>
      <c r="D103" s="675">
        <v>2002</v>
      </c>
      <c r="E103" s="675">
        <v>2003</v>
      </c>
      <c r="F103" s="675">
        <v>2004</v>
      </c>
      <c r="G103" s="675">
        <v>2005</v>
      </c>
      <c r="H103" s="673">
        <v>2006</v>
      </c>
      <c r="I103" s="676"/>
      <c r="J103" s="905">
        <v>2007</v>
      </c>
    </row>
    <row r="104" spans="1:14" ht="12.75" customHeight="1">
      <c r="A104" s="677"/>
      <c r="B104" s="678">
        <v>57</v>
      </c>
      <c r="C104" s="335" t="s">
        <v>308</v>
      </c>
      <c r="D104" s="679"/>
      <c r="E104" s="679"/>
      <c r="F104" s="679"/>
      <c r="G104" s="679"/>
      <c r="H104" s="680">
        <v>0</v>
      </c>
      <c r="I104" s="681"/>
      <c r="J104" s="906">
        <v>0</v>
      </c>
      <c r="N104" s="1098"/>
    </row>
    <row r="105" spans="1:14" ht="12.75" customHeight="1">
      <c r="A105" s="682"/>
      <c r="B105" s="683">
        <v>58</v>
      </c>
      <c r="C105" s="684" t="s">
        <v>309</v>
      </c>
      <c r="D105" s="685"/>
      <c r="E105" s="685"/>
      <c r="F105" s="685"/>
      <c r="G105" s="685"/>
      <c r="H105" s="686">
        <v>0</v>
      </c>
      <c r="I105" s="687"/>
      <c r="J105" s="907">
        <v>0</v>
      </c>
      <c r="K105" s="688"/>
      <c r="N105" s="1098"/>
    </row>
    <row r="106" spans="1:14" ht="12.75" customHeight="1">
      <c r="A106" s="682"/>
      <c r="B106" s="683">
        <v>59</v>
      </c>
      <c r="C106" s="684" t="s">
        <v>310</v>
      </c>
      <c r="D106" s="685"/>
      <c r="E106" s="685"/>
      <c r="F106" s="685"/>
      <c r="G106" s="685">
        <v>1700</v>
      </c>
      <c r="H106" s="686">
        <v>3500</v>
      </c>
      <c r="I106" s="687"/>
      <c r="J106" s="1101">
        <f>ROUND(H106*$K$102,0)</f>
        <v>3675</v>
      </c>
      <c r="K106" s="688"/>
      <c r="N106" s="1099"/>
    </row>
    <row r="107" spans="1:14" ht="12.75" customHeight="1">
      <c r="A107" s="682"/>
      <c r="B107" s="683">
        <v>60</v>
      </c>
      <c r="C107" s="684" t="s">
        <v>311</v>
      </c>
      <c r="D107" s="685"/>
      <c r="E107" s="685"/>
      <c r="F107" s="685"/>
      <c r="G107" s="685">
        <v>1500</v>
      </c>
      <c r="H107" s="686">
        <v>1710</v>
      </c>
      <c r="I107" s="687"/>
      <c r="J107" s="1101">
        <f>ROUND(H107*$K$102,0)</f>
        <v>1796</v>
      </c>
      <c r="K107" s="688"/>
      <c r="N107" s="1099"/>
    </row>
    <row r="108" spans="1:14" ht="12.75" customHeight="1">
      <c r="A108" s="682"/>
      <c r="B108" s="683">
        <v>61</v>
      </c>
      <c r="C108" s="684" t="s">
        <v>312</v>
      </c>
      <c r="D108" s="685"/>
      <c r="E108" s="685"/>
      <c r="F108" s="685"/>
      <c r="G108" s="685"/>
      <c r="H108" s="686">
        <v>0</v>
      </c>
      <c r="I108" s="687"/>
      <c r="J108" s="907">
        <f aca="true" t="shared" si="5" ref="J108:J113">ROUND(H108*$J$102,0)</f>
        <v>0</v>
      </c>
      <c r="K108" s="688"/>
      <c r="N108" s="1099"/>
    </row>
    <row r="109" spans="1:14" ht="12.75" customHeight="1">
      <c r="A109" s="682"/>
      <c r="B109" s="683">
        <v>62</v>
      </c>
      <c r="C109" s="684" t="s">
        <v>313</v>
      </c>
      <c r="D109" s="685"/>
      <c r="E109" s="685"/>
      <c r="F109" s="685">
        <v>50459</v>
      </c>
      <c r="G109" s="685">
        <v>53991</v>
      </c>
      <c r="H109" s="686">
        <v>88369</v>
      </c>
      <c r="I109" s="687"/>
      <c r="J109" s="907">
        <f t="shared" si="5"/>
        <v>94555</v>
      </c>
      <c r="K109" s="688"/>
      <c r="N109" s="1099"/>
    </row>
    <row r="110" spans="1:14" ht="12.75" customHeight="1">
      <c r="A110" s="682"/>
      <c r="B110" s="683">
        <v>63</v>
      </c>
      <c r="C110" s="684" t="s">
        <v>314</v>
      </c>
      <c r="D110" s="685"/>
      <c r="E110" s="685"/>
      <c r="F110" s="685"/>
      <c r="G110" s="685"/>
      <c r="H110" s="686">
        <v>0</v>
      </c>
      <c r="I110" s="687"/>
      <c r="J110" s="907">
        <f t="shared" si="5"/>
        <v>0</v>
      </c>
      <c r="K110" s="688"/>
      <c r="N110" s="1099"/>
    </row>
    <row r="111" spans="1:14" ht="12.75" customHeight="1">
      <c r="A111" s="682"/>
      <c r="B111" s="683">
        <v>64</v>
      </c>
      <c r="C111" s="684" t="s">
        <v>475</v>
      </c>
      <c r="D111" s="685"/>
      <c r="E111" s="685"/>
      <c r="F111" s="685">
        <v>17545</v>
      </c>
      <c r="G111" s="685">
        <v>19264</v>
      </c>
      <c r="H111" s="686">
        <v>21961</v>
      </c>
      <c r="I111" s="687"/>
      <c r="J111" s="1101">
        <f>ROUND(H111*$K$102,0)+3550</f>
        <v>26609</v>
      </c>
      <c r="K111" s="330"/>
      <c r="N111" s="1099"/>
    </row>
    <row r="112" spans="1:14" ht="12.75" customHeight="1">
      <c r="A112" s="682"/>
      <c r="B112" s="683">
        <v>65</v>
      </c>
      <c r="C112" s="684" t="s">
        <v>315</v>
      </c>
      <c r="D112" s="685"/>
      <c r="E112" s="685"/>
      <c r="F112" s="685">
        <v>6050</v>
      </c>
      <c r="G112" s="685">
        <v>6474</v>
      </c>
      <c r="H112" s="686">
        <v>7380</v>
      </c>
      <c r="I112" s="687"/>
      <c r="J112" s="1101">
        <f>ROUND(H112*$K$102,0)</f>
        <v>7749</v>
      </c>
      <c r="K112" s="688"/>
      <c r="N112" s="1099"/>
    </row>
    <row r="113" spans="1:14" ht="12.75" customHeight="1">
      <c r="A113" s="677"/>
      <c r="B113" s="678">
        <v>66</v>
      </c>
      <c r="C113" s="335" t="s">
        <v>316</v>
      </c>
      <c r="D113" s="679"/>
      <c r="E113" s="679"/>
      <c r="F113" s="689">
        <f>56191+500</f>
        <v>56691</v>
      </c>
      <c r="G113" s="689">
        <f>60124+500</f>
        <v>60624</v>
      </c>
      <c r="H113" s="680">
        <v>74128</v>
      </c>
      <c r="I113" s="681"/>
      <c r="J113" s="907">
        <f t="shared" si="5"/>
        <v>79317</v>
      </c>
      <c r="N113" s="1099"/>
    </row>
    <row r="114" spans="1:14" ht="12.75" customHeight="1">
      <c r="A114" s="690"/>
      <c r="B114" s="691"/>
      <c r="C114" s="913" t="s">
        <v>338</v>
      </c>
      <c r="D114" s="692">
        <f aca="true" t="shared" si="6" ref="D114:I114">SUM(D104:D113)</f>
        <v>0</v>
      </c>
      <c r="E114" s="692">
        <f t="shared" si="6"/>
        <v>0</v>
      </c>
      <c r="F114" s="692">
        <f t="shared" si="6"/>
        <v>130745</v>
      </c>
      <c r="G114" s="692">
        <f t="shared" si="6"/>
        <v>143553</v>
      </c>
      <c r="H114" s="693">
        <f t="shared" si="6"/>
        <v>197048</v>
      </c>
      <c r="I114" s="857">
        <f t="shared" si="6"/>
        <v>0</v>
      </c>
      <c r="J114" s="908">
        <f>SUM(J104:J113)</f>
        <v>213701</v>
      </c>
      <c r="K114" s="694"/>
      <c r="N114" s="1099"/>
    </row>
    <row r="115" spans="1:10" ht="12.75" customHeight="1" thickBot="1">
      <c r="A115" s="695"/>
      <c r="B115" s="602"/>
      <c r="C115" s="696" t="s">
        <v>317</v>
      </c>
      <c r="D115" s="697">
        <f aca="true" t="shared" si="7" ref="D115:J115">D114+D97</f>
        <v>181363.79</v>
      </c>
      <c r="E115" s="697">
        <f t="shared" si="7"/>
        <v>205068</v>
      </c>
      <c r="F115" s="697">
        <f t="shared" si="7"/>
        <v>362764</v>
      </c>
      <c r="G115" s="697">
        <f t="shared" si="7"/>
        <v>432883</v>
      </c>
      <c r="H115" s="698">
        <f t="shared" si="7"/>
        <v>497794</v>
      </c>
      <c r="I115" s="858">
        <f t="shared" si="7"/>
        <v>56069</v>
      </c>
      <c r="J115" s="909">
        <f t="shared" si="7"/>
        <v>543277</v>
      </c>
    </row>
    <row r="116" spans="1:10" s="333" customFormat="1" ht="12.75" customHeight="1">
      <c r="A116" s="666" t="s">
        <v>476</v>
      </c>
      <c r="B116" s="1153"/>
      <c r="C116" s="668" t="s">
        <v>477</v>
      </c>
      <c r="D116" s="668"/>
      <c r="E116" s="668"/>
      <c r="F116" s="668"/>
      <c r="G116" s="668"/>
      <c r="H116" s="668"/>
      <c r="I116" s="668"/>
      <c r="J116" s="1154">
        <f>J115-H115</f>
        <v>45483</v>
      </c>
    </row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</sheetData>
  <printOptions horizontalCentered="1"/>
  <pageMargins left="0.44" right="0.2755905511811024" top="0.31496062992125984" bottom="0.2755905511811024" header="0.1968503937007874" footer="0.1968503937007874"/>
  <pageSetup horizontalDpi="600" verticalDpi="600" orientation="portrait" paperSize="9" scale="71" r:id="rId1"/>
  <headerFooter alignWithMargins="0">
    <oddHeader>&amp;R&amp;8Příloha 1</oddHeader>
  </headerFooter>
  <rowBreaks count="1" manualBreakCount="1">
    <brk id="10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64"/>
  <sheetViews>
    <sheetView workbookViewId="0" topLeftCell="A35">
      <selection activeCell="C43" sqref="C43"/>
    </sheetView>
  </sheetViews>
  <sheetFormatPr defaultColWidth="9.00390625" defaultRowHeight="12.75"/>
  <cols>
    <col min="1" max="1" width="8.25390625" style="0" customWidth="1"/>
    <col min="2" max="2" width="5.625" style="0" customWidth="1"/>
    <col min="3" max="3" width="6.25390625" style="0" customWidth="1"/>
    <col min="4" max="4" width="28.625" style="0" customWidth="1"/>
    <col min="5" max="5" width="3.75390625" style="62" bestFit="1" customWidth="1"/>
    <col min="6" max="6" width="55.25390625" style="61" customWidth="1"/>
    <col min="7" max="7" width="10.00390625" style="2" customWidth="1"/>
    <col min="8" max="8" width="5.125" style="0" hidden="1" customWidth="1"/>
    <col min="9" max="9" width="7.625" style="108" customWidth="1"/>
    <col min="10" max="12" width="8.00390625" style="108" customWidth="1"/>
    <col min="13" max="13" width="8.125" style="108" customWidth="1"/>
    <col min="14" max="14" width="11.75390625" style="108" customWidth="1"/>
  </cols>
  <sheetData>
    <row r="1" spans="1:14" ht="15.75" customHeight="1">
      <c r="A1" s="1274" t="s">
        <v>341</v>
      </c>
      <c r="B1" s="1275"/>
      <c r="C1" s="1275"/>
      <c r="D1" s="1276"/>
      <c r="E1" s="44"/>
      <c r="F1" s="45"/>
      <c r="G1" s="915" t="s">
        <v>78</v>
      </c>
      <c r="H1" s="46" t="s">
        <v>79</v>
      </c>
      <c r="I1" s="916" t="s">
        <v>198</v>
      </c>
      <c r="J1" s="1277" t="s">
        <v>342</v>
      </c>
      <c r="K1" s="1278"/>
      <c r="L1" s="1278"/>
      <c r="M1" s="1279"/>
      <c r="N1" s="917" t="s">
        <v>80</v>
      </c>
    </row>
    <row r="2" spans="1:14" s="2" customFormat="1" ht="13.5" thickBot="1">
      <c r="A2" s="47" t="s">
        <v>261</v>
      </c>
      <c r="B2" s="34"/>
      <c r="C2" s="34"/>
      <c r="D2" s="48"/>
      <c r="E2" s="49" t="s">
        <v>69</v>
      </c>
      <c r="F2" s="50" t="s">
        <v>71</v>
      </c>
      <c r="G2" s="918">
        <v>2007</v>
      </c>
      <c r="H2" s="51" t="s">
        <v>55</v>
      </c>
      <c r="I2" s="919" t="s">
        <v>343</v>
      </c>
      <c r="J2" s="920" t="s">
        <v>344</v>
      </c>
      <c r="K2" s="921" t="s">
        <v>345</v>
      </c>
      <c r="L2" s="921" t="s">
        <v>346</v>
      </c>
      <c r="M2" s="921" t="s">
        <v>347</v>
      </c>
      <c r="N2" s="922">
        <v>2006</v>
      </c>
    </row>
    <row r="3" spans="1:14" ht="13.5" thickBot="1">
      <c r="A3" s="105" t="s">
        <v>348</v>
      </c>
      <c r="B3" s="106"/>
      <c r="C3" s="106"/>
      <c r="D3" s="106"/>
      <c r="E3" s="103">
        <v>1</v>
      </c>
      <c r="F3" s="107"/>
      <c r="G3" s="923"/>
      <c r="H3" s="106"/>
      <c r="I3" s="924"/>
      <c r="J3" s="924"/>
      <c r="K3" s="925"/>
      <c r="L3" s="925"/>
      <c r="M3" s="926"/>
      <c r="N3" s="927"/>
    </row>
    <row r="4" spans="1:14" s="17" customFormat="1" ht="12.75">
      <c r="A4" s="18" t="s">
        <v>81</v>
      </c>
      <c r="B4" s="52" t="s">
        <v>349</v>
      </c>
      <c r="C4" s="52"/>
      <c r="D4" s="52"/>
      <c r="E4" s="53">
        <v>2</v>
      </c>
      <c r="F4" s="54" t="s">
        <v>377</v>
      </c>
      <c r="G4" s="928"/>
      <c r="H4" s="52"/>
      <c r="I4" s="929"/>
      <c r="J4" s="929"/>
      <c r="K4" s="930"/>
      <c r="L4" s="930"/>
      <c r="M4" s="931"/>
      <c r="N4" s="932"/>
    </row>
    <row r="5" spans="1:14" s="17" customFormat="1" ht="12.75">
      <c r="A5" s="18"/>
      <c r="B5" s="24"/>
      <c r="C5" s="24" t="s">
        <v>82</v>
      </c>
      <c r="D5" s="30" t="s">
        <v>83</v>
      </c>
      <c r="E5" s="55">
        <v>3</v>
      </c>
      <c r="F5" s="56"/>
      <c r="G5" s="933"/>
      <c r="H5" s="30"/>
      <c r="I5" s="934"/>
      <c r="J5" s="934"/>
      <c r="K5" s="935"/>
      <c r="L5" s="935"/>
      <c r="M5" s="936"/>
      <c r="N5" s="937"/>
    </row>
    <row r="6" spans="1:14" s="17" customFormat="1" ht="12.75">
      <c r="A6" s="18"/>
      <c r="B6" s="24"/>
      <c r="C6" s="24"/>
      <c r="D6" s="30" t="s">
        <v>84</v>
      </c>
      <c r="E6" s="55">
        <v>4</v>
      </c>
      <c r="F6" s="56"/>
      <c r="G6" s="933"/>
      <c r="H6" s="30"/>
      <c r="I6" s="934"/>
      <c r="J6" s="934"/>
      <c r="K6" s="935"/>
      <c r="L6" s="935"/>
      <c r="M6" s="936"/>
      <c r="N6" s="937"/>
    </row>
    <row r="7" spans="1:14" s="17" customFormat="1" ht="12.75">
      <c r="A7" s="18"/>
      <c r="B7" s="24"/>
      <c r="C7" s="24"/>
      <c r="D7" s="30" t="s">
        <v>350</v>
      </c>
      <c r="E7" s="55">
        <v>5</v>
      </c>
      <c r="F7" s="56"/>
      <c r="G7" s="933"/>
      <c r="H7" s="30"/>
      <c r="I7" s="934"/>
      <c r="J7" s="934"/>
      <c r="K7" s="935"/>
      <c r="L7" s="935"/>
      <c r="M7" s="936"/>
      <c r="N7" s="937"/>
    </row>
    <row r="8" spans="1:14" s="17" customFormat="1" ht="12.75">
      <c r="A8" s="18"/>
      <c r="B8" s="24"/>
      <c r="C8" s="24"/>
      <c r="D8" s="30" t="s">
        <v>85</v>
      </c>
      <c r="E8" s="55">
        <v>6</v>
      </c>
      <c r="F8" s="56"/>
      <c r="G8" s="933"/>
      <c r="H8" s="30"/>
      <c r="I8" s="934"/>
      <c r="J8" s="934"/>
      <c r="K8" s="935"/>
      <c r="L8" s="935"/>
      <c r="M8" s="936"/>
      <c r="N8" s="937"/>
    </row>
    <row r="9" spans="1:14" s="17" customFormat="1" ht="12.75">
      <c r="A9" s="18"/>
      <c r="B9" s="24"/>
      <c r="C9" s="24"/>
      <c r="D9" s="30" t="s">
        <v>86</v>
      </c>
      <c r="E9" s="55">
        <v>7</v>
      </c>
      <c r="F9" s="56"/>
      <c r="G9" s="933"/>
      <c r="H9" s="30"/>
      <c r="I9" s="934"/>
      <c r="J9" s="934"/>
      <c r="K9" s="935"/>
      <c r="L9" s="935"/>
      <c r="M9" s="936"/>
      <c r="N9" s="937"/>
    </row>
    <row r="10" spans="1:14" s="17" customFormat="1" ht="12.75">
      <c r="A10" s="18"/>
      <c r="B10" s="24"/>
      <c r="C10" s="24"/>
      <c r="D10" s="30" t="s">
        <v>87</v>
      </c>
      <c r="E10" s="55">
        <v>8</v>
      </c>
      <c r="F10" s="56"/>
      <c r="G10" s="933"/>
      <c r="H10" s="30"/>
      <c r="I10" s="934"/>
      <c r="J10" s="934"/>
      <c r="K10" s="935"/>
      <c r="L10" s="935"/>
      <c r="M10" s="936"/>
      <c r="N10" s="937"/>
    </row>
    <row r="11" spans="1:14" s="17" customFormat="1" ht="12.75">
      <c r="A11" s="18"/>
      <c r="B11" s="24"/>
      <c r="C11" s="24"/>
      <c r="D11" s="30" t="s">
        <v>88</v>
      </c>
      <c r="E11" s="55">
        <v>9</v>
      </c>
      <c r="F11" s="56"/>
      <c r="G11" s="933"/>
      <c r="H11" s="30"/>
      <c r="I11" s="934"/>
      <c r="J11" s="934"/>
      <c r="K11" s="935"/>
      <c r="L11" s="935"/>
      <c r="M11" s="936"/>
      <c r="N11" s="937"/>
    </row>
    <row r="12" spans="1:14" s="17" customFormat="1" ht="12.75">
      <c r="A12" s="18"/>
      <c r="B12" s="24"/>
      <c r="C12" s="24"/>
      <c r="D12" s="30" t="s">
        <v>89</v>
      </c>
      <c r="E12" s="55">
        <v>10</v>
      </c>
      <c r="F12" s="56"/>
      <c r="G12" s="933"/>
      <c r="H12" s="30"/>
      <c r="I12" s="934"/>
      <c r="J12" s="934"/>
      <c r="K12" s="935"/>
      <c r="L12" s="935"/>
      <c r="M12" s="936"/>
      <c r="N12" s="937"/>
    </row>
    <row r="13" spans="1:14" s="17" customFormat="1" ht="12.75">
      <c r="A13" s="18"/>
      <c r="B13" s="24"/>
      <c r="C13" s="24"/>
      <c r="D13" s="30" t="s">
        <v>52</v>
      </c>
      <c r="E13" s="55">
        <v>11</v>
      </c>
      <c r="F13" s="56"/>
      <c r="G13" s="933"/>
      <c r="H13" s="30"/>
      <c r="I13" s="934"/>
      <c r="J13" s="934"/>
      <c r="K13" s="935"/>
      <c r="L13" s="935"/>
      <c r="M13" s="936"/>
      <c r="N13" s="937"/>
    </row>
    <row r="14" spans="1:14" s="17" customFormat="1" ht="12.75">
      <c r="A14" s="18"/>
      <c r="B14" s="24"/>
      <c r="C14" s="24"/>
      <c r="D14" s="30" t="s">
        <v>90</v>
      </c>
      <c r="E14" s="55">
        <v>12</v>
      </c>
      <c r="F14" s="56"/>
      <c r="G14" s="933"/>
      <c r="H14" s="30"/>
      <c r="I14" s="934"/>
      <c r="J14" s="934"/>
      <c r="K14" s="935"/>
      <c r="L14" s="935"/>
      <c r="M14" s="936"/>
      <c r="N14" s="937"/>
    </row>
    <row r="15" spans="1:14" s="17" customFormat="1" ht="12.75">
      <c r="A15" s="18"/>
      <c r="B15" s="24"/>
      <c r="C15" s="30"/>
      <c r="D15" s="30" t="s">
        <v>27</v>
      </c>
      <c r="E15" s="55">
        <v>13</v>
      </c>
      <c r="F15" s="56"/>
      <c r="G15" s="933"/>
      <c r="H15" s="30"/>
      <c r="I15" s="934"/>
      <c r="J15" s="934"/>
      <c r="K15" s="935"/>
      <c r="L15" s="935"/>
      <c r="M15" s="936"/>
      <c r="N15" s="937"/>
    </row>
    <row r="16" spans="1:14" s="17" customFormat="1" ht="12.75">
      <c r="A16" s="18"/>
      <c r="B16" s="57" t="s">
        <v>91</v>
      </c>
      <c r="C16" s="30"/>
      <c r="D16" s="30"/>
      <c r="E16" s="55">
        <v>14</v>
      </c>
      <c r="F16" s="56" t="s">
        <v>92</v>
      </c>
      <c r="G16" s="933"/>
      <c r="H16" s="30"/>
      <c r="I16" s="934"/>
      <c r="J16" s="934"/>
      <c r="K16" s="935"/>
      <c r="L16" s="935"/>
      <c r="M16" s="936"/>
      <c r="N16" s="937"/>
    </row>
    <row r="17" spans="1:14" s="17" customFormat="1" ht="12.75">
      <c r="A17" s="18"/>
      <c r="B17" s="57" t="s">
        <v>93</v>
      </c>
      <c r="C17" s="30"/>
      <c r="D17" s="30"/>
      <c r="E17" s="55">
        <v>15</v>
      </c>
      <c r="F17" s="56" t="s">
        <v>94</v>
      </c>
      <c r="G17" s="933"/>
      <c r="H17" s="30"/>
      <c r="I17" s="934"/>
      <c r="J17" s="934"/>
      <c r="K17" s="935"/>
      <c r="L17" s="935"/>
      <c r="M17" s="936"/>
      <c r="N17" s="937"/>
    </row>
    <row r="18" spans="1:14" s="17" customFormat="1" ht="12.75">
      <c r="A18" s="18"/>
      <c r="B18" s="938" t="s">
        <v>95</v>
      </c>
      <c r="C18" s="939"/>
      <c r="D18" s="939"/>
      <c r="E18" s="187">
        <v>16</v>
      </c>
      <c r="F18" s="940" t="s">
        <v>351</v>
      </c>
      <c r="G18" s="933"/>
      <c r="H18" s="30"/>
      <c r="I18" s="934"/>
      <c r="J18" s="934"/>
      <c r="K18" s="935"/>
      <c r="L18" s="935"/>
      <c r="M18" s="936"/>
      <c r="N18" s="937"/>
    </row>
    <row r="19" spans="1:14" s="17" customFormat="1" ht="12.75">
      <c r="A19" s="18"/>
      <c r="B19" s="938" t="s">
        <v>96</v>
      </c>
      <c r="C19" s="939"/>
      <c r="D19" s="939"/>
      <c r="E19" s="187">
        <v>17</v>
      </c>
      <c r="F19" s="941" t="s">
        <v>97</v>
      </c>
      <c r="G19" s="933"/>
      <c r="H19" s="30"/>
      <c r="I19" s="934"/>
      <c r="J19" s="934"/>
      <c r="K19" s="935"/>
      <c r="L19" s="935"/>
      <c r="M19" s="936"/>
      <c r="N19" s="937"/>
    </row>
    <row r="20" spans="1:14" s="17" customFormat="1" ht="12.75">
      <c r="A20" s="18"/>
      <c r="B20" s="938" t="s">
        <v>98</v>
      </c>
      <c r="C20" s="938"/>
      <c r="D20" s="938"/>
      <c r="E20" s="187">
        <v>18</v>
      </c>
      <c r="F20" s="941" t="s">
        <v>352</v>
      </c>
      <c r="G20" s="933"/>
      <c r="H20" s="30"/>
      <c r="I20" s="934"/>
      <c r="J20" s="934"/>
      <c r="K20" s="935"/>
      <c r="L20" s="935"/>
      <c r="M20" s="936"/>
      <c r="N20" s="937"/>
    </row>
    <row r="21" spans="1:14" s="17" customFormat="1" ht="12.75">
      <c r="A21" s="18"/>
      <c r="B21" s="938" t="s">
        <v>353</v>
      </c>
      <c r="C21" s="938"/>
      <c r="D21" s="938"/>
      <c r="E21" s="187">
        <v>19</v>
      </c>
      <c r="F21" s="941" t="s">
        <v>354</v>
      </c>
      <c r="G21" s="933"/>
      <c r="H21" s="30"/>
      <c r="I21" s="934"/>
      <c r="J21" s="934"/>
      <c r="K21" s="935"/>
      <c r="L21" s="935"/>
      <c r="M21" s="936"/>
      <c r="N21" s="937"/>
    </row>
    <row r="22" spans="1:14" s="17" customFormat="1" ht="12.75">
      <c r="A22" s="18"/>
      <c r="B22" s="938" t="s">
        <v>482</v>
      </c>
      <c r="C22" s="938"/>
      <c r="D22" s="938"/>
      <c r="E22" s="187">
        <v>20</v>
      </c>
      <c r="F22" s="941" t="s">
        <v>99</v>
      </c>
      <c r="G22" s="933"/>
      <c r="H22" s="30"/>
      <c r="I22" s="936"/>
      <c r="J22" s="935"/>
      <c r="K22" s="935"/>
      <c r="L22" s="935"/>
      <c r="M22" s="936"/>
      <c r="N22" s="937"/>
    </row>
    <row r="23" spans="1:14" s="17" customFormat="1" ht="12.75">
      <c r="A23" s="18"/>
      <c r="B23" s="938" t="s">
        <v>100</v>
      </c>
      <c r="C23" s="938"/>
      <c r="D23" s="938"/>
      <c r="E23" s="187">
        <v>21</v>
      </c>
      <c r="F23" s="941" t="s">
        <v>356</v>
      </c>
      <c r="G23" s="933"/>
      <c r="H23" s="30"/>
      <c r="I23" s="936"/>
      <c r="J23" s="935"/>
      <c r="K23" s="935"/>
      <c r="L23" s="935"/>
      <c r="M23" s="936"/>
      <c r="N23" s="937"/>
    </row>
    <row r="24" spans="1:14" s="17" customFormat="1" ht="12.75">
      <c r="A24" s="18"/>
      <c r="B24" s="938" t="s">
        <v>101</v>
      </c>
      <c r="C24" s="938"/>
      <c r="D24" s="938"/>
      <c r="E24" s="187">
        <v>22</v>
      </c>
      <c r="F24" s="941" t="s">
        <v>378</v>
      </c>
      <c r="G24" s="933"/>
      <c r="H24" s="30"/>
      <c r="I24" s="936"/>
      <c r="J24" s="935"/>
      <c r="K24" s="935"/>
      <c r="L24" s="935"/>
      <c r="M24" s="936"/>
      <c r="N24" s="937"/>
    </row>
    <row r="25" spans="1:14" s="17" customFormat="1" ht="12.75">
      <c r="A25" s="18"/>
      <c r="B25" s="938" t="s">
        <v>357</v>
      </c>
      <c r="C25" s="938"/>
      <c r="D25" s="938"/>
      <c r="E25" s="187">
        <v>23</v>
      </c>
      <c r="F25" s="941" t="s">
        <v>358</v>
      </c>
      <c r="G25" s="933"/>
      <c r="H25" s="30"/>
      <c r="I25" s="936"/>
      <c r="J25" s="935"/>
      <c r="K25" s="935"/>
      <c r="L25" s="935"/>
      <c r="M25" s="936"/>
      <c r="N25" s="937"/>
    </row>
    <row r="26" spans="1:14" s="17" customFormat="1" ht="12.75">
      <c r="A26" s="18"/>
      <c r="B26" s="938" t="s">
        <v>483</v>
      </c>
      <c r="C26" s="938"/>
      <c r="D26" s="938"/>
      <c r="E26" s="187">
        <v>24</v>
      </c>
      <c r="F26" s="941" t="s">
        <v>359</v>
      </c>
      <c r="G26" s="933"/>
      <c r="H26" s="30"/>
      <c r="I26" s="936"/>
      <c r="J26" s="935"/>
      <c r="K26" s="935"/>
      <c r="L26" s="935"/>
      <c r="M26" s="936"/>
      <c r="N26" s="937"/>
    </row>
    <row r="27" spans="1:14" s="17" customFormat="1" ht="13.5" thickBot="1">
      <c r="A27" s="18"/>
      <c r="B27" s="57" t="s">
        <v>102</v>
      </c>
      <c r="C27" s="57"/>
      <c r="D27" s="57"/>
      <c r="E27" s="55">
        <v>25</v>
      </c>
      <c r="F27" s="58" t="s">
        <v>103</v>
      </c>
      <c r="G27" s="933"/>
      <c r="H27" s="30"/>
      <c r="I27" s="936"/>
      <c r="J27" s="935"/>
      <c r="K27" s="935"/>
      <c r="L27" s="935"/>
      <c r="M27" s="936"/>
      <c r="N27" s="937"/>
    </row>
    <row r="28" spans="1:14" ht="13.5" thickBot="1">
      <c r="A28" s="101" t="s">
        <v>360</v>
      </c>
      <c r="B28" s="102"/>
      <c r="C28" s="102"/>
      <c r="D28" s="102"/>
      <c r="E28" s="103">
        <v>26</v>
      </c>
      <c r="F28" s="104"/>
      <c r="G28" s="942"/>
      <c r="H28" s="102"/>
      <c r="I28" s="943"/>
      <c r="J28" s="944"/>
      <c r="K28" s="944"/>
      <c r="L28" s="944"/>
      <c r="M28" s="943"/>
      <c r="N28" s="945"/>
    </row>
    <row r="29" spans="1:14" s="17" customFormat="1" ht="12.75">
      <c r="A29" s="18" t="s">
        <v>81</v>
      </c>
      <c r="B29" s="30" t="s">
        <v>361</v>
      </c>
      <c r="C29" s="30"/>
      <c r="D29" s="30"/>
      <c r="E29" s="55">
        <v>27</v>
      </c>
      <c r="F29" s="56" t="s">
        <v>104</v>
      </c>
      <c r="G29" s="928"/>
      <c r="H29" s="52"/>
      <c r="I29" s="931"/>
      <c r="J29" s="930"/>
      <c r="K29" s="930"/>
      <c r="L29" s="930"/>
      <c r="M29" s="931"/>
      <c r="N29" s="932"/>
    </row>
    <row r="30" spans="1:14" s="17" customFormat="1" ht="12.75">
      <c r="A30" s="18"/>
      <c r="B30" s="57" t="s">
        <v>91</v>
      </c>
      <c r="C30" s="57"/>
      <c r="D30" s="57"/>
      <c r="E30" s="55">
        <v>28</v>
      </c>
      <c r="F30" s="58" t="s">
        <v>92</v>
      </c>
      <c r="G30" s="946"/>
      <c r="H30" s="57"/>
      <c r="I30" s="947"/>
      <c r="J30" s="948"/>
      <c r="K30" s="948"/>
      <c r="L30" s="948"/>
      <c r="M30" s="947"/>
      <c r="N30" s="949"/>
    </row>
    <row r="31" spans="1:14" s="17" customFormat="1" ht="12.75">
      <c r="A31" s="18"/>
      <c r="B31" s="57" t="s">
        <v>93</v>
      </c>
      <c r="C31" s="57"/>
      <c r="D31" s="57"/>
      <c r="E31" s="55">
        <v>29</v>
      </c>
      <c r="F31" s="58" t="s">
        <v>94</v>
      </c>
      <c r="G31" s="946"/>
      <c r="H31" s="57"/>
      <c r="I31" s="947"/>
      <c r="J31" s="948"/>
      <c r="K31" s="948"/>
      <c r="L31" s="948"/>
      <c r="M31" s="947"/>
      <c r="N31" s="949"/>
    </row>
    <row r="32" spans="1:14" s="17" customFormat="1" ht="12.75">
      <c r="A32" s="18"/>
      <c r="B32" s="938" t="s">
        <v>95</v>
      </c>
      <c r="C32" s="939"/>
      <c r="D32" s="939"/>
      <c r="E32" s="187">
        <v>30</v>
      </c>
      <c r="F32" s="940" t="s">
        <v>351</v>
      </c>
      <c r="G32" s="946"/>
      <c r="H32" s="57"/>
      <c r="I32" s="947"/>
      <c r="J32" s="948"/>
      <c r="K32" s="948"/>
      <c r="L32" s="948"/>
      <c r="M32" s="947"/>
      <c r="N32" s="949"/>
    </row>
    <row r="33" spans="1:14" s="17" customFormat="1" ht="12.75">
      <c r="A33" s="18"/>
      <c r="B33" s="938" t="s">
        <v>96</v>
      </c>
      <c r="C33" s="938"/>
      <c r="D33" s="938"/>
      <c r="E33" s="187">
        <v>31</v>
      </c>
      <c r="F33" s="941" t="s">
        <v>97</v>
      </c>
      <c r="G33" s="946"/>
      <c r="H33" s="57"/>
      <c r="I33" s="947"/>
      <c r="J33" s="948"/>
      <c r="K33" s="948"/>
      <c r="L33" s="948"/>
      <c r="M33" s="947"/>
      <c r="N33" s="949"/>
    </row>
    <row r="34" spans="1:14" s="17" customFormat="1" ht="12.75">
      <c r="A34" s="18"/>
      <c r="B34" s="938" t="s">
        <v>362</v>
      </c>
      <c r="C34" s="938"/>
      <c r="D34" s="938"/>
      <c r="E34" s="187">
        <v>32</v>
      </c>
      <c r="F34" s="941" t="s">
        <v>363</v>
      </c>
      <c r="G34" s="946"/>
      <c r="H34" s="57"/>
      <c r="I34" s="947"/>
      <c r="J34" s="948"/>
      <c r="K34" s="948"/>
      <c r="L34" s="948"/>
      <c r="M34" s="947"/>
      <c r="N34" s="949"/>
    </row>
    <row r="35" spans="1:14" s="17" customFormat="1" ht="12.75">
      <c r="A35" s="18"/>
      <c r="B35" s="938" t="s">
        <v>98</v>
      </c>
      <c r="C35" s="938"/>
      <c r="D35" s="938"/>
      <c r="E35" s="187">
        <v>33</v>
      </c>
      <c r="F35" s="941" t="s">
        <v>352</v>
      </c>
      <c r="G35" s="946"/>
      <c r="H35" s="57"/>
      <c r="I35" s="947"/>
      <c r="J35" s="948"/>
      <c r="K35" s="948"/>
      <c r="L35" s="948"/>
      <c r="M35" s="947"/>
      <c r="N35" s="949"/>
    </row>
    <row r="36" spans="1:14" s="17" customFormat="1" ht="12.75">
      <c r="A36" s="18"/>
      <c r="B36" s="938" t="s">
        <v>353</v>
      </c>
      <c r="C36" s="938"/>
      <c r="D36" s="938"/>
      <c r="E36" s="187">
        <v>34</v>
      </c>
      <c r="F36" s="941" t="s">
        <v>354</v>
      </c>
      <c r="G36" s="946"/>
      <c r="H36" s="57"/>
      <c r="I36" s="947"/>
      <c r="J36" s="948"/>
      <c r="K36" s="948"/>
      <c r="L36" s="948"/>
      <c r="M36" s="947"/>
      <c r="N36" s="949"/>
    </row>
    <row r="37" spans="1:14" s="17" customFormat="1" ht="12.75">
      <c r="A37" s="18"/>
      <c r="B37" s="938" t="s">
        <v>364</v>
      </c>
      <c r="C37" s="938"/>
      <c r="D37" s="938"/>
      <c r="E37" s="187">
        <v>35</v>
      </c>
      <c r="F37" s="941" t="s">
        <v>99</v>
      </c>
      <c r="G37" s="946"/>
      <c r="H37" s="57"/>
      <c r="I37" s="947"/>
      <c r="J37" s="948"/>
      <c r="K37" s="948"/>
      <c r="L37" s="948"/>
      <c r="M37" s="947"/>
      <c r="N37" s="949"/>
    </row>
    <row r="38" spans="1:14" s="17" customFormat="1" ht="12.75">
      <c r="A38" s="18"/>
      <c r="B38" s="938" t="s">
        <v>365</v>
      </c>
      <c r="C38" s="938"/>
      <c r="D38" s="938"/>
      <c r="E38" s="187">
        <v>36</v>
      </c>
      <c r="F38" s="941" t="s">
        <v>105</v>
      </c>
      <c r="G38" s="946"/>
      <c r="H38" s="57"/>
      <c r="I38" s="947"/>
      <c r="J38" s="948"/>
      <c r="K38" s="948"/>
      <c r="L38" s="948"/>
      <c r="M38" s="947"/>
      <c r="N38" s="949"/>
    </row>
    <row r="39" spans="1:14" s="17" customFormat="1" ht="12.75">
      <c r="A39" s="18"/>
      <c r="B39" s="938" t="s">
        <v>366</v>
      </c>
      <c r="C39" s="938"/>
      <c r="D39" s="938"/>
      <c r="E39" s="187">
        <v>37</v>
      </c>
      <c r="F39" s="941" t="s">
        <v>356</v>
      </c>
      <c r="G39" s="946"/>
      <c r="H39" s="57"/>
      <c r="I39" s="947"/>
      <c r="J39" s="948"/>
      <c r="K39" s="948"/>
      <c r="L39" s="948"/>
      <c r="M39" s="947"/>
      <c r="N39" s="949"/>
    </row>
    <row r="40" spans="1:14" s="17" customFormat="1" ht="12.75">
      <c r="A40" s="18"/>
      <c r="B40" s="938" t="s">
        <v>367</v>
      </c>
      <c r="C40" s="938"/>
      <c r="D40" s="938"/>
      <c r="E40" s="187">
        <v>38</v>
      </c>
      <c r="F40" s="941" t="s">
        <v>378</v>
      </c>
      <c r="G40" s="946"/>
      <c r="H40" s="57"/>
      <c r="I40" s="947"/>
      <c r="J40" s="948"/>
      <c r="K40" s="948"/>
      <c r="L40" s="948"/>
      <c r="M40" s="947"/>
      <c r="N40" s="949"/>
    </row>
    <row r="41" spans="1:14" s="17" customFormat="1" ht="12.75">
      <c r="A41" s="18"/>
      <c r="B41" s="938" t="s">
        <v>357</v>
      </c>
      <c r="C41" s="938"/>
      <c r="D41" s="938"/>
      <c r="E41" s="187">
        <v>39</v>
      </c>
      <c r="F41" s="941" t="s">
        <v>358</v>
      </c>
      <c r="G41" s="946"/>
      <c r="H41" s="57"/>
      <c r="I41" s="947"/>
      <c r="J41" s="948"/>
      <c r="K41" s="948"/>
      <c r="L41" s="948"/>
      <c r="M41" s="947"/>
      <c r="N41" s="949"/>
    </row>
    <row r="42" spans="1:14" s="17" customFormat="1" ht="12.75">
      <c r="A42" s="18"/>
      <c r="B42" s="938" t="s">
        <v>355</v>
      </c>
      <c r="C42" s="938"/>
      <c r="D42" s="938"/>
      <c r="E42" s="187">
        <v>40</v>
      </c>
      <c r="F42" s="941" t="s">
        <v>359</v>
      </c>
      <c r="G42" s="946"/>
      <c r="H42" s="57"/>
      <c r="I42" s="947"/>
      <c r="J42" s="948"/>
      <c r="K42" s="948"/>
      <c r="L42" s="948"/>
      <c r="M42" s="947"/>
      <c r="N42" s="949"/>
    </row>
    <row r="43" spans="1:14" s="17" customFormat="1" ht="12.75">
      <c r="A43" s="18"/>
      <c r="B43" s="938" t="s">
        <v>368</v>
      </c>
      <c r="C43" s="938"/>
      <c r="D43" s="938"/>
      <c r="E43" s="187">
        <v>41</v>
      </c>
      <c r="F43" s="941" t="s">
        <v>180</v>
      </c>
      <c r="G43" s="946"/>
      <c r="H43" s="57"/>
      <c r="I43" s="947"/>
      <c r="J43" s="948"/>
      <c r="K43" s="948"/>
      <c r="L43" s="948"/>
      <c r="M43" s="947"/>
      <c r="N43" s="949"/>
    </row>
    <row r="44" spans="1:14" s="17" customFormat="1" ht="12.75">
      <c r="A44" s="18"/>
      <c r="B44" s="938" t="s">
        <v>106</v>
      </c>
      <c r="C44" s="938"/>
      <c r="D44" s="938"/>
      <c r="E44" s="187">
        <v>42</v>
      </c>
      <c r="F44" s="941" t="s">
        <v>107</v>
      </c>
      <c r="G44" s="946"/>
      <c r="H44" s="57"/>
      <c r="I44" s="947"/>
      <c r="J44" s="948"/>
      <c r="K44" s="948"/>
      <c r="L44" s="948"/>
      <c r="M44" s="947"/>
      <c r="N44" s="949"/>
    </row>
    <row r="45" spans="1:14" s="17" customFormat="1" ht="12.75">
      <c r="A45" s="99"/>
      <c r="B45" s="316" t="s">
        <v>102</v>
      </c>
      <c r="C45" s="316"/>
      <c r="D45" s="316"/>
      <c r="E45" s="950">
        <v>43</v>
      </c>
      <c r="F45" s="317" t="s">
        <v>103</v>
      </c>
      <c r="G45" s="951"/>
      <c r="H45" s="316"/>
      <c r="I45" s="952"/>
      <c r="J45" s="953"/>
      <c r="K45" s="953"/>
      <c r="L45" s="953"/>
      <c r="M45" s="952"/>
      <c r="N45" s="954"/>
    </row>
    <row r="46" spans="1:14" s="17" customFormat="1" ht="13.5" thickBot="1">
      <c r="A46" s="314" t="s">
        <v>369</v>
      </c>
      <c r="B46" s="59"/>
      <c r="C46" s="59"/>
      <c r="D46" s="59"/>
      <c r="E46" s="55">
        <v>44</v>
      </c>
      <c r="F46" s="315"/>
      <c r="G46" s="955"/>
      <c r="H46" s="59"/>
      <c r="I46" s="956"/>
      <c r="J46" s="957"/>
      <c r="K46" s="957"/>
      <c r="L46" s="957"/>
      <c r="M46" s="956"/>
      <c r="N46" s="958"/>
    </row>
    <row r="47" spans="1:14" ht="13.5" thickBot="1">
      <c r="A47" s="101" t="s">
        <v>370</v>
      </c>
      <c r="B47" s="102"/>
      <c r="C47" s="102"/>
      <c r="D47" s="102"/>
      <c r="E47" s="103">
        <v>45</v>
      </c>
      <c r="F47" s="104"/>
      <c r="G47" s="942"/>
      <c r="H47" s="102"/>
      <c r="I47" s="943"/>
      <c r="J47" s="944"/>
      <c r="K47" s="944"/>
      <c r="L47" s="944"/>
      <c r="M47" s="943"/>
      <c r="N47" s="945"/>
    </row>
    <row r="48" spans="1:6" ht="12.75">
      <c r="A48" s="15" t="s">
        <v>181</v>
      </c>
      <c r="B48" s="15"/>
      <c r="C48" s="15"/>
      <c r="D48" s="15"/>
      <c r="E48" s="60"/>
      <c r="F48" s="61" t="s">
        <v>182</v>
      </c>
    </row>
    <row r="49" spans="5:14" s="15" customFormat="1" ht="12.75">
      <c r="E49" s="60"/>
      <c r="F49" s="61"/>
      <c r="G49" s="2"/>
      <c r="I49" s="108"/>
      <c r="J49" s="108"/>
      <c r="K49" s="108"/>
      <c r="L49" s="108"/>
      <c r="M49" s="108"/>
      <c r="N49" s="108"/>
    </row>
    <row r="50" spans="5:14" s="15" customFormat="1" ht="12.75">
      <c r="E50" s="60"/>
      <c r="F50" s="61"/>
      <c r="G50" s="2"/>
      <c r="I50" s="108"/>
      <c r="J50" s="108"/>
      <c r="K50" s="108"/>
      <c r="L50" s="108"/>
      <c r="M50" s="108"/>
      <c r="N50" s="108"/>
    </row>
    <row r="51" spans="5:14" s="15" customFormat="1" ht="12.75">
      <c r="E51" s="60"/>
      <c r="F51" s="61"/>
      <c r="G51" s="2"/>
      <c r="I51" s="108"/>
      <c r="J51" s="108"/>
      <c r="K51" s="108"/>
      <c r="L51" s="108"/>
      <c r="M51" s="108"/>
      <c r="N51" s="108"/>
    </row>
    <row r="52" spans="5:14" s="15" customFormat="1" ht="12.75">
      <c r="E52" s="60"/>
      <c r="F52" s="61"/>
      <c r="G52" s="2"/>
      <c r="I52" s="108"/>
      <c r="J52" s="108"/>
      <c r="K52" s="108"/>
      <c r="L52" s="108"/>
      <c r="M52" s="108"/>
      <c r="N52" s="108"/>
    </row>
    <row r="53" spans="5:14" s="15" customFormat="1" ht="12.75">
      <c r="E53" s="60"/>
      <c r="F53" s="61"/>
      <c r="G53" s="2"/>
      <c r="I53" s="108"/>
      <c r="J53" s="108"/>
      <c r="K53" s="108"/>
      <c r="L53" s="108"/>
      <c r="M53" s="108"/>
      <c r="N53" s="108"/>
    </row>
    <row r="54" spans="5:14" s="15" customFormat="1" ht="12.75">
      <c r="E54" s="60"/>
      <c r="F54" s="61"/>
      <c r="G54" s="2"/>
      <c r="I54" s="108"/>
      <c r="J54" s="108"/>
      <c r="K54" s="108"/>
      <c r="L54" s="108"/>
      <c r="M54" s="108"/>
      <c r="N54" s="108"/>
    </row>
    <row r="55" spans="1:14" s="15" customFormat="1" ht="12.75">
      <c r="A55" s="959" t="s">
        <v>371</v>
      </c>
      <c r="E55" s="60"/>
      <c r="F55" s="61"/>
      <c r="G55" s="2"/>
      <c r="I55" s="108"/>
      <c r="J55" s="108"/>
      <c r="K55" s="108"/>
      <c r="L55" s="108"/>
      <c r="M55" s="108"/>
      <c r="N55" s="108"/>
    </row>
    <row r="56" spans="1:14" s="15" customFormat="1" ht="12.75">
      <c r="A56" s="959" t="s">
        <v>372</v>
      </c>
      <c r="E56" s="60"/>
      <c r="F56" s="61"/>
      <c r="G56" s="2"/>
      <c r="I56" s="108"/>
      <c r="J56" s="108"/>
      <c r="K56" s="108"/>
      <c r="L56" s="108"/>
      <c r="M56" s="108"/>
      <c r="N56" s="108"/>
    </row>
    <row r="57" spans="1:14" s="15" customFormat="1" ht="12.75">
      <c r="A57" s="959" t="s">
        <v>373</v>
      </c>
      <c r="E57" s="60"/>
      <c r="F57" s="61"/>
      <c r="G57" s="960"/>
      <c r="I57" s="108"/>
      <c r="J57" s="108"/>
      <c r="K57" s="108"/>
      <c r="L57" s="108"/>
      <c r="M57" s="108"/>
      <c r="N57" s="108"/>
    </row>
    <row r="58" spans="1:14" s="959" customFormat="1" ht="12.75">
      <c r="A58" s="959" t="s">
        <v>374</v>
      </c>
      <c r="E58" s="961"/>
      <c r="F58" s="962"/>
      <c r="G58" s="963"/>
      <c r="I58" s="964"/>
      <c r="J58" s="964"/>
      <c r="K58" s="964"/>
      <c r="L58" s="964"/>
      <c r="M58" s="964"/>
      <c r="N58" s="964"/>
    </row>
    <row r="59" spans="1:14" s="959" customFormat="1" ht="12.75">
      <c r="A59" s="959" t="s">
        <v>375</v>
      </c>
      <c r="E59" s="961"/>
      <c r="F59" s="962"/>
      <c r="G59" s="963"/>
      <c r="I59" s="964"/>
      <c r="J59" s="964"/>
      <c r="K59" s="964"/>
      <c r="L59" s="964"/>
      <c r="M59" s="964"/>
      <c r="N59" s="964"/>
    </row>
    <row r="60" spans="1:14" s="959" customFormat="1" ht="12.75">
      <c r="A60" s="959" t="s">
        <v>376</v>
      </c>
      <c r="E60" s="961"/>
      <c r="F60" s="962"/>
      <c r="G60" s="963"/>
      <c r="I60" s="964"/>
      <c r="J60" s="964"/>
      <c r="K60" s="964"/>
      <c r="L60" s="964"/>
      <c r="M60" s="964"/>
      <c r="N60" s="964"/>
    </row>
    <row r="61" spans="1:14" s="15" customFormat="1" ht="12.75">
      <c r="A61" s="959"/>
      <c r="B61" s="959"/>
      <c r="C61" s="959"/>
      <c r="D61" s="959"/>
      <c r="E61" s="60"/>
      <c r="F61" s="61"/>
      <c r="G61" s="2"/>
      <c r="I61" s="108"/>
      <c r="J61" s="108"/>
      <c r="K61" s="108"/>
      <c r="L61" s="108"/>
      <c r="M61" s="108"/>
      <c r="N61" s="108"/>
    </row>
    <row r="62" spans="1:14" s="116" customFormat="1" ht="12.75">
      <c r="A62" s="959"/>
      <c r="B62" s="959"/>
      <c r="C62" s="959"/>
      <c r="D62" s="959"/>
      <c r="E62" s="124"/>
      <c r="F62" s="965"/>
      <c r="G62" s="2"/>
      <c r="I62" s="108"/>
      <c r="J62" s="108"/>
      <c r="K62" s="108"/>
      <c r="L62" s="108"/>
      <c r="M62" s="108"/>
      <c r="N62" s="108"/>
    </row>
    <row r="63" spans="1:14" s="116" customFormat="1" ht="12.75">
      <c r="A63" s="959"/>
      <c r="B63" s="959"/>
      <c r="C63" s="959"/>
      <c r="D63" s="959"/>
      <c r="E63" s="124"/>
      <c r="F63" s="965"/>
      <c r="G63" s="2"/>
      <c r="I63" s="108"/>
      <c r="J63" s="108"/>
      <c r="K63" s="108"/>
      <c r="L63" s="108"/>
      <c r="M63" s="108"/>
      <c r="N63" s="108"/>
    </row>
    <row r="64" spans="1:14" s="116" customFormat="1" ht="12.75">
      <c r="A64" s="959"/>
      <c r="B64" s="959"/>
      <c r="C64" s="959"/>
      <c r="D64" s="959"/>
      <c r="E64" s="124"/>
      <c r="F64" s="965"/>
      <c r="G64" s="2"/>
      <c r="I64" s="108"/>
      <c r="J64" s="108"/>
      <c r="K64" s="108"/>
      <c r="L64" s="108"/>
      <c r="M64" s="108"/>
      <c r="N64" s="108"/>
    </row>
  </sheetData>
  <mergeCells count="2">
    <mergeCell ref="A1:D1"/>
    <mergeCell ref="J1:M1"/>
  </mergeCells>
  <printOptions/>
  <pageMargins left="0.31496062992125984" right="0.27" top="0.35433070866141736" bottom="0.35433070866141736" header="0.1968503937007874" footer="0.2755905511811024"/>
  <pageSetup horizontalDpi="600" verticalDpi="600" orientation="landscape" paperSize="9" scale="85" r:id="rId1"/>
  <headerFooter alignWithMargins="0">
    <oddHeader>&amp;R&amp;9Příloha 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39"/>
  <sheetViews>
    <sheetView workbookViewId="0" topLeftCell="A1">
      <selection activeCell="B38" sqref="B38"/>
    </sheetView>
  </sheetViews>
  <sheetFormatPr defaultColWidth="9.00390625" defaultRowHeight="12.75"/>
  <cols>
    <col min="1" max="1" width="3.375" style="1109" customWidth="1"/>
    <col min="2" max="2" width="8.625" style="1109" customWidth="1"/>
    <col min="3" max="3" width="33.75390625" style="1109" customWidth="1"/>
    <col min="4" max="4" width="11.00390625" style="1109" customWidth="1"/>
    <col min="5" max="5" width="13.875" style="1109" hidden="1" customWidth="1"/>
    <col min="6" max="6" width="13.25390625" style="1109" customWidth="1"/>
    <col min="7" max="7" width="9.875" style="1109" hidden="1" customWidth="1"/>
    <col min="8" max="8" width="10.875" style="1109" hidden="1" customWidth="1"/>
    <col min="9" max="9" width="30.25390625" style="1109" customWidth="1"/>
    <col min="10" max="16384" width="9.125" style="1109" customWidth="1"/>
  </cols>
  <sheetData>
    <row r="1" spans="2:3" ht="12.75">
      <c r="B1" s="1110" t="s">
        <v>481</v>
      </c>
      <c r="C1" s="1110"/>
    </row>
    <row r="2" spans="2:3" ht="12.75">
      <c r="B2" s="1110"/>
      <c r="C2" s="1110"/>
    </row>
    <row r="3" spans="2:3" ht="13.5" thickBot="1">
      <c r="B3" s="1110"/>
      <c r="C3" s="1110"/>
    </row>
    <row r="4" spans="1:9" ht="13.5" thickBot="1">
      <c r="A4" s="1216" t="s">
        <v>407</v>
      </c>
      <c r="B4" s="1176" t="s">
        <v>408</v>
      </c>
      <c r="C4" s="1225" t="s">
        <v>409</v>
      </c>
      <c r="D4" s="1176" t="s">
        <v>410</v>
      </c>
      <c r="E4" s="1186" t="s">
        <v>213</v>
      </c>
      <c r="F4" s="1206" t="s">
        <v>55</v>
      </c>
      <c r="G4" s="1174" t="s">
        <v>411</v>
      </c>
      <c r="H4" s="1172" t="s">
        <v>412</v>
      </c>
      <c r="I4" s="1173" t="s">
        <v>214</v>
      </c>
    </row>
    <row r="5" spans="1:11" ht="12.75">
      <c r="A5" s="1217">
        <v>1</v>
      </c>
      <c r="B5" s="1177" t="s">
        <v>14</v>
      </c>
      <c r="C5" s="1226" t="s">
        <v>413</v>
      </c>
      <c r="D5" s="1177" t="s">
        <v>414</v>
      </c>
      <c r="E5" s="1187">
        <v>2500000</v>
      </c>
      <c r="F5" s="1207">
        <v>2500000</v>
      </c>
      <c r="G5" s="1196"/>
      <c r="H5" s="1170"/>
      <c r="I5" s="1171"/>
      <c r="K5" s="1137"/>
    </row>
    <row r="6" spans="1:9" ht="12.75">
      <c r="A6" s="1218">
        <v>2</v>
      </c>
      <c r="B6" s="1178" t="s">
        <v>18</v>
      </c>
      <c r="C6" s="1227" t="s">
        <v>415</v>
      </c>
      <c r="D6" s="1178" t="s">
        <v>416</v>
      </c>
      <c r="E6" s="1188">
        <v>1300000</v>
      </c>
      <c r="F6" s="1208">
        <v>300000</v>
      </c>
      <c r="G6" s="1197"/>
      <c r="H6" s="1111"/>
      <c r="I6" s="1112" t="s">
        <v>417</v>
      </c>
    </row>
    <row r="7" spans="1:9" ht="12.75">
      <c r="A7" s="1219">
        <v>3</v>
      </c>
      <c r="B7" s="1179"/>
      <c r="C7" s="1228" t="s">
        <v>418</v>
      </c>
      <c r="D7" s="1179" t="s">
        <v>416</v>
      </c>
      <c r="E7" s="1189">
        <v>700000</v>
      </c>
      <c r="F7" s="1209">
        <v>700000</v>
      </c>
      <c r="G7" s="1198"/>
      <c r="H7" s="1113"/>
      <c r="I7" s="1114"/>
    </row>
    <row r="8" spans="1:9" ht="12.75">
      <c r="A8" s="1219">
        <v>4</v>
      </c>
      <c r="B8" s="1179"/>
      <c r="C8" s="1228" t="s">
        <v>419</v>
      </c>
      <c r="D8" s="1179" t="s">
        <v>420</v>
      </c>
      <c r="E8" s="1189">
        <v>100000</v>
      </c>
      <c r="F8" s="1209">
        <v>100000</v>
      </c>
      <c r="G8" s="1198"/>
      <c r="H8" s="1113"/>
      <c r="I8" s="1114"/>
    </row>
    <row r="9" spans="1:10" ht="12.75">
      <c r="A9" s="1219">
        <v>5</v>
      </c>
      <c r="B9" s="1179"/>
      <c r="C9" s="1228" t="s">
        <v>421</v>
      </c>
      <c r="D9" s="1179" t="s">
        <v>155</v>
      </c>
      <c r="E9" s="1189">
        <v>200000</v>
      </c>
      <c r="F9" s="1209">
        <v>200000</v>
      </c>
      <c r="G9" s="1198"/>
      <c r="H9" s="1113"/>
      <c r="I9" s="1114"/>
      <c r="J9" s="1138"/>
    </row>
    <row r="10" spans="1:9" ht="12.75">
      <c r="A10" s="1219">
        <v>6</v>
      </c>
      <c r="B10" s="1179"/>
      <c r="C10" s="1228" t="s">
        <v>422</v>
      </c>
      <c r="D10" s="1179" t="s">
        <v>155</v>
      </c>
      <c r="E10" s="1189">
        <v>100000</v>
      </c>
      <c r="F10" s="1209">
        <v>100000</v>
      </c>
      <c r="G10" s="1198"/>
      <c r="H10" s="1113"/>
      <c r="I10" s="1114"/>
    </row>
    <row r="11" spans="1:9" ht="12.75">
      <c r="A11" s="1219">
        <v>7</v>
      </c>
      <c r="B11" s="1179"/>
      <c r="C11" s="1228" t="s">
        <v>423</v>
      </c>
      <c r="D11" s="1179" t="s">
        <v>156</v>
      </c>
      <c r="E11" s="1189">
        <v>400000</v>
      </c>
      <c r="F11" s="1209">
        <v>0</v>
      </c>
      <c r="G11" s="1198"/>
      <c r="H11" s="1113"/>
      <c r="I11" s="1114"/>
    </row>
    <row r="12" spans="1:9" ht="12.75">
      <c r="A12" s="1220">
        <v>8</v>
      </c>
      <c r="B12" s="1180"/>
      <c r="C12" s="1229" t="s">
        <v>424</v>
      </c>
      <c r="D12" s="1180" t="s">
        <v>155</v>
      </c>
      <c r="E12" s="1190">
        <v>200000</v>
      </c>
      <c r="F12" s="1210">
        <v>200000</v>
      </c>
      <c r="G12" s="1199"/>
      <c r="H12" s="1115"/>
      <c r="I12" s="1116"/>
    </row>
    <row r="13" spans="1:9" ht="12.75">
      <c r="A13" s="1221">
        <v>9</v>
      </c>
      <c r="B13" s="1181" t="s">
        <v>17</v>
      </c>
      <c r="C13" s="1230" t="s">
        <v>425</v>
      </c>
      <c r="D13" s="1181" t="s">
        <v>426</v>
      </c>
      <c r="E13" s="1191">
        <v>2500000</v>
      </c>
      <c r="F13" s="1211">
        <v>2500000</v>
      </c>
      <c r="G13" s="1200"/>
      <c r="H13" s="1117"/>
      <c r="I13" s="1118"/>
    </row>
    <row r="14" spans="1:9" ht="12.75">
      <c r="A14" s="1218">
        <v>10</v>
      </c>
      <c r="B14" s="1178" t="s">
        <v>23</v>
      </c>
      <c r="C14" s="1227" t="s">
        <v>427</v>
      </c>
      <c r="D14" s="1178" t="s">
        <v>428</v>
      </c>
      <c r="E14" s="1188">
        <v>200000</v>
      </c>
      <c r="F14" s="1208">
        <v>0</v>
      </c>
      <c r="G14" s="1197"/>
      <c r="H14" s="1111"/>
      <c r="I14" s="1119"/>
    </row>
    <row r="15" spans="1:9" ht="12.75">
      <c r="A15" s="1220">
        <v>11</v>
      </c>
      <c r="B15" s="1180"/>
      <c r="C15" s="1229" t="s">
        <v>429</v>
      </c>
      <c r="D15" s="1180" t="s">
        <v>428</v>
      </c>
      <c r="E15" s="1190">
        <v>100000</v>
      </c>
      <c r="F15" s="1210">
        <v>0</v>
      </c>
      <c r="G15" s="1199"/>
      <c r="H15" s="1115"/>
      <c r="I15" s="1116"/>
    </row>
    <row r="16" spans="1:9" ht="12.75">
      <c r="A16" s="1218">
        <v>12</v>
      </c>
      <c r="B16" s="1178" t="s">
        <v>19</v>
      </c>
      <c r="C16" s="1227" t="s">
        <v>430</v>
      </c>
      <c r="D16" s="1178" t="s">
        <v>431</v>
      </c>
      <c r="E16" s="1188">
        <v>500000</v>
      </c>
      <c r="F16" s="1208">
        <v>500000</v>
      </c>
      <c r="G16" s="1197"/>
      <c r="H16" s="1120"/>
      <c r="I16" s="1119"/>
    </row>
    <row r="17" spans="1:9" ht="12.75">
      <c r="A17" s="1220">
        <v>13</v>
      </c>
      <c r="B17" s="1180"/>
      <c r="C17" s="1229" t="s">
        <v>432</v>
      </c>
      <c r="D17" s="1180" t="s">
        <v>433</v>
      </c>
      <c r="E17" s="1190">
        <v>150000</v>
      </c>
      <c r="F17" s="1210">
        <v>75000</v>
      </c>
      <c r="G17" s="1201"/>
      <c r="H17" s="1121"/>
      <c r="I17" s="1122"/>
    </row>
    <row r="18" spans="1:9" ht="12.75">
      <c r="A18" s="1218">
        <v>14</v>
      </c>
      <c r="B18" s="1178" t="s">
        <v>434</v>
      </c>
      <c r="C18" s="1227" t="s">
        <v>435</v>
      </c>
      <c r="D18" s="1178" t="s">
        <v>216</v>
      </c>
      <c r="E18" s="1188">
        <v>22000</v>
      </c>
      <c r="F18" s="1208">
        <v>0</v>
      </c>
      <c r="G18" s="1197"/>
      <c r="H18" s="1111"/>
      <c r="I18" s="1119"/>
    </row>
    <row r="19" spans="1:12" ht="12.75">
      <c r="A19" s="1219">
        <v>15</v>
      </c>
      <c r="B19" s="1179"/>
      <c r="C19" s="1228" t="s">
        <v>436</v>
      </c>
      <c r="D19" s="1179" t="s">
        <v>437</v>
      </c>
      <c r="E19" s="1189">
        <v>185000</v>
      </c>
      <c r="F19" s="1209">
        <v>185000</v>
      </c>
      <c r="G19" s="1198"/>
      <c r="H19" s="1123"/>
      <c r="I19" s="1114"/>
      <c r="J19" s="1109" t="s">
        <v>466</v>
      </c>
      <c r="L19" s="1139"/>
    </row>
    <row r="20" spans="1:12" ht="12.75">
      <c r="A20" s="1220">
        <v>16</v>
      </c>
      <c r="B20" s="1180"/>
      <c r="C20" s="1229" t="s">
        <v>438</v>
      </c>
      <c r="D20" s="1180" t="s">
        <v>439</v>
      </c>
      <c r="E20" s="1190">
        <v>450000</v>
      </c>
      <c r="F20" s="1210">
        <v>450000</v>
      </c>
      <c r="G20" s="1199"/>
      <c r="H20" s="1124"/>
      <c r="I20" s="1116"/>
      <c r="L20" s="1139"/>
    </row>
    <row r="21" spans="1:12" ht="12.75">
      <c r="A21" s="1221">
        <v>17</v>
      </c>
      <c r="B21" s="1181" t="s">
        <v>440</v>
      </c>
      <c r="C21" s="1230" t="s">
        <v>441</v>
      </c>
      <c r="D21" s="1181" t="s">
        <v>442</v>
      </c>
      <c r="E21" s="1191">
        <v>520000</v>
      </c>
      <c r="F21" s="1211">
        <v>520000</v>
      </c>
      <c r="G21" s="1202"/>
      <c r="H21" s="1117"/>
      <c r="I21" s="1118"/>
      <c r="L21" s="1135"/>
    </row>
    <row r="22" spans="1:12" ht="12.75">
      <c r="A22" s="1218">
        <v>18</v>
      </c>
      <c r="B22" s="1178" t="s">
        <v>443</v>
      </c>
      <c r="C22" s="1227" t="s">
        <v>444</v>
      </c>
      <c r="D22" s="1178" t="s">
        <v>445</v>
      </c>
      <c r="E22" s="1188">
        <v>200000</v>
      </c>
      <c r="F22" s="1208">
        <v>200000</v>
      </c>
      <c r="G22" s="1197"/>
      <c r="H22" s="1111"/>
      <c r="I22" s="1112"/>
      <c r="L22" s="1135"/>
    </row>
    <row r="23" spans="1:12" ht="12.75">
      <c r="A23" s="1219">
        <v>19</v>
      </c>
      <c r="B23" s="1179"/>
      <c r="C23" s="1228" t="s">
        <v>446</v>
      </c>
      <c r="D23" s="1179" t="s">
        <v>445</v>
      </c>
      <c r="E23" s="1189">
        <v>60000</v>
      </c>
      <c r="F23" s="1209">
        <v>60000</v>
      </c>
      <c r="G23" s="1198"/>
      <c r="H23" s="1113"/>
      <c r="I23" s="1114"/>
      <c r="L23" s="1135"/>
    </row>
    <row r="24" spans="1:12" ht="12.75">
      <c r="A24" s="1219">
        <v>20</v>
      </c>
      <c r="B24" s="1179"/>
      <c r="C24" s="1228" t="s">
        <v>447</v>
      </c>
      <c r="D24" s="1179" t="s">
        <v>445</v>
      </c>
      <c r="E24" s="1189">
        <v>60000</v>
      </c>
      <c r="F24" s="1209">
        <v>60000</v>
      </c>
      <c r="G24" s="1198"/>
      <c r="H24" s="1113"/>
      <c r="I24" s="1125"/>
      <c r="L24" s="1135"/>
    </row>
    <row r="25" spans="1:12" ht="12.75">
      <c r="A25" s="1219">
        <v>21</v>
      </c>
      <c r="B25" s="1179"/>
      <c r="C25" s="1228" t="s">
        <v>448</v>
      </c>
      <c r="D25" s="1179" t="s">
        <v>445</v>
      </c>
      <c r="E25" s="1189">
        <v>60000</v>
      </c>
      <c r="F25" s="1209">
        <v>40000</v>
      </c>
      <c r="G25" s="1198"/>
      <c r="H25" s="1113"/>
      <c r="I25" s="1126"/>
      <c r="L25" s="1135"/>
    </row>
    <row r="26" spans="1:12" ht="12.75">
      <c r="A26" s="1219">
        <v>22</v>
      </c>
      <c r="B26" s="1179"/>
      <c r="C26" s="1228" t="s">
        <v>449</v>
      </c>
      <c r="D26" s="1179" t="s">
        <v>445</v>
      </c>
      <c r="E26" s="1189">
        <v>60000</v>
      </c>
      <c r="F26" s="1209">
        <v>25000</v>
      </c>
      <c r="G26" s="1198"/>
      <c r="H26" s="1113"/>
      <c r="I26" s="1114"/>
      <c r="L26" s="1135"/>
    </row>
    <row r="27" spans="1:12" ht="12.75">
      <c r="A27" s="1219">
        <v>23</v>
      </c>
      <c r="B27" s="1179"/>
      <c r="C27" s="1228" t="s">
        <v>450</v>
      </c>
      <c r="D27" s="1179" t="s">
        <v>445</v>
      </c>
      <c r="E27" s="1189">
        <v>60000</v>
      </c>
      <c r="F27" s="1209">
        <v>190000</v>
      </c>
      <c r="G27" s="1203"/>
      <c r="H27" s="1113"/>
      <c r="I27" s="1114"/>
      <c r="L27" s="1135"/>
    </row>
    <row r="28" spans="1:12" ht="12.75">
      <c r="A28" s="1219">
        <v>24</v>
      </c>
      <c r="B28" s="1179"/>
      <c r="C28" s="1228" t="s">
        <v>451</v>
      </c>
      <c r="D28" s="1179" t="s">
        <v>215</v>
      </c>
      <c r="E28" s="1189">
        <v>400000</v>
      </c>
      <c r="F28" s="1209">
        <v>400000</v>
      </c>
      <c r="G28" s="1198"/>
      <c r="H28" s="1113"/>
      <c r="I28" s="1114"/>
      <c r="L28" s="1135"/>
    </row>
    <row r="29" spans="1:12" ht="12.75">
      <c r="A29" s="1219">
        <v>25</v>
      </c>
      <c r="B29" s="1179"/>
      <c r="C29" s="1228" t="s">
        <v>452</v>
      </c>
      <c r="D29" s="1179" t="s">
        <v>453</v>
      </c>
      <c r="E29" s="1189">
        <v>1800000</v>
      </c>
      <c r="F29" s="1209">
        <v>3200000</v>
      </c>
      <c r="G29" s="1203"/>
      <c r="H29" s="1113"/>
      <c r="I29" s="1126" t="s">
        <v>454</v>
      </c>
      <c r="L29" s="1135"/>
    </row>
    <row r="30" spans="1:12" ht="12.75">
      <c r="A30" s="1219">
        <v>26</v>
      </c>
      <c r="B30" s="1179"/>
      <c r="C30" s="1228" t="s">
        <v>455</v>
      </c>
      <c r="D30" s="1179" t="s">
        <v>453</v>
      </c>
      <c r="E30" s="1189">
        <v>700000</v>
      </c>
      <c r="F30" s="1209">
        <v>0</v>
      </c>
      <c r="G30" s="1198"/>
      <c r="H30" s="1113"/>
      <c r="I30" s="1126"/>
      <c r="L30" s="1135"/>
    </row>
    <row r="31" spans="1:12" ht="12.75">
      <c r="A31" s="1219">
        <v>27</v>
      </c>
      <c r="B31" s="1179"/>
      <c r="C31" s="1228" t="s">
        <v>456</v>
      </c>
      <c r="D31" s="1179" t="s">
        <v>453</v>
      </c>
      <c r="E31" s="1189">
        <v>500000</v>
      </c>
      <c r="F31" s="1209">
        <v>0</v>
      </c>
      <c r="G31" s="1198"/>
      <c r="H31" s="1113"/>
      <c r="I31" s="1114"/>
      <c r="L31" s="1135"/>
    </row>
    <row r="32" spans="1:12" ht="12.75">
      <c r="A32" s="1220">
        <v>28</v>
      </c>
      <c r="B32" s="1180"/>
      <c r="C32" s="1229" t="s">
        <v>457</v>
      </c>
      <c r="D32" s="1180" t="s">
        <v>453</v>
      </c>
      <c r="E32" s="1190">
        <v>200000</v>
      </c>
      <c r="F32" s="1210">
        <v>0</v>
      </c>
      <c r="G32" s="1199"/>
      <c r="H32" s="1115"/>
      <c r="I32" s="1127"/>
      <c r="L32" s="1135"/>
    </row>
    <row r="33" spans="1:12" ht="12.75">
      <c r="A33" s="1221">
        <v>29</v>
      </c>
      <c r="B33" s="1181" t="s">
        <v>150</v>
      </c>
      <c r="C33" s="1230" t="s">
        <v>458</v>
      </c>
      <c r="D33" s="1181" t="s">
        <v>459</v>
      </c>
      <c r="E33" s="1191">
        <v>3500000</v>
      </c>
      <c r="F33" s="1211">
        <v>3500000</v>
      </c>
      <c r="G33" s="1202"/>
      <c r="H33" s="1117"/>
      <c r="I33" s="1128" t="s">
        <v>460</v>
      </c>
      <c r="L33" s="1135"/>
    </row>
    <row r="34" spans="1:12" ht="13.5" thickBot="1">
      <c r="A34" s="1222">
        <v>30</v>
      </c>
      <c r="B34" s="1182" t="s">
        <v>461</v>
      </c>
      <c r="C34" s="1231" t="s">
        <v>462</v>
      </c>
      <c r="D34" s="1182" t="s">
        <v>463</v>
      </c>
      <c r="E34" s="1192">
        <v>1235000</v>
      </c>
      <c r="F34" s="1212">
        <v>1235000</v>
      </c>
      <c r="G34" s="1175"/>
      <c r="H34" s="1129"/>
      <c r="I34" s="1130"/>
      <c r="L34" s="1135"/>
    </row>
    <row r="35" spans="1:9" ht="12.75">
      <c r="A35" s="1218"/>
      <c r="B35" s="1178"/>
      <c r="C35" s="1232" t="s">
        <v>464</v>
      </c>
      <c r="D35" s="1183"/>
      <c r="E35" s="1193">
        <f>SUM(E5:E34)</f>
        <v>18962000</v>
      </c>
      <c r="F35" s="1213">
        <f>SUM(F5:F34)</f>
        <v>17240000</v>
      </c>
      <c r="G35" s="1197"/>
      <c r="H35" s="1111"/>
      <c r="I35" s="1131"/>
    </row>
    <row r="36" spans="1:9" s="1169" customFormat="1" ht="12.75">
      <c r="A36" s="1223"/>
      <c r="B36" s="1235"/>
      <c r="C36" s="1233" t="s">
        <v>478</v>
      </c>
      <c r="D36" s="1184"/>
      <c r="E36" s="1194"/>
      <c r="F36" s="1214">
        <v>522000</v>
      </c>
      <c r="G36" s="1204"/>
      <c r="H36" s="1167"/>
      <c r="I36" s="1168"/>
    </row>
    <row r="37" spans="1:9" ht="13.5" thickBot="1">
      <c r="A37" s="1224"/>
      <c r="B37" s="1236"/>
      <c r="C37" s="1234" t="s">
        <v>465</v>
      </c>
      <c r="D37" s="1185"/>
      <c r="E37" s="1195"/>
      <c r="F37" s="1215">
        <f>SUM(F35:F36)</f>
        <v>17762000</v>
      </c>
      <c r="G37" s="1205"/>
      <c r="H37" s="1132"/>
      <c r="I37" s="1133"/>
    </row>
    <row r="38" spans="1:9" ht="12.75">
      <c r="A38" s="1109" t="s">
        <v>467</v>
      </c>
      <c r="D38" s="1134"/>
      <c r="E38" s="1135"/>
      <c r="G38" s="1135"/>
      <c r="I38" s="1136"/>
    </row>
    <row r="39" spans="3:9" ht="12.75">
      <c r="C39" s="1280"/>
      <c r="D39" s="1281"/>
      <c r="E39" s="1281"/>
      <c r="F39" s="1281"/>
      <c r="G39" s="1281"/>
      <c r="H39" s="1281"/>
      <c r="I39" s="1281"/>
    </row>
  </sheetData>
  <mergeCells count="1">
    <mergeCell ref="C39:I39"/>
  </mergeCells>
  <printOptions/>
  <pageMargins left="0.75" right="0.69" top="0.71" bottom="0.72" header="0.5" footer="0.5"/>
  <pageSetup horizontalDpi="600" verticalDpi="600" orientation="landscape" paperSize="9" r:id="rId1"/>
  <headerFooter alignWithMargins="0">
    <oddHeader>&amp;RPříloha 3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A40"/>
  <sheetViews>
    <sheetView workbookViewId="0" topLeftCell="A1">
      <selection activeCell="AA6" sqref="AA6"/>
    </sheetView>
  </sheetViews>
  <sheetFormatPr defaultColWidth="9.00390625" defaultRowHeight="12.75"/>
  <cols>
    <col min="1" max="1" width="4.375" style="702" customWidth="1"/>
    <col min="2" max="2" width="8.00390625" style="701" customWidth="1"/>
    <col min="3" max="3" width="12.625" style="702" hidden="1" customWidth="1"/>
    <col min="4" max="4" width="12.375" style="702" hidden="1" customWidth="1"/>
    <col min="5" max="5" width="13.375" style="702" hidden="1" customWidth="1"/>
    <col min="6" max="7" width="11.25390625" style="702" hidden="1" customWidth="1"/>
    <col min="8" max="8" width="10.875" style="702" hidden="1" customWidth="1"/>
    <col min="9" max="9" width="13.375" style="703" hidden="1" customWidth="1"/>
    <col min="10" max="10" width="12.25390625" style="703" hidden="1" customWidth="1"/>
    <col min="11" max="11" width="13.375" style="703" hidden="1" customWidth="1"/>
    <col min="12" max="12" width="12.25390625" style="703" customWidth="1"/>
    <col min="13" max="13" width="12.625" style="703" customWidth="1"/>
    <col min="14" max="14" width="12.00390625" style="703" customWidth="1"/>
    <col min="15" max="15" width="11.00390625" style="703" hidden="1" customWidth="1"/>
    <col min="16" max="16" width="10.75390625" style="703" hidden="1" customWidth="1"/>
    <col min="17" max="17" width="11.25390625" style="703" hidden="1" customWidth="1"/>
    <col min="18" max="19" width="12.25390625" style="703" hidden="1" customWidth="1"/>
    <col min="20" max="20" width="12.00390625" style="703" hidden="1" customWidth="1"/>
    <col min="21" max="21" width="3.25390625" style="703" hidden="1" customWidth="1"/>
    <col min="22" max="22" width="8.25390625" style="703" customWidth="1"/>
    <col min="23" max="23" width="9.75390625" style="703" customWidth="1"/>
    <col min="24" max="25" width="8.25390625" style="703" customWidth="1"/>
    <col min="26" max="26" width="9.75390625" style="703" customWidth="1"/>
    <col min="27" max="27" width="8.25390625" style="703" customWidth="1"/>
    <col min="28" max="16384" width="9.125" style="703" customWidth="1"/>
  </cols>
  <sheetData>
    <row r="1" ht="12">
      <c r="A1" s="700" t="s">
        <v>332</v>
      </c>
    </row>
    <row r="2" spans="1:27" ht="14.25" customHeight="1" thickBot="1">
      <c r="A2" s="704"/>
      <c r="V2" s="1299"/>
      <c r="W2" s="1299"/>
      <c r="X2" s="1299"/>
      <c r="Y2" s="1299"/>
      <c r="Z2" s="1299"/>
      <c r="AA2" s="1299"/>
    </row>
    <row r="3" spans="1:27" ht="24.75" customHeight="1">
      <c r="A3" s="705"/>
      <c r="B3" s="706"/>
      <c r="C3" s="1285" t="s">
        <v>318</v>
      </c>
      <c r="D3" s="1286"/>
      <c r="E3" s="1287"/>
      <c r="F3" s="1288" t="s">
        <v>319</v>
      </c>
      <c r="G3" s="1289"/>
      <c r="H3" s="1289"/>
      <c r="I3" s="1290" t="s">
        <v>320</v>
      </c>
      <c r="J3" s="1291"/>
      <c r="K3" s="1292"/>
      <c r="L3" s="1293" t="s">
        <v>321</v>
      </c>
      <c r="M3" s="1294"/>
      <c r="N3" s="1295"/>
      <c r="O3" s="1282" t="s">
        <v>322</v>
      </c>
      <c r="P3" s="1283"/>
      <c r="Q3" s="1284"/>
      <c r="R3" s="1282" t="s">
        <v>323</v>
      </c>
      <c r="S3" s="1283"/>
      <c r="T3" s="1284"/>
      <c r="V3" s="1296" t="s">
        <v>333</v>
      </c>
      <c r="W3" s="1297"/>
      <c r="X3" s="1298"/>
      <c r="Y3" s="1296" t="s">
        <v>334</v>
      </c>
      <c r="Z3" s="1297"/>
      <c r="AA3" s="1298"/>
    </row>
    <row r="4" spans="1:27" ht="18" customHeight="1">
      <c r="A4" s="707" t="s">
        <v>152</v>
      </c>
      <c r="B4" s="708"/>
      <c r="C4" s="709" t="s">
        <v>200</v>
      </c>
      <c r="D4" s="710" t="s">
        <v>201</v>
      </c>
      <c r="E4" s="711" t="s">
        <v>22</v>
      </c>
      <c r="F4" s="712" t="s">
        <v>200</v>
      </c>
      <c r="G4" s="713" t="s">
        <v>201</v>
      </c>
      <c r="H4" s="714" t="s">
        <v>22</v>
      </c>
      <c r="I4" s="715" t="s">
        <v>200</v>
      </c>
      <c r="J4" s="716" t="s">
        <v>201</v>
      </c>
      <c r="K4" s="717" t="s">
        <v>22</v>
      </c>
      <c r="L4" s="712" t="s">
        <v>200</v>
      </c>
      <c r="M4" s="713" t="s">
        <v>201</v>
      </c>
      <c r="N4" s="714" t="s">
        <v>22</v>
      </c>
      <c r="O4" s="718" t="s">
        <v>200</v>
      </c>
      <c r="P4" s="719" t="s">
        <v>201</v>
      </c>
      <c r="Q4" s="720" t="s">
        <v>22</v>
      </c>
      <c r="R4" s="718" t="s">
        <v>200</v>
      </c>
      <c r="S4" s="719" t="s">
        <v>201</v>
      </c>
      <c r="T4" s="720" t="s">
        <v>22</v>
      </c>
      <c r="V4" s="721" t="s">
        <v>200</v>
      </c>
      <c r="W4" s="722" t="s">
        <v>201</v>
      </c>
      <c r="X4" s="723" t="s">
        <v>22</v>
      </c>
      <c r="Y4" s="721" t="s">
        <v>200</v>
      </c>
      <c r="Z4" s="724" t="s">
        <v>201</v>
      </c>
      <c r="AA4" s="723" t="s">
        <v>22</v>
      </c>
    </row>
    <row r="5" spans="1:27" s="733" customFormat="1" ht="11.25">
      <c r="A5" s="725"/>
      <c r="B5" s="726"/>
      <c r="C5" s="727">
        <v>1</v>
      </c>
      <c r="D5" s="728">
        <v>2</v>
      </c>
      <c r="E5" s="729">
        <v>3</v>
      </c>
      <c r="F5" s="727"/>
      <c r="G5" s="728"/>
      <c r="H5" s="729"/>
      <c r="I5" s="730">
        <v>4</v>
      </c>
      <c r="J5" s="731">
        <v>5</v>
      </c>
      <c r="K5" s="732">
        <v>6</v>
      </c>
      <c r="L5" s="727">
        <v>1</v>
      </c>
      <c r="M5" s="728">
        <v>2</v>
      </c>
      <c r="N5" s="729">
        <v>3</v>
      </c>
      <c r="O5" s="730">
        <v>4</v>
      </c>
      <c r="P5" s="731">
        <v>5</v>
      </c>
      <c r="Q5" s="732">
        <v>6</v>
      </c>
      <c r="R5" s="730">
        <v>4</v>
      </c>
      <c r="S5" s="731">
        <v>5</v>
      </c>
      <c r="T5" s="732">
        <v>6</v>
      </c>
      <c r="V5" s="1140">
        <v>4</v>
      </c>
      <c r="W5" s="1141">
        <v>5</v>
      </c>
      <c r="X5" s="1142">
        <v>6</v>
      </c>
      <c r="Y5" s="1140">
        <v>7</v>
      </c>
      <c r="Z5" s="1143">
        <v>8</v>
      </c>
      <c r="AA5" s="1142">
        <v>9</v>
      </c>
    </row>
    <row r="6" spans="1:27" ht="15" customHeight="1">
      <c r="A6" s="734">
        <v>11</v>
      </c>
      <c r="B6" s="735" t="s">
        <v>12</v>
      </c>
      <c r="C6" s="736">
        <v>15703107.61</v>
      </c>
      <c r="D6" s="737">
        <f aca="true" t="shared" si="0" ref="D6:D15">E6-C6</f>
        <v>6627308.43</v>
      </c>
      <c r="E6" s="738">
        <v>22330416.04</v>
      </c>
      <c r="F6" s="736">
        <v>1583721.97</v>
      </c>
      <c r="G6" s="737">
        <v>767889.01</v>
      </c>
      <c r="H6" s="739">
        <f aca="true" t="shared" si="1" ref="H6:H15">F6+G6</f>
        <v>2351610.98</v>
      </c>
      <c r="I6" s="736">
        <v>18298351.38</v>
      </c>
      <c r="J6" s="737">
        <v>8815258.6</v>
      </c>
      <c r="K6" s="740">
        <f aca="true" t="shared" si="2" ref="K6:K15">SUM(I6:J6)</f>
        <v>27113609.979999997</v>
      </c>
      <c r="L6" s="741">
        <v>19977232.98</v>
      </c>
      <c r="M6" s="742">
        <v>11563315.77</v>
      </c>
      <c r="N6" s="743">
        <f aca="true" t="shared" si="3" ref="N6:N25">SUM(L6:M6)</f>
        <v>31540548.75</v>
      </c>
      <c r="O6" s="744">
        <f>1780670.71+1274</f>
        <v>1781944.71</v>
      </c>
      <c r="P6" s="745">
        <v>906288.89</v>
      </c>
      <c r="Q6" s="746">
        <f aca="true" t="shared" si="4" ref="Q6:Q15">SUM(O6:P6)</f>
        <v>2688233.6</v>
      </c>
      <c r="R6" s="744">
        <f aca="true" t="shared" si="5" ref="R6:R15">O6*12</f>
        <v>21383336.52</v>
      </c>
      <c r="S6" s="745">
        <f aca="true" t="shared" si="6" ref="S6:S15">P6*12</f>
        <v>10875466.68</v>
      </c>
      <c r="T6" s="746">
        <f aca="true" t="shared" si="7" ref="T6:T15">SUM(R6:S6)</f>
        <v>32258803.2</v>
      </c>
      <c r="V6" s="747">
        <v>19977</v>
      </c>
      <c r="W6" s="748">
        <v>11563</v>
      </c>
      <c r="X6" s="749">
        <f aca="true" t="shared" si="8" ref="X6:X26">SUM(V6:W6)</f>
        <v>31540</v>
      </c>
      <c r="Y6" s="747">
        <v>19977</v>
      </c>
      <c r="Z6" s="750">
        <v>11563</v>
      </c>
      <c r="AA6" s="749">
        <f aca="true" t="shared" si="9" ref="AA6:AA26">SUM(Y6:Z6)</f>
        <v>31540</v>
      </c>
    </row>
    <row r="7" spans="1:27" ht="15" customHeight="1">
      <c r="A7" s="751">
        <v>21</v>
      </c>
      <c r="B7" s="752" t="s">
        <v>13</v>
      </c>
      <c r="C7" s="753">
        <v>4749674.9</v>
      </c>
      <c r="D7" s="754">
        <f t="shared" si="0"/>
        <v>1996802.0199999996</v>
      </c>
      <c r="E7" s="755">
        <v>6746476.92</v>
      </c>
      <c r="F7" s="753">
        <v>435259</v>
      </c>
      <c r="G7" s="754">
        <v>162966</v>
      </c>
      <c r="H7" s="756">
        <f t="shared" si="1"/>
        <v>598225</v>
      </c>
      <c r="I7" s="753">
        <v>5123046.93</v>
      </c>
      <c r="J7" s="754">
        <v>1792357.07</v>
      </c>
      <c r="K7" s="757">
        <f t="shared" si="2"/>
        <v>6915404</v>
      </c>
      <c r="L7" s="758">
        <v>5262042.96</v>
      </c>
      <c r="M7" s="759">
        <v>2444400.54</v>
      </c>
      <c r="N7" s="760">
        <f t="shared" si="3"/>
        <v>7706443.5</v>
      </c>
      <c r="O7" s="761">
        <v>448636</v>
      </c>
      <c r="P7" s="762">
        <v>209320</v>
      </c>
      <c r="Q7" s="763">
        <f t="shared" si="4"/>
        <v>657956</v>
      </c>
      <c r="R7" s="761">
        <f t="shared" si="5"/>
        <v>5383632</v>
      </c>
      <c r="S7" s="762">
        <f t="shared" si="6"/>
        <v>2511840</v>
      </c>
      <c r="T7" s="763">
        <f t="shared" si="7"/>
        <v>7895472</v>
      </c>
      <c r="V7" s="764">
        <v>5262</v>
      </c>
      <c r="W7" s="765">
        <v>2444</v>
      </c>
      <c r="X7" s="766">
        <f t="shared" si="8"/>
        <v>7706</v>
      </c>
      <c r="Y7" s="764">
        <v>5262</v>
      </c>
      <c r="Z7" s="767">
        <v>2444</v>
      </c>
      <c r="AA7" s="766">
        <f t="shared" si="9"/>
        <v>7706</v>
      </c>
    </row>
    <row r="8" spans="1:27" ht="15" customHeight="1">
      <c r="A8" s="751">
        <v>22</v>
      </c>
      <c r="B8" s="752" t="s">
        <v>14</v>
      </c>
      <c r="C8" s="753">
        <v>1428876</v>
      </c>
      <c r="D8" s="754">
        <f t="shared" si="0"/>
        <v>1297060.7200000002</v>
      </c>
      <c r="E8" s="755">
        <v>2725936.72</v>
      </c>
      <c r="F8" s="753">
        <v>89973</v>
      </c>
      <c r="G8" s="754">
        <v>90380</v>
      </c>
      <c r="H8" s="756">
        <f t="shared" si="1"/>
        <v>180353</v>
      </c>
      <c r="I8" s="753">
        <v>1055722</v>
      </c>
      <c r="J8" s="754">
        <v>1072931</v>
      </c>
      <c r="K8" s="757">
        <f t="shared" si="2"/>
        <v>2128653</v>
      </c>
      <c r="L8" s="758">
        <v>1282775</v>
      </c>
      <c r="M8" s="759">
        <v>1271443.4</v>
      </c>
      <c r="N8" s="760">
        <f t="shared" si="3"/>
        <v>2554218.4</v>
      </c>
      <c r="O8" s="761">
        <v>106570</v>
      </c>
      <c r="P8" s="762">
        <v>118653</v>
      </c>
      <c r="Q8" s="763">
        <f t="shared" si="4"/>
        <v>225223</v>
      </c>
      <c r="R8" s="761">
        <f t="shared" si="5"/>
        <v>1278840</v>
      </c>
      <c r="S8" s="762">
        <f t="shared" si="6"/>
        <v>1423836</v>
      </c>
      <c r="T8" s="763">
        <f t="shared" si="7"/>
        <v>2702676</v>
      </c>
      <c r="V8" s="764">
        <v>1283</v>
      </c>
      <c r="W8" s="765">
        <v>1271</v>
      </c>
      <c r="X8" s="766">
        <f t="shared" si="8"/>
        <v>2554</v>
      </c>
      <c r="Y8" s="764">
        <v>1283</v>
      </c>
      <c r="Z8" s="767">
        <v>1271</v>
      </c>
      <c r="AA8" s="766">
        <f t="shared" si="9"/>
        <v>2554</v>
      </c>
    </row>
    <row r="9" spans="1:27" ht="15" customHeight="1">
      <c r="A9" s="751">
        <v>23</v>
      </c>
      <c r="B9" s="752" t="s">
        <v>15</v>
      </c>
      <c r="C9" s="753">
        <v>897017.61</v>
      </c>
      <c r="D9" s="754">
        <f t="shared" si="0"/>
        <v>1080921.5100000002</v>
      </c>
      <c r="E9" s="755">
        <v>1977939.12</v>
      </c>
      <c r="F9" s="753">
        <v>452965.69</v>
      </c>
      <c r="G9" s="754">
        <v>125997.31</v>
      </c>
      <c r="H9" s="756">
        <f t="shared" si="1"/>
        <v>578963</v>
      </c>
      <c r="I9" s="753">
        <v>1351084.88</v>
      </c>
      <c r="J9" s="754">
        <v>994955.12</v>
      </c>
      <c r="K9" s="757">
        <f t="shared" si="2"/>
        <v>2346040</v>
      </c>
      <c r="L9" s="758">
        <v>5648651.85</v>
      </c>
      <c r="M9" s="759">
        <v>1770062.27</v>
      </c>
      <c r="N9" s="760">
        <f t="shared" si="3"/>
        <v>7418714.119999999</v>
      </c>
      <c r="O9" s="761">
        <v>471407.93</v>
      </c>
      <c r="P9" s="762">
        <v>146004.57</v>
      </c>
      <c r="Q9" s="763">
        <f t="shared" si="4"/>
        <v>617412.5</v>
      </c>
      <c r="R9" s="761">
        <f t="shared" si="5"/>
        <v>5656895.16</v>
      </c>
      <c r="S9" s="762">
        <f t="shared" si="6"/>
        <v>1752054.84</v>
      </c>
      <c r="T9" s="763">
        <f t="shared" si="7"/>
        <v>7408950</v>
      </c>
      <c r="V9" s="764">
        <v>5649</v>
      </c>
      <c r="W9" s="765">
        <v>1770</v>
      </c>
      <c r="X9" s="766">
        <f t="shared" si="8"/>
        <v>7419</v>
      </c>
      <c r="Y9" s="764">
        <v>5649</v>
      </c>
      <c r="Z9" s="767">
        <v>1770</v>
      </c>
      <c r="AA9" s="766">
        <f t="shared" si="9"/>
        <v>7419</v>
      </c>
    </row>
    <row r="10" spans="1:27" ht="15" customHeight="1">
      <c r="A10" s="751">
        <v>31</v>
      </c>
      <c r="B10" s="752" t="s">
        <v>16</v>
      </c>
      <c r="C10" s="753">
        <v>38948681.21</v>
      </c>
      <c r="D10" s="754">
        <f t="shared" si="0"/>
        <v>10444559.04</v>
      </c>
      <c r="E10" s="755">
        <v>49393240.25</v>
      </c>
      <c r="F10" s="753">
        <v>3351530.84</v>
      </c>
      <c r="G10" s="754">
        <v>1189315.2</v>
      </c>
      <c r="H10" s="756">
        <f t="shared" si="1"/>
        <v>4540846.04</v>
      </c>
      <c r="I10" s="753">
        <v>37210826.49</v>
      </c>
      <c r="J10" s="754">
        <v>14703019.55</v>
      </c>
      <c r="K10" s="757">
        <f t="shared" si="2"/>
        <v>51913846.04000001</v>
      </c>
      <c r="L10" s="758">
        <v>50877804.95</v>
      </c>
      <c r="M10" s="759">
        <v>17707317.46</v>
      </c>
      <c r="N10" s="760">
        <f t="shared" si="3"/>
        <v>68585122.41</v>
      </c>
      <c r="O10" s="761">
        <f>4538910.55+25135</f>
        <v>4564045.55</v>
      </c>
      <c r="P10" s="762">
        <f>2349+1355363.85</f>
        <v>1357712.85</v>
      </c>
      <c r="Q10" s="763">
        <f t="shared" si="4"/>
        <v>5921758.4</v>
      </c>
      <c r="R10" s="761">
        <f t="shared" si="5"/>
        <v>54768546.599999994</v>
      </c>
      <c r="S10" s="762">
        <f t="shared" si="6"/>
        <v>16292554.200000001</v>
      </c>
      <c r="T10" s="763">
        <f t="shared" si="7"/>
        <v>71061100.8</v>
      </c>
      <c r="V10" s="764">
        <v>50878</v>
      </c>
      <c r="W10" s="768">
        <v>17707</v>
      </c>
      <c r="X10" s="766">
        <f t="shared" si="8"/>
        <v>68585</v>
      </c>
      <c r="Y10" s="764">
        <v>50878</v>
      </c>
      <c r="Z10" s="767">
        <v>17707</v>
      </c>
      <c r="AA10" s="766">
        <f t="shared" si="9"/>
        <v>68585</v>
      </c>
    </row>
    <row r="11" spans="1:27" ht="15" customHeight="1">
      <c r="A11" s="751">
        <v>33</v>
      </c>
      <c r="B11" s="752" t="s">
        <v>17</v>
      </c>
      <c r="C11" s="753">
        <v>9542128.77</v>
      </c>
      <c r="D11" s="754">
        <f t="shared" si="0"/>
        <v>1868430.3900000006</v>
      </c>
      <c r="E11" s="755">
        <v>11410559.16</v>
      </c>
      <c r="F11" s="753">
        <v>826761</v>
      </c>
      <c r="G11" s="754">
        <v>169958</v>
      </c>
      <c r="H11" s="756">
        <f t="shared" si="1"/>
        <v>996719</v>
      </c>
      <c r="I11" s="753">
        <v>10156386.58</v>
      </c>
      <c r="J11" s="754">
        <v>2399869.42</v>
      </c>
      <c r="K11" s="757">
        <f t="shared" si="2"/>
        <v>12556256</v>
      </c>
      <c r="L11" s="758">
        <v>10234064.31</v>
      </c>
      <c r="M11" s="759">
        <v>2086675.8</v>
      </c>
      <c r="N11" s="760">
        <f t="shared" si="3"/>
        <v>12320740.110000001</v>
      </c>
      <c r="O11" s="761">
        <v>862553</v>
      </c>
      <c r="P11" s="762">
        <v>168486</v>
      </c>
      <c r="Q11" s="763">
        <f t="shared" si="4"/>
        <v>1031039</v>
      </c>
      <c r="R11" s="761">
        <f t="shared" si="5"/>
        <v>10350636</v>
      </c>
      <c r="S11" s="762">
        <f t="shared" si="6"/>
        <v>2021832</v>
      </c>
      <c r="T11" s="763">
        <f t="shared" si="7"/>
        <v>12372468</v>
      </c>
      <c r="V11" s="764">
        <v>10234</v>
      </c>
      <c r="W11" s="765">
        <v>2087</v>
      </c>
      <c r="X11" s="766">
        <f t="shared" si="8"/>
        <v>12321</v>
      </c>
      <c r="Y11" s="764">
        <v>10234</v>
      </c>
      <c r="Z11" s="767">
        <v>2087</v>
      </c>
      <c r="AA11" s="766">
        <f t="shared" si="9"/>
        <v>12321</v>
      </c>
    </row>
    <row r="12" spans="1:27" ht="15" customHeight="1">
      <c r="A12" s="751">
        <v>41</v>
      </c>
      <c r="B12" s="752" t="s">
        <v>18</v>
      </c>
      <c r="C12" s="753">
        <v>3396505.09</v>
      </c>
      <c r="D12" s="754">
        <f t="shared" si="0"/>
        <v>827553.4699999997</v>
      </c>
      <c r="E12" s="755">
        <v>4224058.56</v>
      </c>
      <c r="F12" s="753">
        <v>338582</v>
      </c>
      <c r="G12" s="754">
        <v>117799</v>
      </c>
      <c r="H12" s="756">
        <f t="shared" si="1"/>
        <v>456381</v>
      </c>
      <c r="I12" s="753">
        <v>3704975.01</v>
      </c>
      <c r="J12" s="754">
        <v>1487302.07</v>
      </c>
      <c r="K12" s="757">
        <f t="shared" si="2"/>
        <v>5192277.08</v>
      </c>
      <c r="L12" s="758">
        <v>5863681.38</v>
      </c>
      <c r="M12" s="759">
        <v>1597723.72</v>
      </c>
      <c r="N12" s="760">
        <f t="shared" si="3"/>
        <v>7461405.1</v>
      </c>
      <c r="O12" s="761">
        <v>391253.46</v>
      </c>
      <c r="P12" s="762">
        <v>117890.54</v>
      </c>
      <c r="Q12" s="763">
        <f t="shared" si="4"/>
        <v>509144</v>
      </c>
      <c r="R12" s="761">
        <f t="shared" si="5"/>
        <v>4695041.5200000005</v>
      </c>
      <c r="S12" s="762">
        <f t="shared" si="6"/>
        <v>1414686.48</v>
      </c>
      <c r="T12" s="763">
        <f t="shared" si="7"/>
        <v>6109728</v>
      </c>
      <c r="V12" s="764">
        <v>5864</v>
      </c>
      <c r="W12" s="765">
        <v>1598</v>
      </c>
      <c r="X12" s="766">
        <f t="shared" si="8"/>
        <v>7462</v>
      </c>
      <c r="Y12" s="764">
        <v>5864</v>
      </c>
      <c r="Z12" s="767">
        <v>1598</v>
      </c>
      <c r="AA12" s="766">
        <f t="shared" si="9"/>
        <v>7462</v>
      </c>
    </row>
    <row r="13" spans="1:27" ht="15" customHeight="1">
      <c r="A13" s="751">
        <v>51</v>
      </c>
      <c r="B13" s="752" t="s">
        <v>19</v>
      </c>
      <c r="C13" s="753">
        <v>187517.2</v>
      </c>
      <c r="D13" s="754">
        <f t="shared" si="0"/>
        <v>238381.45</v>
      </c>
      <c r="E13" s="755">
        <v>425898.65</v>
      </c>
      <c r="F13" s="753">
        <v>21656</v>
      </c>
      <c r="G13" s="754">
        <v>152743.29</v>
      </c>
      <c r="H13" s="756">
        <f t="shared" si="1"/>
        <v>174399.29</v>
      </c>
      <c r="I13" s="753">
        <v>195665.72</v>
      </c>
      <c r="J13" s="754">
        <v>844707.29</v>
      </c>
      <c r="K13" s="757">
        <f t="shared" si="2"/>
        <v>1040373.01</v>
      </c>
      <c r="L13" s="758">
        <v>274674.76</v>
      </c>
      <c r="M13" s="759">
        <v>937656.6</v>
      </c>
      <c r="N13" s="760">
        <f t="shared" si="3"/>
        <v>1212331.3599999999</v>
      </c>
      <c r="O13" s="761">
        <v>23475</v>
      </c>
      <c r="P13" s="762">
        <v>86202</v>
      </c>
      <c r="Q13" s="763">
        <f t="shared" si="4"/>
        <v>109677</v>
      </c>
      <c r="R13" s="761">
        <f t="shared" si="5"/>
        <v>281700</v>
      </c>
      <c r="S13" s="762">
        <f t="shared" si="6"/>
        <v>1034424</v>
      </c>
      <c r="T13" s="763">
        <f t="shared" si="7"/>
        <v>1316124</v>
      </c>
      <c r="V13" s="764">
        <v>275</v>
      </c>
      <c r="W13" s="765">
        <v>938</v>
      </c>
      <c r="X13" s="766">
        <f t="shared" si="8"/>
        <v>1213</v>
      </c>
      <c r="Y13" s="764">
        <v>275</v>
      </c>
      <c r="Z13" s="767">
        <v>938</v>
      </c>
      <c r="AA13" s="766">
        <f t="shared" si="9"/>
        <v>1213</v>
      </c>
    </row>
    <row r="14" spans="1:27" ht="15" customHeight="1">
      <c r="A14" s="769">
        <v>56</v>
      </c>
      <c r="B14" s="770" t="s">
        <v>20</v>
      </c>
      <c r="C14" s="771">
        <v>4663639</v>
      </c>
      <c r="D14" s="772">
        <f t="shared" si="0"/>
        <v>933948.3600000003</v>
      </c>
      <c r="E14" s="773">
        <v>5597587.36</v>
      </c>
      <c r="F14" s="771">
        <v>372446</v>
      </c>
      <c r="G14" s="772">
        <v>102390</v>
      </c>
      <c r="H14" s="774">
        <f t="shared" si="1"/>
        <v>474836</v>
      </c>
      <c r="I14" s="771">
        <v>4574318.65</v>
      </c>
      <c r="J14" s="772">
        <v>1348467.35</v>
      </c>
      <c r="K14" s="775">
        <f t="shared" si="2"/>
        <v>5922786</v>
      </c>
      <c r="L14" s="776">
        <v>4626759</v>
      </c>
      <c r="M14" s="777">
        <v>1770568.84</v>
      </c>
      <c r="N14" s="778">
        <f t="shared" si="3"/>
        <v>6397327.84</v>
      </c>
      <c r="O14" s="779">
        <v>402964</v>
      </c>
      <c r="P14" s="780">
        <v>202063.16</v>
      </c>
      <c r="Q14" s="781">
        <f t="shared" si="4"/>
        <v>605027.16</v>
      </c>
      <c r="R14" s="779">
        <f t="shared" si="5"/>
        <v>4835568</v>
      </c>
      <c r="S14" s="780">
        <f t="shared" si="6"/>
        <v>2424757.92</v>
      </c>
      <c r="T14" s="781">
        <f t="shared" si="7"/>
        <v>7260325.92</v>
      </c>
      <c r="V14" s="782">
        <v>4627</v>
      </c>
      <c r="W14" s="783">
        <v>1770</v>
      </c>
      <c r="X14" s="784">
        <f t="shared" si="8"/>
        <v>6397</v>
      </c>
      <c r="Y14" s="782">
        <v>4627</v>
      </c>
      <c r="Z14" s="785">
        <v>1770</v>
      </c>
      <c r="AA14" s="784">
        <f t="shared" si="9"/>
        <v>6397</v>
      </c>
    </row>
    <row r="15" spans="1:27" ht="15" customHeight="1">
      <c r="A15" s="751">
        <v>81</v>
      </c>
      <c r="B15" s="752" t="s">
        <v>150</v>
      </c>
      <c r="C15" s="753">
        <v>5449582</v>
      </c>
      <c r="D15" s="754">
        <f t="shared" si="0"/>
        <v>6896310.699999999</v>
      </c>
      <c r="E15" s="755">
        <v>12345892.7</v>
      </c>
      <c r="F15" s="753">
        <v>454738</v>
      </c>
      <c r="G15" s="754">
        <v>320232.71</v>
      </c>
      <c r="H15" s="756">
        <f t="shared" si="1"/>
        <v>774970.71</v>
      </c>
      <c r="I15" s="753">
        <v>5026103</v>
      </c>
      <c r="J15" s="754">
        <v>5245388.71</v>
      </c>
      <c r="K15" s="786">
        <f t="shared" si="2"/>
        <v>10271491.71</v>
      </c>
      <c r="L15" s="758">
        <v>5272798.79</v>
      </c>
      <c r="M15" s="759">
        <v>5379196.11</v>
      </c>
      <c r="N15" s="760">
        <f t="shared" si="3"/>
        <v>10651994.9</v>
      </c>
      <c r="O15" s="761">
        <v>428580</v>
      </c>
      <c r="P15" s="762">
        <f>12209+420171.84</f>
        <v>432380.84</v>
      </c>
      <c r="Q15" s="787">
        <f t="shared" si="4"/>
        <v>860960.8400000001</v>
      </c>
      <c r="R15" s="761">
        <f t="shared" si="5"/>
        <v>5142960</v>
      </c>
      <c r="S15" s="762">
        <f t="shared" si="6"/>
        <v>5188570.08</v>
      </c>
      <c r="T15" s="787">
        <f t="shared" si="7"/>
        <v>10331530.08</v>
      </c>
      <c r="V15" s="764">
        <v>5273</v>
      </c>
      <c r="W15" s="788">
        <v>5379</v>
      </c>
      <c r="X15" s="789">
        <f t="shared" si="8"/>
        <v>10652</v>
      </c>
      <c r="Y15" s="764"/>
      <c r="Z15" s="790"/>
      <c r="AA15" s="789">
        <f t="shared" si="9"/>
        <v>0</v>
      </c>
    </row>
    <row r="16" spans="1:27" ht="15" customHeight="1">
      <c r="A16" s="751">
        <v>82</v>
      </c>
      <c r="B16" s="752" t="s">
        <v>5</v>
      </c>
      <c r="C16" s="753"/>
      <c r="D16" s="754"/>
      <c r="E16" s="755"/>
      <c r="F16" s="753"/>
      <c r="G16" s="754"/>
      <c r="H16" s="756"/>
      <c r="I16" s="753"/>
      <c r="J16" s="754"/>
      <c r="K16" s="786"/>
      <c r="L16" s="758">
        <v>14554771</v>
      </c>
      <c r="M16" s="759">
        <v>0</v>
      </c>
      <c r="N16" s="760">
        <f t="shared" si="3"/>
        <v>14554771</v>
      </c>
      <c r="O16" s="761">
        <v>1235558</v>
      </c>
      <c r="P16" s="762">
        <v>202807</v>
      </c>
      <c r="Q16" s="787"/>
      <c r="R16" s="791">
        <f>O16*12</f>
        <v>14826696</v>
      </c>
      <c r="S16" s="792">
        <f>P16*5</f>
        <v>1014035</v>
      </c>
      <c r="T16" s="787"/>
      <c r="V16" s="793">
        <v>14555</v>
      </c>
      <c r="W16" s="768"/>
      <c r="X16" s="766">
        <f t="shared" si="8"/>
        <v>14555</v>
      </c>
      <c r="Y16" s="793"/>
      <c r="Z16" s="767"/>
      <c r="AA16" s="766">
        <f t="shared" si="9"/>
        <v>0</v>
      </c>
    </row>
    <row r="17" spans="1:27" ht="15" customHeight="1">
      <c r="A17" s="751">
        <v>83</v>
      </c>
      <c r="B17" s="752" t="s">
        <v>204</v>
      </c>
      <c r="C17" s="753"/>
      <c r="D17" s="754">
        <f>E17-C17</f>
        <v>0</v>
      </c>
      <c r="E17" s="755"/>
      <c r="F17" s="753">
        <v>0</v>
      </c>
      <c r="G17" s="754">
        <v>32946</v>
      </c>
      <c r="H17" s="756">
        <f>F17+G17</f>
        <v>32946</v>
      </c>
      <c r="I17" s="753">
        <v>0</v>
      </c>
      <c r="J17" s="754">
        <v>310748</v>
      </c>
      <c r="K17" s="757">
        <f>SUM(I17:J17)</f>
        <v>310748</v>
      </c>
      <c r="L17" s="758">
        <v>2904</v>
      </c>
      <c r="M17" s="759">
        <v>395772</v>
      </c>
      <c r="N17" s="760">
        <f t="shared" si="3"/>
        <v>398676</v>
      </c>
      <c r="O17" s="761">
        <v>242</v>
      </c>
      <c r="P17" s="762">
        <v>32981</v>
      </c>
      <c r="Q17" s="763">
        <f aca="true" t="shared" si="10" ref="Q17:Q26">SUM(O17:P17)</f>
        <v>33223</v>
      </c>
      <c r="R17" s="761">
        <f>O17*12</f>
        <v>2904</v>
      </c>
      <c r="S17" s="762">
        <f>P17*12</f>
        <v>395772</v>
      </c>
      <c r="T17" s="763">
        <f aca="true" t="shared" si="11" ref="T17:T26">SUM(R17:S17)</f>
        <v>398676</v>
      </c>
      <c r="V17" s="764">
        <v>3</v>
      </c>
      <c r="W17" s="765">
        <v>396</v>
      </c>
      <c r="X17" s="766">
        <f t="shared" si="8"/>
        <v>399</v>
      </c>
      <c r="Y17" s="764">
        <v>3</v>
      </c>
      <c r="Z17" s="767">
        <v>396</v>
      </c>
      <c r="AA17" s="766">
        <f t="shared" si="9"/>
        <v>399</v>
      </c>
    </row>
    <row r="18" spans="1:27" ht="15" customHeight="1">
      <c r="A18" s="751">
        <v>84</v>
      </c>
      <c r="B18" s="752" t="s">
        <v>202</v>
      </c>
      <c r="C18" s="753"/>
      <c r="D18" s="754">
        <f>E18-C18</f>
        <v>0</v>
      </c>
      <c r="E18" s="755"/>
      <c r="F18" s="753">
        <v>19379</v>
      </c>
      <c r="G18" s="754">
        <v>2494</v>
      </c>
      <c r="H18" s="756">
        <f>F18+G18</f>
        <v>21873</v>
      </c>
      <c r="I18" s="753">
        <v>133848</v>
      </c>
      <c r="J18" s="754">
        <v>34816</v>
      </c>
      <c r="K18" s="757">
        <f>SUM(I18:J18)</f>
        <v>168664</v>
      </c>
      <c r="L18" s="758">
        <v>314953.13</v>
      </c>
      <c r="M18" s="759">
        <v>64120.87</v>
      </c>
      <c r="N18" s="760">
        <f t="shared" si="3"/>
        <v>379074</v>
      </c>
      <c r="O18" s="761">
        <v>28606</v>
      </c>
      <c r="P18" s="762">
        <v>12304</v>
      </c>
      <c r="Q18" s="763">
        <f t="shared" si="10"/>
        <v>40910</v>
      </c>
      <c r="R18" s="761">
        <f>O18*12</f>
        <v>343272</v>
      </c>
      <c r="S18" s="762">
        <f>P18*12</f>
        <v>147648</v>
      </c>
      <c r="T18" s="763">
        <f t="shared" si="11"/>
        <v>490920</v>
      </c>
      <c r="V18" s="764">
        <v>315</v>
      </c>
      <c r="W18" s="765">
        <v>64</v>
      </c>
      <c r="X18" s="766">
        <f t="shared" si="8"/>
        <v>379</v>
      </c>
      <c r="Y18" s="764">
        <v>315</v>
      </c>
      <c r="Z18" s="767">
        <v>64</v>
      </c>
      <c r="AA18" s="766">
        <f t="shared" si="9"/>
        <v>379</v>
      </c>
    </row>
    <row r="19" spans="1:27" ht="15" customHeight="1">
      <c r="A19" s="751">
        <v>85</v>
      </c>
      <c r="B19" s="752" t="s">
        <v>324</v>
      </c>
      <c r="C19" s="753"/>
      <c r="D19" s="754"/>
      <c r="E19" s="755"/>
      <c r="F19" s="753"/>
      <c r="G19" s="754"/>
      <c r="H19" s="756"/>
      <c r="I19" s="753"/>
      <c r="J19" s="754"/>
      <c r="K19" s="757"/>
      <c r="L19" s="794">
        <v>190235</v>
      </c>
      <c r="M19" s="795">
        <v>63885.2</v>
      </c>
      <c r="N19" s="760">
        <f t="shared" si="3"/>
        <v>254120.2</v>
      </c>
      <c r="O19" s="761">
        <v>38047</v>
      </c>
      <c r="P19" s="762">
        <v>12141</v>
      </c>
      <c r="Q19" s="763">
        <f t="shared" si="10"/>
        <v>50188</v>
      </c>
      <c r="R19" s="796">
        <f>O19*5</f>
        <v>190235</v>
      </c>
      <c r="S19" s="797">
        <f>P19*5</f>
        <v>60705</v>
      </c>
      <c r="T19" s="763">
        <f t="shared" si="11"/>
        <v>250940</v>
      </c>
      <c r="V19" s="798">
        <v>456</v>
      </c>
      <c r="W19" s="799">
        <v>153</v>
      </c>
      <c r="X19" s="800">
        <f t="shared" si="8"/>
        <v>609</v>
      </c>
      <c r="Y19" s="798"/>
      <c r="Z19" s="801"/>
      <c r="AA19" s="800">
        <f t="shared" si="9"/>
        <v>0</v>
      </c>
    </row>
    <row r="20" spans="1:27" ht="15" customHeight="1" hidden="1">
      <c r="A20" s="751">
        <v>91</v>
      </c>
      <c r="B20" s="752" t="s">
        <v>203</v>
      </c>
      <c r="C20" s="753">
        <v>461288</v>
      </c>
      <c r="D20" s="754">
        <f aca="true" t="shared" si="12" ref="D20:D25">E20-C20</f>
        <v>565497</v>
      </c>
      <c r="E20" s="755">
        <v>1026785</v>
      </c>
      <c r="F20" s="753">
        <v>0</v>
      </c>
      <c r="G20" s="754">
        <v>0</v>
      </c>
      <c r="H20" s="756">
        <f aca="true" t="shared" si="13" ref="H20:H25">F20+G20</f>
        <v>0</v>
      </c>
      <c r="I20" s="753">
        <v>314428</v>
      </c>
      <c r="J20" s="754">
        <v>481767</v>
      </c>
      <c r="K20" s="757">
        <f aca="true" t="shared" si="14" ref="K20:K26">SUM(I20:J20)</f>
        <v>796195</v>
      </c>
      <c r="L20" s="758"/>
      <c r="M20" s="759"/>
      <c r="N20" s="760">
        <f t="shared" si="3"/>
        <v>0</v>
      </c>
      <c r="O20" s="761"/>
      <c r="P20" s="762"/>
      <c r="Q20" s="763">
        <f t="shared" si="10"/>
        <v>0</v>
      </c>
      <c r="R20" s="761">
        <f aca="true" t="shared" si="15" ref="R20:S25">O20*12</f>
        <v>0</v>
      </c>
      <c r="S20" s="762">
        <f t="shared" si="15"/>
        <v>0</v>
      </c>
      <c r="T20" s="763">
        <f t="shared" si="11"/>
        <v>0</v>
      </c>
      <c r="V20" s="764">
        <v>0</v>
      </c>
      <c r="W20" s="765">
        <v>0</v>
      </c>
      <c r="X20" s="766">
        <f t="shared" si="8"/>
        <v>0</v>
      </c>
      <c r="Y20" s="764">
        <v>0</v>
      </c>
      <c r="Z20" s="767">
        <v>0</v>
      </c>
      <c r="AA20" s="766">
        <f t="shared" si="9"/>
        <v>0</v>
      </c>
    </row>
    <row r="21" spans="1:27" ht="15" customHeight="1">
      <c r="A21" s="751">
        <v>92</v>
      </c>
      <c r="B21" s="752" t="s">
        <v>23</v>
      </c>
      <c r="C21" s="753">
        <v>7774427.94</v>
      </c>
      <c r="D21" s="754">
        <f t="shared" si="12"/>
        <v>21545393.54</v>
      </c>
      <c r="E21" s="755">
        <v>29319821.48</v>
      </c>
      <c r="F21" s="753">
        <v>1283439</v>
      </c>
      <c r="G21" s="754">
        <v>1681826</v>
      </c>
      <c r="H21" s="756">
        <f t="shared" si="13"/>
        <v>2965265</v>
      </c>
      <c r="I21" s="753">
        <v>10861976.83</v>
      </c>
      <c r="J21" s="754">
        <v>21354798.38</v>
      </c>
      <c r="K21" s="757">
        <f t="shared" si="14"/>
        <v>32216775.21</v>
      </c>
      <c r="L21" s="758">
        <v>15789139.54</v>
      </c>
      <c r="M21" s="759">
        <v>19690114.11</v>
      </c>
      <c r="N21" s="760">
        <f t="shared" si="3"/>
        <v>35479253.65</v>
      </c>
      <c r="O21" s="761">
        <f>1230051+104679</f>
        <v>1334730</v>
      </c>
      <c r="P21" s="762">
        <f>65115+1592719</f>
        <v>1657834</v>
      </c>
      <c r="Q21" s="763">
        <f t="shared" si="10"/>
        <v>2992564</v>
      </c>
      <c r="R21" s="761">
        <f t="shared" si="15"/>
        <v>16016760</v>
      </c>
      <c r="S21" s="762">
        <f t="shared" si="15"/>
        <v>19894008</v>
      </c>
      <c r="T21" s="763">
        <f t="shared" si="11"/>
        <v>35910768</v>
      </c>
      <c r="V21" s="764">
        <v>15789</v>
      </c>
      <c r="W21" s="765">
        <v>19690</v>
      </c>
      <c r="X21" s="766">
        <f t="shared" si="8"/>
        <v>35479</v>
      </c>
      <c r="Y21" s="764">
        <v>15789</v>
      </c>
      <c r="Z21" s="767">
        <v>19690</v>
      </c>
      <c r="AA21" s="766">
        <f t="shared" si="9"/>
        <v>35479</v>
      </c>
    </row>
    <row r="22" spans="1:27" ht="15" customHeight="1">
      <c r="A22" s="751">
        <v>94</v>
      </c>
      <c r="B22" s="752" t="s">
        <v>325</v>
      </c>
      <c r="C22" s="753">
        <v>89893</v>
      </c>
      <c r="D22" s="754">
        <f t="shared" si="12"/>
        <v>414345</v>
      </c>
      <c r="E22" s="755">
        <v>504238</v>
      </c>
      <c r="F22" s="753">
        <v>6911</v>
      </c>
      <c r="G22" s="754">
        <v>30236</v>
      </c>
      <c r="H22" s="756">
        <f t="shared" si="13"/>
        <v>37147</v>
      </c>
      <c r="I22" s="753">
        <v>82938</v>
      </c>
      <c r="J22" s="754">
        <v>472896</v>
      </c>
      <c r="K22" s="757">
        <f t="shared" si="14"/>
        <v>555834</v>
      </c>
      <c r="L22" s="758">
        <v>44992</v>
      </c>
      <c r="M22" s="759">
        <v>393594.1</v>
      </c>
      <c r="N22" s="760">
        <f t="shared" si="3"/>
        <v>438586.1</v>
      </c>
      <c r="O22" s="761">
        <v>1491</v>
      </c>
      <c r="P22" s="762">
        <v>21902</v>
      </c>
      <c r="Q22" s="763">
        <f t="shared" si="10"/>
        <v>23393</v>
      </c>
      <c r="R22" s="761">
        <f t="shared" si="15"/>
        <v>17892</v>
      </c>
      <c r="S22" s="762">
        <f t="shared" si="15"/>
        <v>262824</v>
      </c>
      <c r="T22" s="763">
        <f t="shared" si="11"/>
        <v>280716</v>
      </c>
      <c r="V22" s="764">
        <v>45</v>
      </c>
      <c r="W22" s="765">
        <v>393</v>
      </c>
      <c r="X22" s="766">
        <f t="shared" si="8"/>
        <v>438</v>
      </c>
      <c r="Y22" s="764"/>
      <c r="Z22" s="767"/>
      <c r="AA22" s="766">
        <f t="shared" si="9"/>
        <v>0</v>
      </c>
    </row>
    <row r="23" spans="1:27" ht="15" customHeight="1">
      <c r="A23" s="751">
        <v>96</v>
      </c>
      <c r="B23" s="752" t="s">
        <v>53</v>
      </c>
      <c r="C23" s="753"/>
      <c r="D23" s="754">
        <f t="shared" si="12"/>
        <v>60268</v>
      </c>
      <c r="E23" s="755">
        <v>60268</v>
      </c>
      <c r="F23" s="753">
        <v>0</v>
      </c>
      <c r="G23" s="754">
        <v>3510</v>
      </c>
      <c r="H23" s="756">
        <f t="shared" si="13"/>
        <v>3510</v>
      </c>
      <c r="I23" s="753">
        <v>0</v>
      </c>
      <c r="J23" s="754">
        <v>46158</v>
      </c>
      <c r="K23" s="757">
        <f t="shared" si="14"/>
        <v>46158</v>
      </c>
      <c r="L23" s="758">
        <v>1328</v>
      </c>
      <c r="M23" s="759">
        <v>57906.65</v>
      </c>
      <c r="N23" s="760">
        <f t="shared" si="3"/>
        <v>59234.65</v>
      </c>
      <c r="O23" s="761">
        <v>0</v>
      </c>
      <c r="P23" s="762">
        <v>3508</v>
      </c>
      <c r="Q23" s="763">
        <f t="shared" si="10"/>
        <v>3508</v>
      </c>
      <c r="R23" s="761">
        <f t="shared" si="15"/>
        <v>0</v>
      </c>
      <c r="S23" s="762">
        <f t="shared" si="15"/>
        <v>42096</v>
      </c>
      <c r="T23" s="763">
        <f t="shared" si="11"/>
        <v>42096</v>
      </c>
      <c r="V23" s="764">
        <v>1</v>
      </c>
      <c r="W23" s="765">
        <v>58</v>
      </c>
      <c r="X23" s="766">
        <f t="shared" si="8"/>
        <v>59</v>
      </c>
      <c r="Y23" s="764">
        <v>1</v>
      </c>
      <c r="Z23" s="767">
        <v>58</v>
      </c>
      <c r="AA23" s="766">
        <f t="shared" si="9"/>
        <v>59</v>
      </c>
    </row>
    <row r="24" spans="1:27" ht="15" customHeight="1">
      <c r="A24" s="751">
        <v>97</v>
      </c>
      <c r="B24" s="752" t="s">
        <v>54</v>
      </c>
      <c r="C24" s="753">
        <v>4115</v>
      </c>
      <c r="D24" s="754">
        <f t="shared" si="12"/>
        <v>63389</v>
      </c>
      <c r="E24" s="755">
        <v>67504</v>
      </c>
      <c r="F24" s="753">
        <v>823</v>
      </c>
      <c r="G24" s="754">
        <v>5347</v>
      </c>
      <c r="H24" s="756">
        <f t="shared" si="13"/>
        <v>6170</v>
      </c>
      <c r="I24" s="753">
        <v>9876</v>
      </c>
      <c r="J24" s="754">
        <v>64202</v>
      </c>
      <c r="K24" s="757">
        <f t="shared" si="14"/>
        <v>74078</v>
      </c>
      <c r="L24" s="758">
        <v>9876</v>
      </c>
      <c r="M24" s="759">
        <v>70667</v>
      </c>
      <c r="N24" s="760">
        <f t="shared" si="3"/>
        <v>80543</v>
      </c>
      <c r="O24" s="761">
        <v>823</v>
      </c>
      <c r="P24" s="762">
        <v>6036</v>
      </c>
      <c r="Q24" s="763">
        <f t="shared" si="10"/>
        <v>6859</v>
      </c>
      <c r="R24" s="761">
        <f t="shared" si="15"/>
        <v>9876</v>
      </c>
      <c r="S24" s="762">
        <f t="shared" si="15"/>
        <v>72432</v>
      </c>
      <c r="T24" s="763">
        <f t="shared" si="11"/>
        <v>82308</v>
      </c>
      <c r="V24" s="764">
        <v>10</v>
      </c>
      <c r="W24" s="765">
        <v>71</v>
      </c>
      <c r="X24" s="766">
        <f t="shared" si="8"/>
        <v>81</v>
      </c>
      <c r="Y24" s="764">
        <v>10</v>
      </c>
      <c r="Z24" s="767">
        <v>71</v>
      </c>
      <c r="AA24" s="766">
        <f t="shared" si="9"/>
        <v>81</v>
      </c>
    </row>
    <row r="25" spans="1:27" ht="15" customHeight="1">
      <c r="A25" s="769">
        <v>99</v>
      </c>
      <c r="B25" s="770" t="s">
        <v>24</v>
      </c>
      <c r="C25" s="771">
        <v>1970159.69</v>
      </c>
      <c r="D25" s="772">
        <f t="shared" si="12"/>
        <v>1170548.87</v>
      </c>
      <c r="E25" s="773">
        <v>3140708.56</v>
      </c>
      <c r="F25" s="771">
        <v>699155</v>
      </c>
      <c r="G25" s="772">
        <v>150608</v>
      </c>
      <c r="H25" s="774">
        <f t="shared" si="13"/>
        <v>849763</v>
      </c>
      <c r="I25" s="771">
        <v>2101761</v>
      </c>
      <c r="J25" s="772">
        <v>1457163</v>
      </c>
      <c r="K25" s="802">
        <f t="shared" si="14"/>
        <v>3558924</v>
      </c>
      <c r="L25" s="776">
        <v>2270254</v>
      </c>
      <c r="M25" s="777">
        <v>1625702.48</v>
      </c>
      <c r="N25" s="778">
        <f t="shared" si="3"/>
        <v>3895956.48</v>
      </c>
      <c r="O25" s="779">
        <v>220300</v>
      </c>
      <c r="P25" s="780">
        <v>133465</v>
      </c>
      <c r="Q25" s="803">
        <f t="shared" si="10"/>
        <v>353765</v>
      </c>
      <c r="R25" s="779">
        <f t="shared" si="15"/>
        <v>2643600</v>
      </c>
      <c r="S25" s="780">
        <f t="shared" si="15"/>
        <v>1601580</v>
      </c>
      <c r="T25" s="803">
        <f t="shared" si="11"/>
        <v>4245180</v>
      </c>
      <c r="V25" s="782">
        <v>2270</v>
      </c>
      <c r="W25" s="765">
        <v>1626</v>
      </c>
      <c r="X25" s="804">
        <f t="shared" si="8"/>
        <v>3896</v>
      </c>
      <c r="Y25" s="782">
        <v>2270</v>
      </c>
      <c r="Z25" s="767">
        <v>1626</v>
      </c>
      <c r="AA25" s="804">
        <f t="shared" si="9"/>
        <v>3896</v>
      </c>
    </row>
    <row r="26" spans="1:27" ht="11.25">
      <c r="A26" s="805" t="s">
        <v>22</v>
      </c>
      <c r="B26" s="806"/>
      <c r="C26" s="807">
        <f aca="true" t="shared" si="16" ref="C26:J26">SUM(C6:C25)</f>
        <v>95266613.02</v>
      </c>
      <c r="D26" s="808">
        <f t="shared" si="16"/>
        <v>56030717.49999999</v>
      </c>
      <c r="E26" s="809">
        <f t="shared" si="16"/>
        <v>151297330.52</v>
      </c>
      <c r="F26" s="807">
        <f t="shared" si="16"/>
        <v>9937340.5</v>
      </c>
      <c r="G26" s="808">
        <f t="shared" si="16"/>
        <v>5106637.52</v>
      </c>
      <c r="H26" s="810">
        <f t="shared" si="16"/>
        <v>15043978.02</v>
      </c>
      <c r="I26" s="807">
        <f t="shared" si="16"/>
        <v>100201308.47000001</v>
      </c>
      <c r="J26" s="808">
        <f t="shared" si="16"/>
        <v>62926804.56</v>
      </c>
      <c r="K26" s="811">
        <f t="shared" si="14"/>
        <v>163128113.03000003</v>
      </c>
      <c r="L26" s="812">
        <f>SUM(L6:L25)</f>
        <v>142498938.65</v>
      </c>
      <c r="M26" s="813">
        <f>SUM(M6:M25)</f>
        <v>68890122.92</v>
      </c>
      <c r="N26" s="814">
        <f>SUM(N6:N25)</f>
        <v>211389061.57</v>
      </c>
      <c r="O26" s="815">
        <f>SUM(O6:O25)</f>
        <v>12341226.65</v>
      </c>
      <c r="P26" s="816">
        <f>SUM(P6:P25)</f>
        <v>5827979.850000001</v>
      </c>
      <c r="Q26" s="811">
        <f t="shared" si="10"/>
        <v>18169206.5</v>
      </c>
      <c r="R26" s="815">
        <f>SUM(R6:R25)</f>
        <v>147828390.8</v>
      </c>
      <c r="S26" s="816">
        <f>SUM(S6:S25)</f>
        <v>68431122.19999999</v>
      </c>
      <c r="T26" s="811">
        <f t="shared" si="11"/>
        <v>216259513</v>
      </c>
      <c r="V26" s="817">
        <f>SUM(V6:V25)</f>
        <v>142766</v>
      </c>
      <c r="W26" s="818">
        <f>SUM(W6:W25)</f>
        <v>68978</v>
      </c>
      <c r="X26" s="819">
        <f t="shared" si="8"/>
        <v>211744</v>
      </c>
      <c r="Y26" s="817">
        <f>SUM(Y6:Y25)</f>
        <v>122437</v>
      </c>
      <c r="Z26" s="820">
        <f>SUM(Z6:Z25)</f>
        <v>63053</v>
      </c>
      <c r="AA26" s="819">
        <f t="shared" si="9"/>
        <v>185490</v>
      </c>
    </row>
    <row r="27" spans="1:27" ht="11.25">
      <c r="A27" s="821" t="s">
        <v>326</v>
      </c>
      <c r="B27" s="822"/>
      <c r="C27" s="823">
        <f aca="true" t="shared" si="17" ref="C27:T27">SUM(C6:C14)</f>
        <v>79517147.39</v>
      </c>
      <c r="D27" s="754">
        <f t="shared" si="17"/>
        <v>25314965.389999997</v>
      </c>
      <c r="E27" s="824">
        <f t="shared" si="17"/>
        <v>104832112.78</v>
      </c>
      <c r="F27" s="823">
        <f t="shared" si="17"/>
        <v>7472895.5</v>
      </c>
      <c r="G27" s="754">
        <f t="shared" si="17"/>
        <v>2879437.81</v>
      </c>
      <c r="H27" s="825">
        <f t="shared" si="17"/>
        <v>10352333.309999999</v>
      </c>
      <c r="I27" s="823">
        <f t="shared" si="17"/>
        <v>81670377.64000002</v>
      </c>
      <c r="J27" s="754">
        <f t="shared" si="17"/>
        <v>33458867.47</v>
      </c>
      <c r="K27" s="824">
        <f t="shared" si="17"/>
        <v>115129245.11000001</v>
      </c>
      <c r="L27" s="823">
        <f t="shared" si="17"/>
        <v>104047687.19000001</v>
      </c>
      <c r="M27" s="754">
        <f t="shared" si="17"/>
        <v>41149164.4</v>
      </c>
      <c r="N27" s="824">
        <f t="shared" si="17"/>
        <v>145196851.59</v>
      </c>
      <c r="O27" s="826">
        <f t="shared" si="17"/>
        <v>9052849.65</v>
      </c>
      <c r="P27" s="827">
        <f t="shared" si="17"/>
        <v>3312621.0100000007</v>
      </c>
      <c r="Q27" s="825">
        <f t="shared" si="17"/>
        <v>12365470.66</v>
      </c>
      <c r="R27" s="826">
        <f t="shared" si="17"/>
        <v>108634195.8</v>
      </c>
      <c r="S27" s="827">
        <f t="shared" si="17"/>
        <v>39751452.12</v>
      </c>
      <c r="T27" s="825">
        <f t="shared" si="17"/>
        <v>148385647.92</v>
      </c>
      <c r="V27" s="828">
        <f aca="true" t="shared" si="18" ref="V27:AA27">SUM(V6:V14)</f>
        <v>104049</v>
      </c>
      <c r="W27" s="765">
        <f t="shared" si="18"/>
        <v>41148</v>
      </c>
      <c r="X27" s="829">
        <f t="shared" si="18"/>
        <v>145197</v>
      </c>
      <c r="Y27" s="828">
        <f t="shared" si="18"/>
        <v>104049</v>
      </c>
      <c r="Z27" s="767">
        <f t="shared" si="18"/>
        <v>41148</v>
      </c>
      <c r="AA27" s="829">
        <f t="shared" si="18"/>
        <v>145197</v>
      </c>
    </row>
    <row r="28" spans="1:27" ht="12" thickBot="1">
      <c r="A28" s="830" t="s">
        <v>27</v>
      </c>
      <c r="B28" s="831"/>
      <c r="C28" s="832">
        <f aca="true" t="shared" si="19" ref="C28:T28">SUM(C15:C25)</f>
        <v>15749465.63</v>
      </c>
      <c r="D28" s="833">
        <f t="shared" si="19"/>
        <v>30715752.11</v>
      </c>
      <c r="E28" s="834">
        <f t="shared" si="19"/>
        <v>46465217.74</v>
      </c>
      <c r="F28" s="832">
        <f t="shared" si="19"/>
        <v>2464445</v>
      </c>
      <c r="G28" s="833">
        <f t="shared" si="19"/>
        <v>2227199.71</v>
      </c>
      <c r="H28" s="834">
        <f t="shared" si="19"/>
        <v>4691644.71</v>
      </c>
      <c r="I28" s="832">
        <f t="shared" si="19"/>
        <v>18530930.83</v>
      </c>
      <c r="J28" s="833">
        <f t="shared" si="19"/>
        <v>29467937.09</v>
      </c>
      <c r="K28" s="834">
        <f t="shared" si="19"/>
        <v>47998867.92</v>
      </c>
      <c r="L28" s="835">
        <f t="shared" si="19"/>
        <v>38451251.45999999</v>
      </c>
      <c r="M28" s="836">
        <f t="shared" si="19"/>
        <v>27740958.52</v>
      </c>
      <c r="N28" s="837">
        <f t="shared" si="19"/>
        <v>66192209.98</v>
      </c>
      <c r="O28" s="832">
        <f t="shared" si="19"/>
        <v>3288377</v>
      </c>
      <c r="P28" s="833">
        <f t="shared" si="19"/>
        <v>2515358.84</v>
      </c>
      <c r="Q28" s="834">
        <f t="shared" si="19"/>
        <v>4365370.84</v>
      </c>
      <c r="R28" s="832">
        <f t="shared" si="19"/>
        <v>39194195</v>
      </c>
      <c r="S28" s="833">
        <f t="shared" si="19"/>
        <v>28679670.08</v>
      </c>
      <c r="T28" s="834">
        <f t="shared" si="19"/>
        <v>52033134.08</v>
      </c>
      <c r="V28" s="838">
        <f aca="true" t="shared" si="20" ref="V28:AA28">SUM(V15:V25)</f>
        <v>38717</v>
      </c>
      <c r="W28" s="839">
        <f t="shared" si="20"/>
        <v>27830</v>
      </c>
      <c r="X28" s="840">
        <f t="shared" si="20"/>
        <v>66547</v>
      </c>
      <c r="Y28" s="838">
        <f t="shared" si="20"/>
        <v>18388</v>
      </c>
      <c r="Z28" s="841">
        <f t="shared" si="20"/>
        <v>21905</v>
      </c>
      <c r="AA28" s="840">
        <f t="shared" si="20"/>
        <v>40293</v>
      </c>
    </row>
    <row r="29" spans="3:27" ht="11.25" customHeight="1" hidden="1">
      <c r="C29" s="842">
        <f aca="true" t="shared" si="21" ref="C29:E31">C26/$E$26*100</f>
        <v>62.96648638318618</v>
      </c>
      <c r="D29" s="842">
        <f t="shared" si="21"/>
        <v>37.033513616813806</v>
      </c>
      <c r="E29" s="842">
        <f t="shared" si="21"/>
        <v>100</v>
      </c>
      <c r="F29" s="842"/>
      <c r="G29" s="842"/>
      <c r="H29" s="842"/>
      <c r="I29" s="843" t="s">
        <v>327</v>
      </c>
      <c r="J29" s="844">
        <v>62918640.55</v>
      </c>
      <c r="L29" s="845">
        <f aca="true" t="shared" si="22" ref="L29:N31">L26/$N$26*100</f>
        <v>67.41074376869425</v>
      </c>
      <c r="M29" s="845">
        <f t="shared" si="22"/>
        <v>32.58925623130576</v>
      </c>
      <c r="N29" s="845">
        <f t="shared" si="22"/>
        <v>100</v>
      </c>
      <c r="V29" s="846">
        <f aca="true" t="shared" si="23" ref="V29:V34">V26/X26*100</f>
        <v>67.4238703339882</v>
      </c>
      <c r="W29" s="846">
        <f aca="true" t="shared" si="24" ref="W29:W34">W26/X26*100</f>
        <v>32.57612966601179</v>
      </c>
      <c r="X29" s="846">
        <f aca="true" t="shared" si="25" ref="X29:X34">V29+W29</f>
        <v>100</v>
      </c>
      <c r="Y29" s="846">
        <f aca="true" t="shared" si="26" ref="Y29:Y34">Y26/AA26*100</f>
        <v>66.00733193164052</v>
      </c>
      <c r="Z29" s="846">
        <f aca="true" t="shared" si="27" ref="Z29:Z34">Z26/AA26*100</f>
        <v>33.992668068359485</v>
      </c>
      <c r="AA29" s="846">
        <f aca="true" t="shared" si="28" ref="AA29:AA34">Y29+Z29</f>
        <v>100</v>
      </c>
    </row>
    <row r="30" spans="3:27" ht="11.25" customHeight="1" hidden="1">
      <c r="C30" s="842">
        <f t="shared" si="21"/>
        <v>52.55687401536051</v>
      </c>
      <c r="D30" s="842">
        <f t="shared" si="21"/>
        <v>16.7319312925046</v>
      </c>
      <c r="E30" s="842">
        <f t="shared" si="21"/>
        <v>69.28880530786512</v>
      </c>
      <c r="F30" s="842"/>
      <c r="G30" s="842"/>
      <c r="H30" s="842"/>
      <c r="I30" s="843" t="s">
        <v>328</v>
      </c>
      <c r="J30" s="844">
        <f>J29-J26</f>
        <v>-8164.010000005364</v>
      </c>
      <c r="L30" s="845">
        <f t="shared" si="22"/>
        <v>49.220941905523034</v>
      </c>
      <c r="M30" s="845">
        <f t="shared" si="22"/>
        <v>19.466080266586424</v>
      </c>
      <c r="N30" s="845">
        <f t="shared" si="22"/>
        <v>68.68702217210945</v>
      </c>
      <c r="V30" s="846">
        <f t="shared" si="23"/>
        <v>71.66057149941113</v>
      </c>
      <c r="W30" s="846">
        <f t="shared" si="24"/>
        <v>28.339428500588852</v>
      </c>
      <c r="X30" s="846">
        <f t="shared" si="25"/>
        <v>99.99999999999999</v>
      </c>
      <c r="Y30" s="846">
        <f t="shared" si="26"/>
        <v>71.66057149941113</v>
      </c>
      <c r="Z30" s="846">
        <f t="shared" si="27"/>
        <v>28.339428500588852</v>
      </c>
      <c r="AA30" s="846">
        <f t="shared" si="28"/>
        <v>99.99999999999999</v>
      </c>
    </row>
    <row r="31" spans="3:27" ht="11.25" customHeight="1" hidden="1">
      <c r="C31" s="842">
        <f t="shared" si="21"/>
        <v>10.409612367825668</v>
      </c>
      <c r="D31" s="842">
        <f t="shared" si="21"/>
        <v>20.301582324309205</v>
      </c>
      <c r="E31" s="842">
        <f t="shared" si="21"/>
        <v>30.711194692134875</v>
      </c>
      <c r="F31" s="842"/>
      <c r="G31" s="842"/>
      <c r="H31" s="842"/>
      <c r="I31" s="847"/>
      <c r="J31" s="847"/>
      <c r="K31" s="847"/>
      <c r="L31" s="845">
        <f t="shared" si="22"/>
        <v>18.18980186317121</v>
      </c>
      <c r="M31" s="845">
        <f t="shared" si="22"/>
        <v>13.123175964719335</v>
      </c>
      <c r="N31" s="845">
        <f t="shared" si="22"/>
        <v>31.31297782789055</v>
      </c>
      <c r="V31" s="846">
        <f t="shared" si="23"/>
        <v>58.179932979698556</v>
      </c>
      <c r="W31" s="846">
        <f t="shared" si="24"/>
        <v>41.820067020301444</v>
      </c>
      <c r="X31" s="846">
        <f t="shared" si="25"/>
        <v>100</v>
      </c>
      <c r="Y31" s="846">
        <f t="shared" si="26"/>
        <v>45.63571836299109</v>
      </c>
      <c r="Z31" s="846">
        <f t="shared" si="27"/>
        <v>54.3642816370089</v>
      </c>
      <c r="AA31" s="846">
        <f t="shared" si="28"/>
        <v>100</v>
      </c>
    </row>
    <row r="32" spans="9:27" ht="11.25">
      <c r="I32" s="847"/>
      <c r="J32" s="847"/>
      <c r="K32" s="847"/>
      <c r="L32" s="848"/>
      <c r="M32" s="848"/>
      <c r="N32" s="848"/>
      <c r="V32" s="846">
        <f t="shared" si="23"/>
        <v>67.4238703339882</v>
      </c>
      <c r="W32" s="846">
        <f t="shared" si="24"/>
        <v>32.57612966601179</v>
      </c>
      <c r="X32" s="846">
        <f t="shared" si="25"/>
        <v>100</v>
      </c>
      <c r="Y32" s="846">
        <f t="shared" si="26"/>
        <v>66.00733193164052</v>
      </c>
      <c r="Z32" s="846">
        <f t="shared" si="27"/>
        <v>33.992668068359485</v>
      </c>
      <c r="AA32" s="846">
        <f t="shared" si="28"/>
        <v>100</v>
      </c>
    </row>
    <row r="33" spans="1:27" ht="11.25">
      <c r="A33" s="849"/>
      <c r="B33" s="850"/>
      <c r="L33" s="848"/>
      <c r="M33" s="848"/>
      <c r="N33" s="848"/>
      <c r="V33" s="846">
        <f t="shared" si="23"/>
        <v>71.66057149941113</v>
      </c>
      <c r="W33" s="846">
        <f t="shared" si="24"/>
        <v>28.339428500588852</v>
      </c>
      <c r="X33" s="846">
        <f t="shared" si="25"/>
        <v>99.99999999999999</v>
      </c>
      <c r="Y33" s="846">
        <f t="shared" si="26"/>
        <v>71.66057149941113</v>
      </c>
      <c r="Z33" s="846">
        <f t="shared" si="27"/>
        <v>28.339428500588852</v>
      </c>
      <c r="AA33" s="846">
        <f t="shared" si="28"/>
        <v>99.99999999999999</v>
      </c>
    </row>
    <row r="34" spans="12:27" ht="11.25">
      <c r="L34" s="848"/>
      <c r="M34" s="848"/>
      <c r="N34" s="848"/>
      <c r="V34" s="846">
        <f t="shared" si="23"/>
        <v>58.179932979698556</v>
      </c>
      <c r="W34" s="846">
        <f t="shared" si="24"/>
        <v>41.820067020301444</v>
      </c>
      <c r="X34" s="846">
        <f t="shared" si="25"/>
        <v>100</v>
      </c>
      <c r="Y34" s="846">
        <f t="shared" si="26"/>
        <v>45.63571836299109</v>
      </c>
      <c r="Z34" s="846">
        <f t="shared" si="27"/>
        <v>54.3642816370089</v>
      </c>
      <c r="AA34" s="846">
        <f t="shared" si="28"/>
        <v>100</v>
      </c>
    </row>
    <row r="35" spans="1:8" s="733" customFormat="1" ht="11.25">
      <c r="A35" s="733" t="s">
        <v>329</v>
      </c>
      <c r="B35" s="851"/>
      <c r="C35" s="852"/>
      <c r="D35" s="852"/>
      <c r="E35" s="852"/>
      <c r="F35" s="852"/>
      <c r="G35" s="852"/>
      <c r="H35" s="852"/>
    </row>
    <row r="36" spans="1:14" ht="11.25">
      <c r="A36" s="703"/>
      <c r="L36" s="848"/>
      <c r="M36" s="848"/>
      <c r="N36" s="848"/>
    </row>
    <row r="37" spans="12:14" ht="11.25">
      <c r="L37" s="848"/>
      <c r="M37" s="848"/>
      <c r="N37" s="848"/>
    </row>
    <row r="39" ht="11.25">
      <c r="A39" s="704" t="s">
        <v>330</v>
      </c>
    </row>
    <row r="40" ht="11.25">
      <c r="A40" s="704" t="s">
        <v>331</v>
      </c>
    </row>
  </sheetData>
  <mergeCells count="10">
    <mergeCell ref="V3:X3"/>
    <mergeCell ref="Y3:AA3"/>
    <mergeCell ref="V2:X2"/>
    <mergeCell ref="Y2:AA2"/>
    <mergeCell ref="O3:Q3"/>
    <mergeCell ref="R3:T3"/>
    <mergeCell ref="C3:E3"/>
    <mergeCell ref="F3:H3"/>
    <mergeCell ref="I3:K3"/>
    <mergeCell ref="L3:N3"/>
  </mergeCells>
  <printOptions/>
  <pageMargins left="0.41" right="0.32" top="0.64" bottom="0.57" header="0.4921259845" footer="0.4921259845"/>
  <pageSetup horizontalDpi="600" verticalDpi="600" orientation="portrait" paperSize="9" scale="90" r:id="rId1"/>
  <headerFooter alignWithMargins="0">
    <oddHeader>&amp;RPříloha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Foukalova</dc:creator>
  <cp:keywords/>
  <dc:description/>
  <cp:lastModifiedBy>Janicek</cp:lastModifiedBy>
  <cp:lastPrinted>2007-02-06T15:14:50Z</cp:lastPrinted>
  <dcterms:created xsi:type="dcterms:W3CDTF">2002-02-05T08:08:05Z</dcterms:created>
  <dcterms:modified xsi:type="dcterms:W3CDTF">2007-03-11T22:38:00Z</dcterms:modified>
  <cp:category/>
  <cp:version/>
  <cp:contentType/>
  <cp:contentStatus/>
</cp:coreProperties>
</file>