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65491" windowWidth="15660" windowHeight="12120" tabRatio="599" activeTab="6"/>
  </bookViews>
  <sheets>
    <sheet name="str1-3" sheetId="1" r:id="rId1"/>
    <sheet name="str4" sheetId="2" r:id="rId2"/>
    <sheet name="od str 5" sheetId="3" r:id="rId3"/>
    <sheet name="příl.1-CP" sheetId="4" r:id="rId4"/>
    <sheet name="příl.2-osnova rozp." sheetId="5" r:id="rId5"/>
    <sheet name="příl.3-opravy" sheetId="6" r:id="rId6"/>
    <sheet name="příl.4-odhad odpisu08" sheetId="7" r:id="rId7"/>
  </sheets>
  <definedNames>
    <definedName name="_xlnm.Print_Titles" localSheetId="6">'příl.4-odhad odpisu08'!$A:$B</definedName>
    <definedName name="_xlnm.Print_Area" localSheetId="1">'str4'!$A$1:$Y$42</definedName>
  </definedNames>
  <calcPr fullCalcOnLoad="1"/>
</workbook>
</file>

<file path=xl/sharedStrings.xml><?xml version="1.0" encoding="utf-8"?>
<sst xmlns="http://schemas.openxmlformats.org/spreadsheetml/2006/main" count="788" uniqueCount="504">
  <si>
    <t xml:space="preserve">   vklad NEI pro Program</t>
  </si>
  <si>
    <t>Příspěvek 2. Plán rozdělení prostředků na celouniverzitní aktivity a režijní pracoviště</t>
  </si>
  <si>
    <t>Příspěvek celkem</t>
  </si>
  <si>
    <t>Příspěvek 2. Celkem</t>
  </si>
  <si>
    <t>SUKB</t>
  </si>
  <si>
    <t>(v tis.Kč)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</si>
  <si>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</si>
  <si>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</si>
  <si>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</si>
  <si>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</si>
  <si>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</si>
  <si>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</si>
  <si>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</si>
  <si>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</si>
  <si>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</si>
  <si>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</si>
  <si>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</si>
  <si>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</si>
  <si>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</si>
  <si>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</si>
  <si>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MU</t>
  </si>
  <si>
    <t>celkem</t>
  </si>
  <si>
    <t>ÚVT</t>
  </si>
  <si>
    <t>RMU</t>
  </si>
  <si>
    <t>IV. Přínos fakult celkem</t>
  </si>
  <si>
    <t>vzděl.č.</t>
  </si>
  <si>
    <t>ostatní</t>
  </si>
  <si>
    <t>váha kritéria</t>
  </si>
  <si>
    <t>Přínos</t>
  </si>
  <si>
    <t>na studijní</t>
  </si>
  <si>
    <t>programy</t>
  </si>
  <si>
    <t>obory</t>
  </si>
  <si>
    <t>na</t>
  </si>
  <si>
    <t>kredity</t>
  </si>
  <si>
    <t>V. Financování celouniverzitních aktivit a režijních pracovišť</t>
  </si>
  <si>
    <t>H</t>
  </si>
  <si>
    <t>a</t>
  </si>
  <si>
    <t>D</t>
  </si>
  <si>
    <t>přep.</t>
  </si>
  <si>
    <t>podíl</t>
  </si>
  <si>
    <t>přínos</t>
  </si>
  <si>
    <t>počet</t>
  </si>
  <si>
    <t>plocha</t>
  </si>
  <si>
    <t>ze vzděl.</t>
  </si>
  <si>
    <t>dotace</t>
  </si>
  <si>
    <t>stud.</t>
  </si>
  <si>
    <t>zam.</t>
  </si>
  <si>
    <t>činnosti</t>
  </si>
  <si>
    <t>výzkum</t>
  </si>
  <si>
    <t>kap.</t>
  </si>
  <si>
    <t>plochy</t>
  </si>
  <si>
    <t>odpisy</t>
  </si>
  <si>
    <t>CJV</t>
  </si>
  <si>
    <t>CZS</t>
  </si>
  <si>
    <t>plán</t>
  </si>
  <si>
    <t>č.</t>
  </si>
  <si>
    <t>akce</t>
  </si>
  <si>
    <t>velká údržba</t>
  </si>
  <si>
    <t xml:space="preserve"> celkem účtováno přes rektorát</t>
  </si>
  <si>
    <t>is.muni.cz (inf.systém MU)</t>
  </si>
  <si>
    <t xml:space="preserve"> celkem účtováno přes FI</t>
  </si>
  <si>
    <t>81 - SKM</t>
  </si>
  <si>
    <t>96 - CJV</t>
  </si>
  <si>
    <t>97 - CZS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</si>
  <si>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</si>
  <si>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</si>
  <si>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</si>
  <si>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</si>
  <si>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</si>
  <si>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</si>
  <si>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</si>
  <si>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</si>
  <si>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</si>
  <si>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</si>
  <si>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</si>
  <si>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 xml:space="preserve">příloha 2 - 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</si>
  <si>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</si>
  <si>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</si>
  <si>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</si>
  <si>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</si>
  <si>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</si>
  <si>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</si>
  <si>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</si>
  <si>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</si>
  <si>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</si>
  <si>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</si>
  <si>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</si>
  <si>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</si>
  <si>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</si>
  <si>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</si>
  <si>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</si>
  <si>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</si>
  <si>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</si>
  <si>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</si>
  <si>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G-FRVŠ</t>
  </si>
  <si>
    <t>116*</t>
  </si>
  <si>
    <t>Ostatní dotace ze SR a od úz.celků bez VaV</t>
  </si>
  <si>
    <t>151*,161*</t>
  </si>
  <si>
    <t>Výzkumné záměry</t>
  </si>
  <si>
    <t>Projekty VaV ze SR a od úz.celků</t>
  </si>
  <si>
    <t>Doplňková činnost</t>
  </si>
  <si>
    <t>8*</t>
  </si>
  <si>
    <t>111*</t>
  </si>
  <si>
    <t>211*</t>
  </si>
  <si>
    <t>Čerpání fondů</t>
  </si>
  <si>
    <t>4*</t>
  </si>
  <si>
    <t>na vzděl.č.</t>
  </si>
  <si>
    <t>z toho vzdělávací č.</t>
  </si>
  <si>
    <t>přep.poč.</t>
  </si>
  <si>
    <t>koef.</t>
  </si>
  <si>
    <t>na V+V</t>
  </si>
  <si>
    <t>profesorů</t>
  </si>
  <si>
    <t>docentů</t>
  </si>
  <si>
    <t>ak.prac.</t>
  </si>
  <si>
    <t>abs.Mgr.</t>
  </si>
  <si>
    <t>stud.Ph.D.</t>
  </si>
  <si>
    <t>úspěš.</t>
  </si>
  <si>
    <t>tis. Kč</t>
  </si>
  <si>
    <t>CEP,CEZ</t>
  </si>
  <si>
    <t>VaV</t>
  </si>
  <si>
    <t>Ii</t>
  </si>
  <si>
    <t>P</t>
  </si>
  <si>
    <t>U</t>
  </si>
  <si>
    <t>A</t>
  </si>
  <si>
    <t>S</t>
  </si>
  <si>
    <t>Ki</t>
  </si>
  <si>
    <t>s</t>
  </si>
  <si>
    <t>c</t>
  </si>
  <si>
    <t>Qr</t>
  </si>
  <si>
    <t>Qr(vztaž)</t>
  </si>
  <si>
    <t>Qm</t>
  </si>
  <si>
    <t>Cesnet - poplatky</t>
  </si>
  <si>
    <t>dotace na</t>
  </si>
  <si>
    <t>na MU</t>
  </si>
  <si>
    <t>Podíl</t>
  </si>
  <si>
    <t>na spec.</t>
  </si>
  <si>
    <t>Celkem MU</t>
  </si>
  <si>
    <t>spec.výzk.</t>
  </si>
  <si>
    <t>spec.výzkum</t>
  </si>
  <si>
    <t>Přínos na</t>
  </si>
  <si>
    <t>specif.v</t>
  </si>
  <si>
    <t>na specif.</t>
  </si>
  <si>
    <t>odpis</t>
  </si>
  <si>
    <t>na tvorbě</t>
  </si>
  <si>
    <t>odpisů</t>
  </si>
  <si>
    <t>Ostatní</t>
  </si>
  <si>
    <t>Koeficient</t>
  </si>
  <si>
    <t>SKM</t>
  </si>
  <si>
    <t>zůstatek</t>
  </si>
  <si>
    <t>HS</t>
  </si>
  <si>
    <t>program</t>
  </si>
  <si>
    <t>94 - VMU</t>
  </si>
  <si>
    <t>Poříčí 31</t>
  </si>
  <si>
    <t xml:space="preserve">příloha 3 -  </t>
  </si>
  <si>
    <t>Podíl na</t>
  </si>
  <si>
    <t>přínosu</t>
  </si>
  <si>
    <t>na ploše</t>
  </si>
  <si>
    <t>příspěvek</t>
  </si>
  <si>
    <t>Fak. celk.</t>
  </si>
  <si>
    <t>G2004</t>
  </si>
  <si>
    <t>nedot.</t>
  </si>
  <si>
    <t>Celkem</t>
  </si>
  <si>
    <t>Odp ND</t>
  </si>
  <si>
    <t>Odp D</t>
  </si>
  <si>
    <t>Odp RS</t>
  </si>
  <si>
    <t>Vkl NEI</t>
  </si>
  <si>
    <t>RCA</t>
  </si>
  <si>
    <t>RS</t>
  </si>
  <si>
    <t>Přísp 1</t>
  </si>
  <si>
    <t>Přísp 2</t>
  </si>
  <si>
    <t>dot.</t>
  </si>
  <si>
    <t>snížené</t>
  </si>
  <si>
    <t>vklad</t>
  </si>
  <si>
    <t>rež. souč.</t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</si>
  <si>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</si>
  <si>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Schváleno v AS fakulty dne:</t>
  </si>
  <si>
    <t>Podpis:</t>
  </si>
  <si>
    <t>82 - Správa UKB</t>
  </si>
  <si>
    <t>99 - RMU</t>
  </si>
  <si>
    <t>NIV pro Program 233 330</t>
  </si>
  <si>
    <t xml:space="preserve">   Podprogram 233 333 - reko (Joštova, Kotlářská)</t>
  </si>
  <si>
    <t>CP2 Centralizované aktivity MU</t>
  </si>
  <si>
    <t xml:space="preserve">veletrh Gaudeamus </t>
  </si>
  <si>
    <t>energetický management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</si>
  <si>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</si>
  <si>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</si>
  <si>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</si>
  <si>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</si>
  <si>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>provozní náklady ILBIT - do nastěhování fakult  (4 437 tis./rok)</t>
  </si>
  <si>
    <t>xxx</t>
  </si>
  <si>
    <t xml:space="preserve"> celkem nové náklady - účtováno přes ÚVT</t>
  </si>
  <si>
    <t>součet CP1 + CP2 + CP3</t>
  </si>
  <si>
    <t>bez</t>
  </si>
  <si>
    <t>84 - SPSSN</t>
  </si>
  <si>
    <t>dotační</t>
  </si>
  <si>
    <t>nedotační</t>
  </si>
  <si>
    <t>SPSSN</t>
  </si>
  <si>
    <t>UCT</t>
  </si>
  <si>
    <t>odvod</t>
  </si>
  <si>
    <t>na rozvoj</t>
  </si>
  <si>
    <t xml:space="preserve">odvoz </t>
  </si>
  <si>
    <t>na provoz</t>
  </si>
  <si>
    <t>přinos</t>
  </si>
  <si>
    <t xml:space="preserve">přínos </t>
  </si>
  <si>
    <t>rozdělení</t>
  </si>
  <si>
    <t>83 - UCT</t>
  </si>
  <si>
    <t>poznámka</t>
  </si>
  <si>
    <r>
      <t xml:space="preserve">   financování nedotačních odpisů fakult </t>
    </r>
    <r>
      <rPr>
        <sz val="9"/>
        <rFont val="Arial CE"/>
        <family val="0"/>
      </rPr>
      <t>(odpisy majetku, který nebyl pořízen z dotace)</t>
    </r>
  </si>
  <si>
    <t xml:space="preserve">   financování nedotačních odpisů režijních pracovišť</t>
  </si>
  <si>
    <t>výměna NEI/INV</t>
  </si>
  <si>
    <t>CP2</t>
  </si>
  <si>
    <t>CP3 (RR)</t>
  </si>
  <si>
    <t>CP1</t>
  </si>
  <si>
    <t xml:space="preserve">RMU </t>
  </si>
  <si>
    <t>režijní prac.(ř.52-61)</t>
  </si>
  <si>
    <t>příspěvek 2</t>
  </si>
  <si>
    <t>přísp. 1</t>
  </si>
  <si>
    <t>přísp. 2</t>
  </si>
  <si>
    <t xml:space="preserve">pojištění zahr.cest </t>
  </si>
  <si>
    <t>Dotační odpisy MU (výměna NIV/INV na Program 233 330)</t>
  </si>
  <si>
    <t>Financování odpisů režijních součástí (nedotačních)</t>
  </si>
  <si>
    <t xml:space="preserve">91 - VPC </t>
  </si>
  <si>
    <t xml:space="preserve">92 - ÚVT </t>
  </si>
  <si>
    <t>pojištění majetku MU a studentů</t>
  </si>
  <si>
    <t>Program 233 332 (rež.nákl.prac.UKB), 2006 převod do rozp.RMU</t>
  </si>
  <si>
    <t>interní vzdělávání</t>
  </si>
  <si>
    <t>právní poradenství</t>
  </si>
  <si>
    <t xml:space="preserve">znalecké posudky </t>
  </si>
  <si>
    <t>provoz auly (vč.260 tis.-oprava varhan)</t>
  </si>
  <si>
    <t>www stránky MU (překlady,digitalizace ...)</t>
  </si>
  <si>
    <t>ediční činnost</t>
  </si>
  <si>
    <t>Universitas</t>
  </si>
  <si>
    <t>Spolufinancování CTT</t>
  </si>
  <si>
    <t>pěvecký sbor MU</t>
  </si>
  <si>
    <t>nájem Řečkovice</t>
  </si>
  <si>
    <t>daň z nemovitostí</t>
  </si>
  <si>
    <t>věcná břemena</t>
  </si>
  <si>
    <t>obnova vybavení CPS</t>
  </si>
  <si>
    <t>všeobecná tělesná výchova</t>
  </si>
  <si>
    <t>pronájmy pro KSA</t>
  </si>
  <si>
    <t>akademické soutěže studentů 2006</t>
  </si>
  <si>
    <t xml:space="preserve"> celkem účtováno přes FSpS</t>
  </si>
  <si>
    <t>výuka jazyků</t>
  </si>
  <si>
    <t>celkem účtováno přes CJV</t>
  </si>
  <si>
    <r>
      <t xml:space="preserve">CP1  Finanční činnosti </t>
    </r>
    <r>
      <rPr>
        <sz val="9"/>
        <rFont val="Arial CE"/>
        <family val="2"/>
      </rPr>
      <t>(ř. 1+2+3+4)</t>
    </r>
  </si>
  <si>
    <r>
      <t xml:space="preserve">nájem Údolní (bez tělocvičny) </t>
    </r>
    <r>
      <rPr>
        <sz val="9"/>
        <rFont val="Arial CE"/>
        <family val="0"/>
      </rPr>
      <t>+ pozemek nám.Míru</t>
    </r>
  </si>
  <si>
    <t>rok 2007</t>
  </si>
  <si>
    <t xml:space="preserve">I. Normativní prostředky z MŠMT </t>
  </si>
  <si>
    <t xml:space="preserve">   dotace na specifický výzkum</t>
  </si>
  <si>
    <t>r o k   2 0 0 7</t>
  </si>
  <si>
    <t xml:space="preserve">   příspěvek na vzdělávací činnost</t>
  </si>
  <si>
    <t>převod</t>
  </si>
  <si>
    <t xml:space="preserve">plán </t>
  </si>
  <si>
    <t>do FPP</t>
  </si>
  <si>
    <t xml:space="preserve">  na Program</t>
  </si>
  <si>
    <t xml:space="preserve">  na ostatní akce</t>
  </si>
  <si>
    <t xml:space="preserve">Financování nedotačních odpisů fakult </t>
  </si>
  <si>
    <t>85 - IBA</t>
  </si>
  <si>
    <t xml:space="preserve">   Původní plán na podprogram 233 332 - UKB</t>
  </si>
  <si>
    <t xml:space="preserve">internacionalizace MU  </t>
  </si>
  <si>
    <t>jazykové kurzy</t>
  </si>
  <si>
    <t xml:space="preserve">databáze absolventů </t>
  </si>
  <si>
    <t xml:space="preserve">U3V </t>
  </si>
  <si>
    <t xml:space="preserve">Poradenské centrum </t>
  </si>
  <si>
    <t>studentské projekty (program rektora)</t>
  </si>
  <si>
    <t xml:space="preserve">nájem Tomešova </t>
  </si>
  <si>
    <t>LF - nájemné Dětská nemocnice (k.psychol.)</t>
  </si>
  <si>
    <t xml:space="preserve">       úhrada reko formou nájemného (čas.rozlišeno)</t>
  </si>
  <si>
    <t xml:space="preserve">nájem a stěhování archivu MU </t>
  </si>
  <si>
    <t>stěhování do UKB - LF</t>
  </si>
  <si>
    <t xml:space="preserve">stěhování do UKB - PřF </t>
  </si>
  <si>
    <t>celouniverzitní podpora e-learningu</t>
  </si>
  <si>
    <t xml:space="preserve">rozvoj IS MU </t>
  </si>
  <si>
    <t>digitální knihovna-Bartošek-nové</t>
  </si>
  <si>
    <t>rozvoj a údržba multim.serveru-nové</t>
  </si>
  <si>
    <t>inteligentni budovy a GIS-nové</t>
  </si>
  <si>
    <t>VT pro IC Bohunice-nové (na dokrytí rozvoj. projektu)</t>
  </si>
  <si>
    <t>bezdrátové základny MU</t>
  </si>
  <si>
    <t xml:space="preserve">počítačové studovny </t>
  </si>
  <si>
    <t>nájem Šumavská</t>
  </si>
  <si>
    <t xml:space="preserve"> celkem účtováno přes SPSSN</t>
  </si>
  <si>
    <t>CP4 - režijní pracoviště</t>
  </si>
  <si>
    <t>SKM (81)</t>
  </si>
  <si>
    <t>SUKB (82)</t>
  </si>
  <si>
    <t>UCT (83)</t>
  </si>
  <si>
    <t>SPSSN (84)</t>
  </si>
  <si>
    <t>IBA (85)</t>
  </si>
  <si>
    <t>ÚVT (92)</t>
  </si>
  <si>
    <t>VMU (94)</t>
  </si>
  <si>
    <t>CZS (97)</t>
  </si>
  <si>
    <t>RMU (99)</t>
  </si>
  <si>
    <t>CP1 + CP2 + CP3+ CP4</t>
  </si>
  <si>
    <t>odpis 2004</t>
  </si>
  <si>
    <t>odpis 12/2005</t>
  </si>
  <si>
    <t>odpis 2005</t>
  </si>
  <si>
    <t>odpis 12/2006</t>
  </si>
  <si>
    <t>odhad 2007 (12/06 x 12)</t>
  </si>
  <si>
    <t>IBA</t>
  </si>
  <si>
    <t>vydav</t>
  </si>
  <si>
    <t>z toho fak.</t>
  </si>
  <si>
    <t>centralizace</t>
  </si>
  <si>
    <t>rozdíl</t>
  </si>
  <si>
    <t>Zpracovala: Foukalová</t>
  </si>
  <si>
    <t>provozní pasport (technologický pasport budov )</t>
  </si>
  <si>
    <t>časopis muni.cz vč.fotobanky</t>
  </si>
  <si>
    <t>veletrhy zahraniční</t>
  </si>
  <si>
    <t>CP4  režijní pracoviště celkem</t>
  </si>
  <si>
    <r>
      <t>CP3   rezerva rektora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(1% z příspěvku na ukazatel A,max.16 mil.)</t>
    </r>
  </si>
  <si>
    <r>
      <t xml:space="preserve">rezerva </t>
    </r>
    <r>
      <rPr>
        <sz val="8"/>
        <rFont val="Arial CE"/>
        <family val="0"/>
      </rPr>
      <t>(1% z příspěvku na ukazatel A, max.16 mil.)</t>
    </r>
  </si>
  <si>
    <t>Převody z fondů/použití fondů</t>
  </si>
  <si>
    <t>fondů</t>
  </si>
  <si>
    <t>FPP</t>
  </si>
  <si>
    <t>FÚUP</t>
  </si>
  <si>
    <t>FO</t>
  </si>
  <si>
    <t>Fstip</t>
  </si>
  <si>
    <t>Náklady celkem (ř.2+14až25)</t>
  </si>
  <si>
    <t xml:space="preserve"> A-vzděl.č.,specif.VaV,SKM,vlastní,fondy:</t>
  </si>
  <si>
    <t>115*,118*,114*</t>
  </si>
  <si>
    <t>13* bez 139*,14*</t>
  </si>
  <si>
    <t>OPRLZ, strukturální fondy aj.proj.spoluf.EU</t>
  </si>
  <si>
    <t>119*, 139*</t>
  </si>
  <si>
    <t xml:space="preserve">Účelové příspěvky  na VaV </t>
  </si>
  <si>
    <t>212*</t>
  </si>
  <si>
    <t>Projekty VaV z dotací ze zahr.</t>
  </si>
  <si>
    <t>261*</t>
  </si>
  <si>
    <t>251*</t>
  </si>
  <si>
    <t>Výnosy celkem (ř.27 až 43)</t>
  </si>
  <si>
    <t>A-příspěvek na vzdělávací činnost</t>
  </si>
  <si>
    <t>Dotace na SKM, přísp.na ubytovací a soc.stip.</t>
  </si>
  <si>
    <t>12*, 117*</t>
  </si>
  <si>
    <t>Účelové příspěvky bez VaV</t>
  </si>
  <si>
    <t xml:space="preserve">VaV - dotace na specif. výzkum </t>
  </si>
  <si>
    <t>VaV - Výzkumné záměry</t>
  </si>
  <si>
    <t>VaV - ze SR a od úz.celků</t>
  </si>
  <si>
    <t>Vlastní zdroje (hl.č.za úplatu)</t>
  </si>
  <si>
    <t>Hospodářský výsledek dílčí (ř.27+32+36+41+42+43-2-25)</t>
  </si>
  <si>
    <t>Hospodářský výsledek (ř.26-1)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</si>
  <si>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</si>
  <si>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</si>
  <si>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</si>
  <si>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</si>
  <si>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Prostředky získané ze SR jako spolupříjemci (partneři) dotačních projektů plánujte - projekty VaV na ř. 24 a 40, ostatní (většinou projekty spolufinancované EU) na ř. 20 a 35</t>
  </si>
  <si>
    <r>
      <t>111*,12*,117*,152*,153*,157*,159*,167*,169*,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,211*,257*,259*,267*,269*,4*</t>
    </r>
  </si>
  <si>
    <r>
      <t>213*,214*,</t>
    </r>
    <r>
      <rPr>
        <sz val="8"/>
        <rFont val="Arial CE"/>
        <family val="2"/>
      </rPr>
      <t>22*</t>
    </r>
  </si>
  <si>
    <r>
      <t xml:space="preserve">   dotační odpisy MU </t>
    </r>
    <r>
      <rPr>
        <sz val="8"/>
        <rFont val="Arial CE"/>
        <family val="0"/>
      </rPr>
      <t>(výměna NIV příspěvku za příspěvek na kapitálové výdaje na Program 233 330)</t>
    </r>
  </si>
  <si>
    <t xml:space="preserve">   centralizované aktivity (CP2 přílohy 1)</t>
  </si>
  <si>
    <r>
      <t xml:space="preserve">   rezerva rektora - RR </t>
    </r>
    <r>
      <rPr>
        <sz val="8"/>
        <rFont val="Arial CE"/>
        <family val="0"/>
      </rPr>
      <t>(1% z přínosu na vzdělávací činnost, max. 16 mil., CP3 přílohy 1)</t>
    </r>
  </si>
  <si>
    <r>
      <t xml:space="preserve">Příspěvek 1. Celkem </t>
    </r>
    <r>
      <rPr>
        <sz val="10"/>
        <rFont val="Arial CE"/>
        <family val="0"/>
      </rPr>
      <t>(CP 1 přílohy 1)</t>
    </r>
  </si>
  <si>
    <t xml:space="preserve">   součet CA (CP1+CP2+CP3 přílohy 1)</t>
  </si>
  <si>
    <r>
      <t xml:space="preserve">   režijní pracoviště ze vzděl.č.</t>
    </r>
    <r>
      <rPr>
        <sz val="9"/>
        <rFont val="Arial CE"/>
        <family val="0"/>
      </rPr>
      <t xml:space="preserve"> (CP4 přílohy 1)</t>
    </r>
  </si>
  <si>
    <t xml:space="preserve">   přínos na vzdělavací č. a nespec.výzkum celkem (ř.3)</t>
  </si>
  <si>
    <t xml:space="preserve">   Příspěvek. Celkem (ř.9+ř.14)</t>
  </si>
  <si>
    <t xml:space="preserve">   K rozdělení fakultám (ř.15-ř.16)</t>
  </si>
  <si>
    <t>celk.</t>
  </si>
  <si>
    <t xml:space="preserve">rozdíl </t>
  </si>
  <si>
    <t>po odpoč.</t>
  </si>
  <si>
    <t>přísp1</t>
  </si>
  <si>
    <t>CP</t>
  </si>
  <si>
    <t>k.součet</t>
  </si>
  <si>
    <t>(CP1)</t>
  </si>
  <si>
    <t>bez dotace na odpisy fak.</t>
  </si>
  <si>
    <t>změna výp.odvodu</t>
  </si>
  <si>
    <t>rozpis</t>
  </si>
  <si>
    <t xml:space="preserve">fakulta </t>
  </si>
  <si>
    <t>název akce</t>
  </si>
  <si>
    <t>místo</t>
  </si>
  <si>
    <t>Veveří 70</t>
  </si>
  <si>
    <t>Ypsilantiho</t>
  </si>
  <si>
    <t>Údolní 3</t>
  </si>
  <si>
    <t xml:space="preserve">FF </t>
  </si>
  <si>
    <t>Tvrdého 12</t>
  </si>
  <si>
    <t xml:space="preserve">příloha 4 -  </t>
  </si>
  <si>
    <r>
      <t xml:space="preserve">   Podprogram 233 332 - UKB (plán 75 750) </t>
    </r>
    <r>
      <rPr>
        <i/>
        <vertAlign val="superscript"/>
        <sz val="9"/>
        <rFont val="Arial CE"/>
        <family val="0"/>
      </rPr>
      <t>*)</t>
    </r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</si>
  <si>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</si>
  <si>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</si>
  <si>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</si>
  <si>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</si>
  <si>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údaje o odpisech jen těch HS, která dostanou příspěvek na odpisy</t>
  </si>
  <si>
    <r>
      <t xml:space="preserve">rež.prac. </t>
    </r>
    <r>
      <rPr>
        <sz val="9"/>
        <rFont val="Arial CE"/>
        <family val="0"/>
      </rPr>
      <t>bez CA (CP4)</t>
    </r>
  </si>
  <si>
    <t xml:space="preserve">CA </t>
  </si>
  <si>
    <t>(CP2 až 4)</t>
  </si>
  <si>
    <t>přiděleno</t>
  </si>
  <si>
    <t>odvody</t>
  </si>
  <si>
    <t>Náklady na dotační odpisy plánujte na ř. 11, odpovídající částku účtovanou dle vyhl.504 do výnosů plánujte na ř. 41.</t>
  </si>
  <si>
    <r>
      <t>Rozdělení příspěvku</t>
    </r>
    <r>
      <rPr>
        <b/>
        <vertAlign val="superscript"/>
        <sz val="18"/>
        <rFont val="Arial CE"/>
        <family val="0"/>
      </rPr>
      <t xml:space="preserve"> </t>
    </r>
    <r>
      <rPr>
        <b/>
        <sz val="18"/>
        <rFont val="Arial CE"/>
        <family val="2"/>
      </rPr>
      <t xml:space="preserve"> MŠMT a dotace na specifický výzkum na rok 2008 v rámci MU</t>
    </r>
  </si>
  <si>
    <t>rok 2008</t>
  </si>
  <si>
    <t>2008/07</t>
  </si>
  <si>
    <t>II. Výpočet přínosu fakult na výši příspěvku MŠMT na vzdělávací činnost pro MU na rok 2008</t>
  </si>
  <si>
    <t>III. Výpočet přínosu na specifický výzkum pro rok 2008</t>
  </si>
  <si>
    <t>r o k   2 0 0 8</t>
  </si>
  <si>
    <r>
      <t xml:space="preserve">Příspěvek 1. Snížení přiděleného příspěvku 2008, viz příloha 1 </t>
    </r>
    <r>
      <rPr>
        <sz val="9"/>
        <rFont val="Arial CE"/>
        <family val="0"/>
      </rPr>
      <t>(CP1)</t>
    </r>
  </si>
  <si>
    <t>Financování celouniverzitních aktivit a režijních pracovišť MU v roce 2008</t>
  </si>
  <si>
    <t>Osnova rozpočtu na rok 2008</t>
  </si>
  <si>
    <t>Plán financování centralizovaných oprav 2008</t>
  </si>
  <si>
    <t>Odhad odpisů 2008</t>
  </si>
  <si>
    <r>
      <t xml:space="preserve">Odhad odpisů 2008 po HS </t>
    </r>
    <r>
      <rPr>
        <sz val="9"/>
        <rFont val="Arial CE"/>
        <family val="0"/>
      </rPr>
      <t>(bez ZC vyřaz.majetku)</t>
    </r>
  </si>
  <si>
    <t>Rozpočet 2008</t>
  </si>
  <si>
    <t xml:space="preserve">Plán akcí - velké opravy  2008  </t>
  </si>
  <si>
    <t>náklad smlouvy</t>
  </si>
  <si>
    <t>akcept.-smlouva</t>
  </si>
  <si>
    <t>výměna oken -dvorní fasáda - II. etapa</t>
  </si>
  <si>
    <t>Oprava fasády Ypsilantiho - II.etapa</t>
  </si>
  <si>
    <t>Výměna oken, parapetů a mříží v objektu</t>
  </si>
  <si>
    <t>Vinohrady 100</t>
  </si>
  <si>
    <t>pouze repase a nátěr</t>
  </si>
  <si>
    <t xml:space="preserve">Výměna ovládacího systému automatické regulace topení 
</t>
  </si>
  <si>
    <t>Oprava sázecích stolů + předláždění</t>
  </si>
  <si>
    <t>Botanická 68a</t>
  </si>
  <si>
    <t xml:space="preserve">Oprava a nátěry oken tělocvičny Pod hradem- III.etapa
</t>
  </si>
  <si>
    <t xml:space="preserve">Sanace venkovní základové zdi v budově C+reko omítek
</t>
  </si>
  <si>
    <t>Grohova 7</t>
  </si>
  <si>
    <t xml:space="preserve">Výměna oken na chodbách v budově C ze strany sever + východ
</t>
  </si>
  <si>
    <t>repase</t>
  </si>
  <si>
    <t xml:space="preserve">Výměna oken na chodbách v budově D ze strany západ
</t>
  </si>
  <si>
    <t>repase + nátěr</t>
  </si>
  <si>
    <t xml:space="preserve">Reko ležatých kovových rozvodů pitné vody a hydrantového rozvodu v suterénu bod. C
</t>
  </si>
  <si>
    <t>Nátěr ploché střechy na budově D</t>
  </si>
  <si>
    <t>Oprav komín. těles</t>
  </si>
  <si>
    <t>Gorkého 5/7</t>
  </si>
  <si>
    <t xml:space="preserve">Odvlhčení zdiva v suterénu+oprava angl. dvorků,oprava omítky obkladů a dlažby + zařizovací předměty
</t>
  </si>
  <si>
    <t>Předláždění venkovního stání</t>
  </si>
  <si>
    <t>Výměna oken  + parapetů</t>
  </si>
  <si>
    <t>výměna parapetů</t>
  </si>
  <si>
    <t xml:space="preserve">Oprava krytina střechy a nátěry klampířských prvků
</t>
  </si>
  <si>
    <t xml:space="preserve">Výměna dřevěných oken za plastová + vymalování + stěhování
</t>
  </si>
  <si>
    <t xml:space="preserve">výměna oken bez malování a stěhování </t>
  </si>
  <si>
    <t>Oprava střechy +oplechování</t>
  </si>
  <si>
    <t>Lipová</t>
  </si>
  <si>
    <t>Oprava izolací v suterénu +oprava rozvodů ZTI+ oprava soc. zařízení</t>
  </si>
  <si>
    <t>Čejkova 21</t>
  </si>
  <si>
    <t>Oprava střešní izolace</t>
  </si>
  <si>
    <t>Mánesova 12c</t>
  </si>
  <si>
    <t>součet</t>
  </si>
  <si>
    <r>
      <t xml:space="preserve">odhad 2008 </t>
    </r>
    <r>
      <rPr>
        <b/>
        <sz val="8"/>
        <rFont val="Arial"/>
        <family val="2"/>
      </rPr>
      <t>(v tis. Kč)</t>
    </r>
  </si>
  <si>
    <r>
      <t>odhad 2008</t>
    </r>
    <r>
      <rPr>
        <sz val="8"/>
        <rFont val="Arial"/>
        <family val="2"/>
      </rPr>
      <t xml:space="preserve"> (v tis. Kč) - jen HS, která dostanou příspěvek i na odpisy</t>
    </r>
  </si>
  <si>
    <t>pův. požadavky</t>
  </si>
  <si>
    <t>Centrum pro radiační,chem.a biol.bezpečnost</t>
  </si>
  <si>
    <t>výroční zprávy</t>
  </si>
  <si>
    <t>DVD prezentace MU</t>
  </si>
  <si>
    <t>vydavatelství</t>
  </si>
  <si>
    <t>bydleni.muni.cz</t>
  </si>
  <si>
    <t>příprava a spolufinancování projektů VaVpI, VpK,…</t>
  </si>
  <si>
    <t>Mendel muzeum</t>
  </si>
  <si>
    <t>Khonovo stipendium CZS)</t>
  </si>
  <si>
    <t xml:space="preserve">posudky na rozvojové projekty </t>
  </si>
  <si>
    <t>oponentury 1M a LC</t>
  </si>
  <si>
    <t xml:space="preserve">Kariérní centrum </t>
  </si>
  <si>
    <t>CTT - skupina pro veř.zdroje</t>
  </si>
  <si>
    <t xml:space="preserve">       nájemné ve FNB, Jihlavská</t>
  </si>
  <si>
    <t xml:space="preserve">       nájemné Bieblova (soc.lék.)</t>
  </si>
  <si>
    <t>SW licence (antivir.ochrana, campus licence,ALEPH,..)</t>
  </si>
  <si>
    <t>Statistica</t>
  </si>
  <si>
    <t>Magion-zvýšené náklady na údržbu</t>
  </si>
  <si>
    <t>Magion-modul Finanční kontrola</t>
  </si>
  <si>
    <t>Evidence SW licencí</t>
  </si>
  <si>
    <t>Pohotovosti-Magion,Inet,www.muni.cz</t>
  </si>
  <si>
    <t>pozáruční servis "Privátní hlasové sítě"</t>
  </si>
  <si>
    <t>Audiovizuální technika</t>
  </si>
  <si>
    <t>roční popl.za pronájem kolektorů</t>
  </si>
  <si>
    <t>centrální správa tiskových center fakult</t>
  </si>
  <si>
    <t>servisní podpora zařízení Cisco MU</t>
  </si>
  <si>
    <t>GOTEX-provozní nákl.</t>
  </si>
  <si>
    <t>Oracle-čas.rozlišení nákl.z RP 2007</t>
  </si>
  <si>
    <t>centrální datové úložiště MU</t>
  </si>
  <si>
    <t>bezpečnost sítě</t>
  </si>
  <si>
    <t xml:space="preserve">CJV (96) </t>
  </si>
  <si>
    <r>
      <t xml:space="preserve">Financování celouniverzitních aktivit  v roce 2008 </t>
    </r>
    <r>
      <rPr>
        <b/>
        <sz val="8"/>
        <rFont val="Arial CE"/>
        <family val="0"/>
      </rPr>
      <t>(</t>
    </r>
    <r>
      <rPr>
        <sz val="8"/>
        <rFont val="Arial CE"/>
        <family val="0"/>
      </rPr>
      <t>z příspěvku MŠMT na ukazatel A) - v tis. Kč</t>
    </r>
  </si>
  <si>
    <r>
      <t xml:space="preserve">stěhování PřF z Údolní a Janáč.nám. </t>
    </r>
    <r>
      <rPr>
        <sz val="9"/>
        <color indexed="9"/>
        <rFont val="Arial CE"/>
        <family val="0"/>
      </rPr>
      <t>do/z Řečkovic</t>
    </r>
  </si>
  <si>
    <t>CTT</t>
  </si>
  <si>
    <t>celkem účtováno přes CTT</t>
  </si>
  <si>
    <t xml:space="preserve">VII. Rozpis příspěvku a dotace na specifický výzkum na jednotlivá hospodářská střediska </t>
  </si>
  <si>
    <t>VI. Příspěvek fakult do centralizovaných zdrojů pro účetní období kalendářního roku 2008</t>
  </si>
  <si>
    <t>výnos</t>
  </si>
  <si>
    <t>NEI+INV</t>
  </si>
  <si>
    <t xml:space="preserve">na </t>
  </si>
  <si>
    <t>normativ</t>
  </si>
  <si>
    <t>2008-2007</t>
  </si>
  <si>
    <t>index 08/07</t>
  </si>
  <si>
    <t>v % z</t>
  </si>
  <si>
    <t>normativu</t>
  </si>
  <si>
    <t>bez odpisů</t>
  </si>
  <si>
    <r>
      <t xml:space="preserve">CA </t>
    </r>
    <r>
      <rPr>
        <i/>
        <vertAlign val="superscript"/>
        <sz val="10"/>
        <rFont val="Arial CE"/>
        <family val="0"/>
      </rPr>
      <t>*)</t>
    </r>
  </si>
  <si>
    <r>
      <t>*)</t>
    </r>
    <r>
      <rPr>
        <i/>
        <sz val="9"/>
        <rFont val="Arial CE"/>
        <family val="2"/>
      </rPr>
      <t xml:space="preserve"> ve sl. CA  včetně financování nedotačních odpisů fakult i režijních součástí a vkladu NEI do Programu 233 330</t>
    </r>
  </si>
  <si>
    <t>2,3 mil. přesunuty do do 1111</t>
  </si>
  <si>
    <t xml:space="preserve"> - 1,867 mil. Kč (převod mzd.účetních)</t>
  </si>
  <si>
    <t xml:space="preserve"> +2,3 mil. z CP</t>
  </si>
  <si>
    <t>(17 861)</t>
  </si>
  <si>
    <t>CTT (87)</t>
  </si>
  <si>
    <r>
      <t xml:space="preserve">a) Rozpis příspěvku a dotace na specifický výzkum na příslušná hosp.střediska (HS) </t>
    </r>
    <r>
      <rPr>
        <sz val="9"/>
        <rFont val="Arial CE"/>
        <family val="0"/>
      </rPr>
      <t>- bez rozpisu centralizovaných prostředků (CP)</t>
    </r>
  </si>
  <si>
    <r>
      <t xml:space="preserve">b) Rozpis příspěvku a dotace na specifický výzkum </t>
    </r>
    <r>
      <rPr>
        <sz val="9"/>
        <rFont val="Arial CE"/>
        <family val="0"/>
      </rPr>
      <t>včetně rozpisu centralizovaných prostředků na příslušná HS</t>
    </r>
  </si>
  <si>
    <t>Schválil:</t>
  </si>
  <si>
    <t>Příkazce operace:</t>
  </si>
  <si>
    <t>Doc.Ing.L.Janíček, PhD.,MBA</t>
  </si>
  <si>
    <t>Správce rozpočtu:</t>
  </si>
  <si>
    <t>datum a podpis</t>
  </si>
  <si>
    <r>
      <t xml:space="preserve">Hosp.středisko: </t>
    </r>
    <r>
      <rPr>
        <sz val="10"/>
        <color indexed="12"/>
        <rFont val="Arial CE"/>
        <family val="0"/>
      </rPr>
      <t>&lt;</t>
    </r>
    <r>
      <rPr>
        <b/>
        <i/>
        <sz val="10"/>
        <color indexed="12"/>
        <rFont val="Arial CE"/>
        <family val="0"/>
      </rPr>
      <t>doplnit č.HS a název&gt;</t>
    </r>
  </si>
  <si>
    <t>nezahrnuty odpisy ostatních HS (SKM, SUKB, IBA)</t>
  </si>
  <si>
    <t>Ing.Jana Foukalová</t>
  </si>
  <si>
    <t>přidělené</t>
  </si>
  <si>
    <t>prostředky</t>
  </si>
  <si>
    <t xml:space="preserve">  Způsob rozdělení vychází ze Směrnice rektora č.1/2008 - Vnitřní pravidla hospodaření MU pro rok 2008 a Pravidel rozdělení norm.příspěvku a dotace v r.2008.</t>
  </si>
  <si>
    <t xml:space="preserve">odpisy 12/ 07 </t>
  </si>
  <si>
    <t>V Brně 6.2.2008</t>
  </si>
  <si>
    <t>V Brně dne 12.2.2008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</si>
</sst>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#,##0\ _K_č"/>
    <numFmt numFmtId="194" formatCode="#,##0.00\ &quot;Kč&quot;"/>
    <numFmt numFmtId="195" formatCode="#,##0.00\ _K_č"/>
    <numFmt numFmtId="196" formatCode="#,##0.0\ _K_č"/>
  </numFmts>
  <fonts count="87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i/>
      <vertAlign val="superscript"/>
      <sz val="9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sz val="11"/>
      <name val="Times New Roman CE"/>
      <family val="0"/>
    </font>
    <font>
      <b/>
      <sz val="10"/>
      <color indexed="10"/>
      <name val="Arial CE"/>
      <family val="0"/>
    </font>
    <font>
      <b/>
      <i/>
      <sz val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8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59"/>
      <name val="Arial CE"/>
      <family val="2"/>
    </font>
    <font>
      <i/>
      <vertAlign val="superscript"/>
      <sz val="10"/>
      <name val="Arial CE"/>
      <family val="2"/>
    </font>
    <font>
      <b/>
      <vertAlign val="superscript"/>
      <sz val="18"/>
      <name val="Arial CE"/>
      <family val="0"/>
    </font>
    <font>
      <sz val="10"/>
      <name val="Arial"/>
      <family val="0"/>
    </font>
    <font>
      <b/>
      <i/>
      <sz val="9"/>
      <name val="Arial CE"/>
      <family val="2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i/>
      <vertAlign val="superscript"/>
      <sz val="8"/>
      <color indexed="8"/>
      <name val="Arial CE"/>
      <family val="0"/>
    </font>
    <font>
      <i/>
      <sz val="9"/>
      <color indexed="8"/>
      <name val="Arial CE"/>
      <family val="0"/>
    </font>
    <font>
      <sz val="8"/>
      <color indexed="12"/>
      <name val="Arial CE"/>
      <family val="2"/>
    </font>
    <font>
      <b/>
      <sz val="9"/>
      <color indexed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b/>
      <i/>
      <sz val="9"/>
      <color indexed="8"/>
      <name val="Arial CE"/>
      <family val="0"/>
    </font>
    <font>
      <sz val="10"/>
      <color indexed="12"/>
      <name val="Arial CE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9"/>
      <color indexed="63"/>
      <name val="Arial"/>
      <family val="0"/>
    </font>
    <font>
      <b/>
      <sz val="9"/>
      <color indexed="63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color indexed="10"/>
      <name val="Arial CE"/>
      <family val="2"/>
    </font>
    <font>
      <i/>
      <sz val="8"/>
      <color indexed="10"/>
      <name val="Arial CE"/>
      <family val="2"/>
    </font>
    <font>
      <sz val="9"/>
      <color indexed="9"/>
      <name val="Arial CE"/>
      <family val="0"/>
    </font>
    <font>
      <b/>
      <sz val="9"/>
      <color indexed="17"/>
      <name val="Arial CE"/>
      <family val="0"/>
    </font>
    <font>
      <i/>
      <sz val="8"/>
      <color indexed="9"/>
      <name val="Arial CE"/>
      <family val="0"/>
    </font>
    <font>
      <i/>
      <sz val="10"/>
      <color indexed="10"/>
      <name val="Arial CE"/>
      <family val="2"/>
    </font>
    <font>
      <i/>
      <sz val="8"/>
      <color indexed="12"/>
      <name val="Arial CE"/>
      <family val="0"/>
    </font>
    <font>
      <sz val="8"/>
      <color indexed="12"/>
      <name val="Arial"/>
      <family val="0"/>
    </font>
    <font>
      <sz val="8"/>
      <color indexed="18"/>
      <name val="Arial CE"/>
      <family val="2"/>
    </font>
    <font>
      <sz val="10"/>
      <color indexed="18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b/>
      <i/>
      <sz val="8"/>
      <color indexed="17"/>
      <name val="Arial CE"/>
      <family val="0"/>
    </font>
    <font>
      <sz val="8"/>
      <color indexed="9"/>
      <name val="Arial CE"/>
      <family val="0"/>
    </font>
    <font>
      <sz val="8"/>
      <color indexed="17"/>
      <name val="Arial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i/>
      <sz val="9"/>
      <color indexed="9"/>
      <name val="Arial CE"/>
      <family val="2"/>
    </font>
    <font>
      <i/>
      <sz val="10"/>
      <color indexed="9"/>
      <name val="Arial CE"/>
      <family val="2"/>
    </font>
    <font>
      <i/>
      <sz val="10"/>
      <color indexed="18"/>
      <name val="Arial CE"/>
      <family val="2"/>
    </font>
    <font>
      <b/>
      <sz val="10"/>
      <color indexed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3" fontId="13" fillId="2" borderId="32" xfId="0" applyNumberFormat="1" applyFont="1" applyFill="1" applyBorder="1" applyAlignment="1">
      <alignment/>
    </xf>
    <xf numFmtId="3" fontId="12" fillId="2" borderId="12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3" fontId="1" fillId="0" borderId="4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2" borderId="32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12" fillId="2" borderId="4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5" fillId="2" borderId="40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/>
    </xf>
    <xf numFmtId="0" fontId="12" fillId="2" borderId="2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58" xfId="0" applyNumberFormat="1" applyBorder="1" applyAlignment="1">
      <alignment/>
    </xf>
    <xf numFmtId="3" fontId="12" fillId="2" borderId="55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2" borderId="55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12" fillId="2" borderId="61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2" borderId="61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0" fontId="1" fillId="0" borderId="64" xfId="0" applyFont="1" applyBorder="1" applyAlignment="1">
      <alignment/>
    </xf>
    <xf numFmtId="3" fontId="13" fillId="2" borderId="65" xfId="0" applyNumberFormat="1" applyFont="1" applyFill="1" applyBorder="1" applyAlignment="1">
      <alignment/>
    </xf>
    <xf numFmtId="3" fontId="1" fillId="0" borderId="64" xfId="0" applyNumberFormat="1" applyFont="1" applyBorder="1" applyAlignment="1">
      <alignment/>
    </xf>
    <xf numFmtId="3" fontId="1" fillId="2" borderId="65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1" fillId="0" borderId="82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4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8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5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73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9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7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9" xfId="0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6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4" xfId="0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12" fillId="0" borderId="9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3" fontId="12" fillId="0" borderId="100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0" fillId="0" borderId="105" xfId="0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4" fontId="5" fillId="0" borderId="0" xfId="0" applyNumberFormat="1" applyFont="1" applyFill="1" applyAlignment="1">
      <alignment/>
    </xf>
    <xf numFmtId="3" fontId="19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6" fillId="0" borderId="70" xfId="0" applyFont="1" applyBorder="1" applyAlignment="1">
      <alignment horizontal="left"/>
    </xf>
    <xf numFmtId="0" fontId="2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5" fillId="0" borderId="78" xfId="21" applyFont="1" applyBorder="1">
      <alignment/>
      <protection/>
    </xf>
    <xf numFmtId="0" fontId="5" fillId="0" borderId="106" xfId="21" applyFont="1" applyBorder="1" applyAlignment="1">
      <alignment horizontal="center"/>
      <protection/>
    </xf>
    <xf numFmtId="0" fontId="5" fillId="0" borderId="76" xfId="21" applyFont="1" applyBorder="1">
      <alignment/>
      <protection/>
    </xf>
    <xf numFmtId="0" fontId="5" fillId="0" borderId="21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84" xfId="21" applyFont="1" applyBorder="1">
      <alignment/>
      <protection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9" fillId="0" borderId="0" xfId="21" applyFont="1">
      <alignment/>
      <protection/>
    </xf>
    <xf numFmtId="0" fontId="23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36" xfId="21" applyFont="1" applyBorder="1" applyAlignment="1">
      <alignment horizontal="center"/>
      <protection/>
    </xf>
    <xf numFmtId="0" fontId="5" fillId="0" borderId="66" xfId="21" applyFont="1" applyBorder="1" applyAlignment="1">
      <alignment horizontal="center"/>
      <protection/>
    </xf>
    <xf numFmtId="0" fontId="5" fillId="0" borderId="100" xfId="21" applyFont="1" applyBorder="1">
      <alignment/>
      <protection/>
    </xf>
    <xf numFmtId="0" fontId="5" fillId="0" borderId="107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10" fillId="2" borderId="108" xfId="21" applyFont="1" applyFill="1" applyBorder="1" applyAlignment="1">
      <alignment horizontal="center"/>
      <protection/>
    </xf>
    <xf numFmtId="0" fontId="10" fillId="2" borderId="109" xfId="21" applyFont="1" applyFill="1" applyBorder="1" applyAlignment="1">
      <alignment horizontal="center"/>
      <protection/>
    </xf>
    <xf numFmtId="0" fontId="5" fillId="0" borderId="108" xfId="21" applyFont="1" applyBorder="1">
      <alignment/>
      <protection/>
    </xf>
    <xf numFmtId="0" fontId="10" fillId="0" borderId="8" xfId="21" applyFont="1" applyBorder="1">
      <alignment/>
      <protection/>
    </xf>
    <xf numFmtId="0" fontId="10" fillId="0" borderId="0" xfId="21" applyFont="1">
      <alignment/>
      <protection/>
    </xf>
    <xf numFmtId="0" fontId="5" fillId="0" borderId="11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100" xfId="2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0" fontId="20" fillId="0" borderId="0" xfId="21" applyFont="1">
      <alignment/>
      <protection/>
    </xf>
    <xf numFmtId="3" fontId="5" fillId="0" borderId="66" xfId="21" applyNumberFormat="1" applyFont="1" applyBorder="1" applyAlignment="1">
      <alignment horizontal="right"/>
      <protection/>
    </xf>
    <xf numFmtId="3" fontId="0" fillId="0" borderId="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3" fontId="12" fillId="0" borderId="111" xfId="0" applyNumberFormat="1" applyFont="1" applyBorder="1" applyAlignment="1">
      <alignment/>
    </xf>
    <xf numFmtId="0" fontId="5" fillId="0" borderId="79" xfId="21" applyFont="1" applyBorder="1">
      <alignment/>
      <protection/>
    </xf>
    <xf numFmtId="0" fontId="0" fillId="0" borderId="53" xfId="0" applyBorder="1" applyAlignment="1">
      <alignment/>
    </xf>
    <xf numFmtId="3" fontId="0" fillId="0" borderId="112" xfId="0" applyNumberFormat="1" applyBorder="1" applyAlignment="1">
      <alignment/>
    </xf>
    <xf numFmtId="3" fontId="12" fillId="0" borderId="0" xfId="0" applyNumberFormat="1" applyFont="1" applyAlignment="1">
      <alignment/>
    </xf>
    <xf numFmtId="0" fontId="12" fillId="0" borderId="57" xfId="0" applyFont="1" applyBorder="1" applyAlignment="1">
      <alignment horizontal="center"/>
    </xf>
    <xf numFmtId="3" fontId="12" fillId="0" borderId="58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1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/>
    </xf>
    <xf numFmtId="3" fontId="0" fillId="0" borderId="0" xfId="22" applyNumberFormat="1" applyFont="1" applyFill="1" applyBorder="1">
      <alignment/>
      <protection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 horizontal="center"/>
    </xf>
    <xf numFmtId="0" fontId="12" fillId="0" borderId="114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115" xfId="0" applyFont="1" applyBorder="1" applyAlignment="1">
      <alignment/>
    </xf>
    <xf numFmtId="3" fontId="12" fillId="0" borderId="56" xfId="0" applyNumberFormat="1" applyFont="1" applyBorder="1" applyAlignment="1">
      <alignment/>
    </xf>
    <xf numFmtId="3" fontId="12" fillId="0" borderId="102" xfId="0" applyNumberFormat="1" applyFont="1" applyBorder="1" applyAlignment="1">
      <alignment/>
    </xf>
    <xf numFmtId="0" fontId="12" fillId="0" borderId="116" xfId="0" applyFont="1" applyBorder="1" applyAlignment="1">
      <alignment horizontal="left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7" fillId="0" borderId="3" xfId="0" applyFont="1" applyBorder="1" applyAlignment="1">
      <alignment horizontal="center"/>
    </xf>
    <xf numFmtId="3" fontId="27" fillId="0" borderId="15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8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8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3" fontId="12" fillId="0" borderId="125" xfId="0" applyNumberFormat="1" applyFont="1" applyBorder="1" applyAlignment="1">
      <alignment/>
    </xf>
    <xf numFmtId="3" fontId="0" fillId="0" borderId="126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3" fontId="0" fillId="0" borderId="92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3" fontId="0" fillId="0" borderId="128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3" fontId="0" fillId="0" borderId="107" xfId="0" applyNumberFormat="1" applyFont="1" applyBorder="1" applyAlignment="1">
      <alignment/>
    </xf>
    <xf numFmtId="3" fontId="0" fillId="0" borderId="129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0" fontId="0" fillId="0" borderId="65" xfId="0" applyFont="1" applyBorder="1" applyAlignment="1">
      <alignment horizontal="center"/>
    </xf>
    <xf numFmtId="3" fontId="12" fillId="2" borderId="130" xfId="0" applyNumberFormat="1" applyFont="1" applyFill="1" applyBorder="1" applyAlignment="1">
      <alignment/>
    </xf>
    <xf numFmtId="0" fontId="0" fillId="0" borderId="13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1" xfId="0" applyNumberFormat="1" applyFont="1" applyBorder="1" applyAlignment="1">
      <alignment/>
    </xf>
    <xf numFmtId="3" fontId="0" fillId="2" borderId="130" xfId="0" applyNumberFormat="1" applyFont="1" applyFill="1" applyBorder="1" applyAlignment="1">
      <alignment/>
    </xf>
    <xf numFmtId="3" fontId="0" fillId="0" borderId="132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4" fillId="0" borderId="0" xfId="0" applyNumberFormat="1" applyFont="1" applyFill="1" applyAlignment="1">
      <alignment/>
    </xf>
    <xf numFmtId="167" fontId="24" fillId="0" borderId="78" xfId="0" applyNumberFormat="1" applyFont="1" applyFill="1" applyBorder="1" applyAlignment="1">
      <alignment/>
    </xf>
    <xf numFmtId="0" fontId="24" fillId="0" borderId="7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9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8" fillId="0" borderId="92" xfId="0" applyNumberFormat="1" applyFont="1" applyFill="1" applyBorder="1" applyAlignment="1">
      <alignment/>
    </xf>
    <xf numFmtId="3" fontId="28" fillId="0" borderId="93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3" fontId="28" fillId="0" borderId="128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/>
    </xf>
    <xf numFmtId="3" fontId="28" fillId="0" borderId="7" xfId="0" applyNumberFormat="1" applyFont="1" applyFill="1" applyBorder="1" applyAlignment="1">
      <alignment/>
    </xf>
    <xf numFmtId="0" fontId="28" fillId="0" borderId="9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/>
    </xf>
    <xf numFmtId="1" fontId="2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7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28" fillId="0" borderId="0" xfId="0" applyNumberFormat="1" applyFont="1" applyFill="1" applyBorder="1" applyAlignment="1">
      <alignment/>
    </xf>
    <xf numFmtId="3" fontId="28" fillId="0" borderId="133" xfId="0" applyNumberFormat="1" applyFont="1" applyFill="1" applyBorder="1" applyAlignment="1">
      <alignment/>
    </xf>
    <xf numFmtId="4" fontId="28" fillId="0" borderId="66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9" xfId="0" applyFont="1" applyBorder="1" applyAlignment="1">
      <alignment/>
    </xf>
    <xf numFmtId="3" fontId="13" fillId="2" borderId="134" xfId="0" applyNumberFormat="1" applyFont="1" applyFill="1" applyBorder="1" applyAlignment="1">
      <alignment/>
    </xf>
    <xf numFmtId="3" fontId="13" fillId="0" borderId="108" xfId="0" applyNumberFormat="1" applyFont="1" applyBorder="1" applyAlignment="1">
      <alignment/>
    </xf>
    <xf numFmtId="3" fontId="13" fillId="0" borderId="135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134" xfId="0" applyFont="1" applyBorder="1" applyAlignment="1">
      <alignment horizontal="center"/>
    </xf>
    <xf numFmtId="0" fontId="12" fillId="0" borderId="96" xfId="0" applyFont="1" applyBorder="1" applyAlignment="1">
      <alignment/>
    </xf>
    <xf numFmtId="3" fontId="12" fillId="2" borderId="134" xfId="0" applyNumberFormat="1" applyFont="1" applyFill="1" applyBorder="1" applyAlignment="1">
      <alignment/>
    </xf>
    <xf numFmtId="3" fontId="12" fillId="0" borderId="96" xfId="0" applyNumberFormat="1" applyFont="1" applyBorder="1" applyAlignment="1">
      <alignment/>
    </xf>
    <xf numFmtId="3" fontId="12" fillId="0" borderId="135" xfId="0" applyNumberFormat="1" applyFont="1" applyBorder="1" applyAlignment="1">
      <alignment/>
    </xf>
    <xf numFmtId="3" fontId="12" fillId="0" borderId="136" xfId="0" applyNumberFormat="1" applyFont="1" applyBorder="1" applyAlignment="1">
      <alignment/>
    </xf>
    <xf numFmtId="0" fontId="34" fillId="0" borderId="0" xfId="0" applyFont="1" applyAlignment="1">
      <alignment/>
    </xf>
    <xf numFmtId="3" fontId="1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0" fillId="0" borderId="92" xfId="0" applyNumberFormat="1" applyFill="1" applyBorder="1" applyAlignment="1">
      <alignment/>
    </xf>
    <xf numFmtId="4" fontId="0" fillId="0" borderId="100" xfId="0" applyNumberFormat="1" applyFill="1" applyBorder="1" applyAlignment="1">
      <alignment/>
    </xf>
    <xf numFmtId="4" fontId="0" fillId="0" borderId="71" xfId="0" applyNumberFormat="1" applyFill="1" applyBorder="1" applyAlignment="1">
      <alignment/>
    </xf>
    <xf numFmtId="0" fontId="11" fillId="0" borderId="15" xfId="21" applyFont="1" applyBorder="1" applyAlignment="1">
      <alignment horizontal="center"/>
      <protection/>
    </xf>
    <xf numFmtId="0" fontId="11" fillId="0" borderId="101" xfId="21" applyFont="1" applyBorder="1" applyAlignment="1">
      <alignment horizontal="center"/>
      <protection/>
    </xf>
    <xf numFmtId="0" fontId="5" fillId="3" borderId="47" xfId="21" applyFont="1" applyFill="1" applyBorder="1">
      <alignment/>
      <protection/>
    </xf>
    <xf numFmtId="0" fontId="5" fillId="3" borderId="10" xfId="21" applyFont="1" applyFill="1" applyBorder="1" applyAlignment="1">
      <alignment horizontal="center"/>
      <protection/>
    </xf>
    <xf numFmtId="0" fontId="11" fillId="3" borderId="90" xfId="21" applyFont="1" applyFill="1" applyBorder="1" applyAlignment="1">
      <alignment horizontal="center"/>
      <protection/>
    </xf>
    <xf numFmtId="0" fontId="5" fillId="0" borderId="7" xfId="21" applyFont="1" applyBorder="1">
      <alignment/>
      <protection/>
    </xf>
    <xf numFmtId="0" fontId="5" fillId="0" borderId="92" xfId="21" applyFont="1" applyFill="1" applyBorder="1" applyAlignment="1">
      <alignment horizontal="center"/>
      <protection/>
    </xf>
    <xf numFmtId="0" fontId="10" fillId="0" borderId="92" xfId="21" applyFont="1" applyBorder="1" applyAlignment="1">
      <alignment horizontal="center"/>
      <protection/>
    </xf>
    <xf numFmtId="0" fontId="10" fillId="0" borderId="14" xfId="21" applyFont="1" applyBorder="1">
      <alignment/>
      <protection/>
    </xf>
    <xf numFmtId="3" fontId="10" fillId="0" borderId="137" xfId="21" applyNumberFormat="1" applyFont="1" applyBorder="1" applyAlignment="1">
      <alignment horizontal="right"/>
      <protection/>
    </xf>
    <xf numFmtId="0" fontId="10" fillId="0" borderId="28" xfId="21" applyFont="1" applyBorder="1">
      <alignment/>
      <protection/>
    </xf>
    <xf numFmtId="3" fontId="10" fillId="0" borderId="66" xfId="21" applyNumberFormat="1" applyFont="1" applyBorder="1" applyAlignment="1">
      <alignment horizontal="right"/>
      <protection/>
    </xf>
    <xf numFmtId="0" fontId="37" fillId="0" borderId="8" xfId="21" applyFont="1" applyBorder="1">
      <alignment/>
      <protection/>
    </xf>
    <xf numFmtId="0" fontId="37" fillId="0" borderId="41" xfId="21" applyFont="1" applyBorder="1" applyAlignment="1">
      <alignment horizontal="center"/>
      <protection/>
    </xf>
    <xf numFmtId="0" fontId="10" fillId="0" borderId="48" xfId="21" applyFont="1" applyBorder="1">
      <alignment/>
      <protection/>
    </xf>
    <xf numFmtId="3" fontId="10" fillId="0" borderId="124" xfId="21" applyNumberFormat="1" applyFont="1" applyBorder="1" applyAlignment="1">
      <alignment horizontal="right"/>
      <protection/>
    </xf>
    <xf numFmtId="3" fontId="10" fillId="0" borderId="137" xfId="21" applyNumberFormat="1" applyFont="1" applyBorder="1">
      <alignment/>
      <protection/>
    </xf>
    <xf numFmtId="0" fontId="5" fillId="0" borderId="100" xfId="21" applyFont="1" applyFill="1" applyBorder="1">
      <alignment/>
      <protection/>
    </xf>
    <xf numFmtId="3" fontId="5" fillId="0" borderId="66" xfId="21" applyNumberFormat="1" applyFont="1" applyBorder="1">
      <alignment/>
      <protection/>
    </xf>
    <xf numFmtId="3" fontId="5" fillId="0" borderId="66" xfId="21" applyNumberFormat="1" applyFont="1" applyFill="1" applyBorder="1">
      <alignment/>
      <protection/>
    </xf>
    <xf numFmtId="0" fontId="5" fillId="0" borderId="110" xfId="21" applyFont="1" applyFill="1" applyBorder="1">
      <alignment/>
      <protection/>
    </xf>
    <xf numFmtId="3" fontId="5" fillId="0" borderId="138" xfId="21" applyNumberFormat="1" applyFont="1" applyFill="1" applyBorder="1">
      <alignment/>
      <protection/>
    </xf>
    <xf numFmtId="0" fontId="5" fillId="0" borderId="137" xfId="21" applyFont="1" applyFill="1" applyBorder="1" applyAlignment="1">
      <alignment horizontal="center"/>
      <protection/>
    </xf>
    <xf numFmtId="0" fontId="5" fillId="0" borderId="77" xfId="21" applyFont="1" applyFill="1" applyBorder="1">
      <alignment/>
      <protection/>
    </xf>
    <xf numFmtId="3" fontId="5" fillId="0" borderId="137" xfId="21" applyNumberFormat="1" applyFont="1" applyFill="1" applyBorder="1">
      <alignment/>
      <protection/>
    </xf>
    <xf numFmtId="3" fontId="10" fillId="0" borderId="137" xfId="21" applyNumberFormat="1" applyFont="1" applyFill="1" applyBorder="1">
      <alignment/>
      <protection/>
    </xf>
    <xf numFmtId="3" fontId="10" fillId="2" borderId="108" xfId="21" applyNumberFormat="1" applyFont="1" applyFill="1" applyBorder="1">
      <alignment/>
      <protection/>
    </xf>
    <xf numFmtId="3" fontId="5" fillId="0" borderId="108" xfId="21" applyNumberFormat="1" applyFont="1" applyBorder="1">
      <alignment/>
      <protection/>
    </xf>
    <xf numFmtId="3" fontId="5" fillId="0" borderId="36" xfId="21" applyNumberFormat="1" applyFont="1" applyBorder="1" applyAlignment="1">
      <alignment horizontal="right"/>
      <protection/>
    </xf>
    <xf numFmtId="0" fontId="5" fillId="0" borderId="41" xfId="21" applyFont="1" applyBorder="1">
      <alignment/>
      <protection/>
    </xf>
    <xf numFmtId="0" fontId="10" fillId="2" borderId="17" xfId="21" applyFont="1" applyFill="1" applyBorder="1" applyAlignment="1">
      <alignment horizontal="center"/>
      <protection/>
    </xf>
    <xf numFmtId="0" fontId="5" fillId="0" borderId="139" xfId="21" applyFont="1" applyBorder="1" applyAlignment="1">
      <alignment horizontal="center"/>
      <protection/>
    </xf>
    <xf numFmtId="0" fontId="5" fillId="0" borderId="139" xfId="21" applyFont="1" applyBorder="1">
      <alignment/>
      <protection/>
    </xf>
    <xf numFmtId="3" fontId="5" fillId="0" borderId="139" xfId="21" applyNumberFormat="1" applyFont="1" applyBorder="1">
      <alignment/>
      <protection/>
    </xf>
    <xf numFmtId="0" fontId="11" fillId="3" borderId="10" xfId="21" applyFont="1" applyFill="1" applyBorder="1" applyAlignment="1">
      <alignment horizontal="center"/>
      <protection/>
    </xf>
    <xf numFmtId="3" fontId="11" fillId="3" borderId="37" xfId="21" applyNumberFormat="1" applyFont="1" applyFill="1" applyBorder="1">
      <alignment/>
      <protection/>
    </xf>
    <xf numFmtId="0" fontId="5" fillId="0" borderId="84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3" fontId="11" fillId="0" borderId="0" xfId="21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4" fontId="0" fillId="0" borderId="92" xfId="0" applyNumberFormat="1" applyFont="1" applyFill="1" applyBorder="1" applyAlignment="1">
      <alignment/>
    </xf>
    <xf numFmtId="4" fontId="0" fillId="0" borderId="100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3" fontId="0" fillId="0" borderId="128" xfId="0" applyNumberFormat="1" applyFill="1" applyBorder="1" applyAlignment="1">
      <alignment/>
    </xf>
    <xf numFmtId="164" fontId="5" fillId="0" borderId="92" xfId="0" applyNumberFormat="1" applyFont="1" applyFill="1" applyBorder="1" applyAlignment="1">
      <alignment/>
    </xf>
    <xf numFmtId="164" fontId="5" fillId="0" borderId="100" xfId="0" applyNumberFormat="1" applyFont="1" applyFill="1" applyBorder="1" applyAlignment="1">
      <alignment/>
    </xf>
    <xf numFmtId="164" fontId="5" fillId="0" borderId="71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90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14" fontId="19" fillId="0" borderId="0" xfId="21" applyNumberFormat="1" applyFont="1">
      <alignment/>
      <protection/>
    </xf>
    <xf numFmtId="0" fontId="5" fillId="0" borderId="0" xfId="21" applyFont="1" applyAlignment="1">
      <alignment horizontal="right"/>
      <protection/>
    </xf>
    <xf numFmtId="0" fontId="6" fillId="0" borderId="106" xfId="21" applyFont="1" applyBorder="1" applyAlignment="1">
      <alignment horizontal="center"/>
      <protection/>
    </xf>
    <xf numFmtId="0" fontId="5" fillId="0" borderId="106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3" fontId="6" fillId="3" borderId="10" xfId="21" applyNumberFormat="1" applyFont="1" applyFill="1" applyBorder="1" applyAlignment="1">
      <alignment horizontal="right"/>
      <protection/>
    </xf>
    <xf numFmtId="3" fontId="6" fillId="3" borderId="13" xfId="21" applyNumberFormat="1" applyFont="1" applyFill="1" applyBorder="1" applyAlignment="1">
      <alignment horizontal="right"/>
      <protection/>
    </xf>
    <xf numFmtId="3" fontId="5" fillId="3" borderId="37" xfId="21" applyNumberFormat="1" applyFont="1" applyFill="1" applyBorder="1" applyAlignment="1">
      <alignment horizontal="right"/>
      <protection/>
    </xf>
    <xf numFmtId="0" fontId="5" fillId="2" borderId="140" xfId="21" applyFont="1" applyFill="1" applyBorder="1" applyAlignment="1">
      <alignment horizontal="center"/>
      <protection/>
    </xf>
    <xf numFmtId="0" fontId="5" fillId="2" borderId="141" xfId="21" applyFont="1" applyFill="1" applyBorder="1">
      <alignment/>
      <protection/>
    </xf>
    <xf numFmtId="3" fontId="6" fillId="2" borderId="142" xfId="21" applyNumberFormat="1" applyFont="1" applyFill="1" applyBorder="1" applyAlignment="1">
      <alignment horizontal="right"/>
      <protection/>
    </xf>
    <xf numFmtId="3" fontId="6" fillId="2" borderId="142" xfId="21" applyNumberFormat="1" applyFont="1" applyFill="1" applyBorder="1">
      <alignment/>
      <protection/>
    </xf>
    <xf numFmtId="3" fontId="5" fillId="2" borderId="142" xfId="21" applyNumberFormat="1" applyFont="1" applyFill="1" applyBorder="1">
      <alignment/>
      <protection/>
    </xf>
    <xf numFmtId="3" fontId="6" fillId="0" borderId="137" xfId="21" applyNumberFormat="1" applyFont="1" applyFill="1" applyBorder="1" applyAlignment="1">
      <alignment horizontal="right"/>
      <protection/>
    </xf>
    <xf numFmtId="3" fontId="6" fillId="0" borderId="137" xfId="21" applyNumberFormat="1" applyFont="1" applyFill="1" applyBorder="1">
      <alignment/>
      <protection/>
    </xf>
    <xf numFmtId="0" fontId="5" fillId="0" borderId="143" xfId="21" applyFont="1" applyFill="1" applyBorder="1">
      <alignment/>
      <protection/>
    </xf>
    <xf numFmtId="3" fontId="6" fillId="0" borderId="36" xfId="21" applyNumberFormat="1" applyFont="1" applyFill="1" applyBorder="1" applyAlignment="1">
      <alignment horizontal="right"/>
      <protection/>
    </xf>
    <xf numFmtId="3" fontId="6" fillId="0" borderId="36" xfId="21" applyNumberFormat="1" applyFont="1" applyFill="1" applyBorder="1">
      <alignment/>
      <protection/>
    </xf>
    <xf numFmtId="3" fontId="5" fillId="0" borderId="36" xfId="21" applyNumberFormat="1" applyFont="1" applyFill="1" applyBorder="1">
      <alignment/>
      <protection/>
    </xf>
    <xf numFmtId="0" fontId="5" fillId="2" borderId="97" xfId="21" applyFont="1" applyFill="1" applyBorder="1" applyAlignment="1">
      <alignment horizontal="center"/>
      <protection/>
    </xf>
    <xf numFmtId="0" fontId="5" fillId="2" borderId="109" xfId="21" applyFont="1" applyFill="1" applyBorder="1">
      <alignment/>
      <protection/>
    </xf>
    <xf numFmtId="3" fontId="6" fillId="2" borderId="108" xfId="21" applyNumberFormat="1" applyFont="1" applyFill="1" applyBorder="1" applyAlignment="1">
      <alignment horizontal="right"/>
      <protection/>
    </xf>
    <xf numFmtId="3" fontId="6" fillId="2" borderId="108" xfId="21" applyNumberFormat="1" applyFont="1" applyFill="1" applyBorder="1">
      <alignment/>
      <protection/>
    </xf>
    <xf numFmtId="3" fontId="5" fillId="2" borderId="108" xfId="21" applyNumberFormat="1" applyFont="1" applyFill="1" applyBorder="1">
      <alignment/>
      <protection/>
    </xf>
    <xf numFmtId="3" fontId="5" fillId="2" borderId="108" xfId="21" applyNumberFormat="1" applyFont="1" applyFill="1" applyBorder="1" applyAlignment="1">
      <alignment horizontal="right"/>
      <protection/>
    </xf>
    <xf numFmtId="3" fontId="9" fillId="0" borderId="137" xfId="21" applyNumberFormat="1" applyFont="1" applyBorder="1" applyAlignment="1">
      <alignment horizontal="center"/>
      <protection/>
    </xf>
    <xf numFmtId="3" fontId="9" fillId="0" borderId="137" xfId="21" applyNumberFormat="1" applyFont="1" applyBorder="1" applyAlignment="1">
      <alignment horizontal="right"/>
      <protection/>
    </xf>
    <xf numFmtId="3" fontId="9" fillId="0" borderId="66" xfId="21" applyNumberFormat="1" applyFont="1" applyBorder="1" applyAlignment="1">
      <alignment horizontal="center"/>
      <protection/>
    </xf>
    <xf numFmtId="3" fontId="9" fillId="0" borderId="66" xfId="21" applyNumberFormat="1" applyFont="1" applyBorder="1" applyAlignment="1">
      <alignment horizontal="right"/>
      <protection/>
    </xf>
    <xf numFmtId="3" fontId="9" fillId="0" borderId="124" xfId="21" applyNumberFormat="1" applyFont="1" applyBorder="1" applyAlignment="1">
      <alignment horizontal="center"/>
      <protection/>
    </xf>
    <xf numFmtId="3" fontId="9" fillId="0" borderId="124" xfId="21" applyNumberFormat="1" applyFont="1" applyBorder="1" applyAlignment="1">
      <alignment horizontal="right"/>
      <protection/>
    </xf>
    <xf numFmtId="0" fontId="5" fillId="2" borderId="96" xfId="21" applyFont="1" applyFill="1" applyBorder="1">
      <alignment/>
      <protection/>
    </xf>
    <xf numFmtId="3" fontId="6" fillId="2" borderId="97" xfId="21" applyNumberFormat="1" applyFont="1" applyFill="1" applyBorder="1" applyAlignment="1">
      <alignment horizontal="right"/>
      <protection/>
    </xf>
    <xf numFmtId="0" fontId="37" fillId="0" borderId="50" xfId="21" applyFont="1" applyBorder="1" applyAlignment="1">
      <alignment horizontal="center"/>
      <protection/>
    </xf>
    <xf numFmtId="3" fontId="9" fillId="0" borderId="77" xfId="21" applyNumberFormat="1" applyFont="1" applyBorder="1" applyAlignment="1">
      <alignment horizontal="center"/>
      <protection/>
    </xf>
    <xf numFmtId="3" fontId="9" fillId="0" borderId="137" xfId="21" applyNumberFormat="1" applyFont="1" applyBorder="1">
      <alignment/>
      <protection/>
    </xf>
    <xf numFmtId="0" fontId="37" fillId="0" borderId="0" xfId="21" applyFont="1" applyBorder="1" applyAlignment="1">
      <alignment horizontal="center"/>
      <protection/>
    </xf>
    <xf numFmtId="3" fontId="9" fillId="0" borderId="0" xfId="21" applyNumberFormat="1" applyFont="1" applyBorder="1">
      <alignment/>
      <protection/>
    </xf>
    <xf numFmtId="3" fontId="9" fillId="0" borderId="36" xfId="21" applyNumberFormat="1" applyFont="1" applyBorder="1">
      <alignment/>
      <protection/>
    </xf>
    <xf numFmtId="3" fontId="10" fillId="0" borderId="36" xfId="21" applyNumberFormat="1" applyFont="1" applyBorder="1">
      <alignment/>
      <protection/>
    </xf>
    <xf numFmtId="3" fontId="5" fillId="3" borderId="37" xfId="21" applyNumberFormat="1" applyFont="1" applyFill="1" applyBorder="1" applyAlignment="1">
      <alignment horizontal="right"/>
      <protection/>
    </xf>
    <xf numFmtId="3" fontId="6" fillId="0" borderId="66" xfId="21" applyNumberFormat="1" applyFont="1" applyBorder="1">
      <alignment/>
      <protection/>
    </xf>
    <xf numFmtId="3" fontId="6" fillId="0" borderId="66" xfId="21" applyNumberFormat="1" applyFont="1" applyFill="1" applyBorder="1">
      <alignment/>
      <protection/>
    </xf>
    <xf numFmtId="3" fontId="6" fillId="0" borderId="138" xfId="21" applyNumberFormat="1" applyFont="1" applyFill="1" applyBorder="1">
      <alignment/>
      <protection/>
    </xf>
    <xf numFmtId="3" fontId="9" fillId="0" borderId="137" xfId="21" applyNumberFormat="1" applyFont="1" applyFill="1" applyBorder="1">
      <alignment/>
      <protection/>
    </xf>
    <xf numFmtId="3" fontId="9" fillId="2" borderId="108" xfId="21" applyNumberFormat="1" applyFont="1" applyFill="1" applyBorder="1">
      <alignment/>
      <protection/>
    </xf>
    <xf numFmtId="3" fontId="6" fillId="0" borderId="139" xfId="21" applyNumberFormat="1" applyFont="1" applyBorder="1">
      <alignment/>
      <protection/>
    </xf>
    <xf numFmtId="0" fontId="5" fillId="0" borderId="17" xfId="21" applyFont="1" applyBorder="1">
      <alignment/>
      <protection/>
    </xf>
    <xf numFmtId="3" fontId="6" fillId="0" borderId="17" xfId="21" applyNumberFormat="1" applyFont="1" applyBorder="1">
      <alignment/>
      <protection/>
    </xf>
    <xf numFmtId="3" fontId="5" fillId="0" borderId="17" xfId="21" applyNumberFormat="1" applyFont="1" applyBorder="1">
      <alignment/>
      <protection/>
    </xf>
    <xf numFmtId="3" fontId="6" fillId="0" borderId="36" xfId="21" applyNumberFormat="1" applyFont="1" applyBorder="1" applyAlignment="1">
      <alignment horizontal="center"/>
      <protection/>
    </xf>
    <xf numFmtId="3" fontId="6" fillId="0" borderId="36" xfId="21" applyNumberFormat="1" applyFont="1" applyBorder="1" applyAlignment="1">
      <alignment horizontal="right"/>
      <protection/>
    </xf>
    <xf numFmtId="3" fontId="6" fillId="0" borderId="66" xfId="21" applyNumberFormat="1" applyFont="1" applyBorder="1" applyAlignment="1">
      <alignment horizontal="center"/>
      <protection/>
    </xf>
    <xf numFmtId="3" fontId="6" fillId="0" borderId="66" xfId="21" applyNumberFormat="1" applyFont="1" applyBorder="1" applyAlignment="1">
      <alignment horizontal="right"/>
      <protection/>
    </xf>
    <xf numFmtId="3" fontId="9" fillId="2" borderId="97" xfId="21" applyNumberFormat="1" applyFont="1" applyFill="1" applyBorder="1">
      <alignment/>
      <protection/>
    </xf>
    <xf numFmtId="3" fontId="6" fillId="0" borderId="108" xfId="21" applyNumberFormat="1" applyFont="1" applyBorder="1">
      <alignment/>
      <protection/>
    </xf>
    <xf numFmtId="3" fontId="15" fillId="3" borderId="37" xfId="21" applyNumberFormat="1" applyFont="1" applyFill="1" applyBorder="1">
      <alignment/>
      <protection/>
    </xf>
    <xf numFmtId="3" fontId="6" fillId="0" borderId="6" xfId="21" applyNumberFormat="1" applyFont="1" applyBorder="1">
      <alignment/>
      <protection/>
    </xf>
    <xf numFmtId="3" fontId="5" fillId="0" borderId="6" xfId="21" applyNumberFormat="1" applyFont="1" applyBorder="1">
      <alignment/>
      <protection/>
    </xf>
    <xf numFmtId="0" fontId="5" fillId="0" borderId="0" xfId="2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40" fillId="0" borderId="0" xfId="21" applyFont="1">
      <alignment/>
      <protection/>
    </xf>
    <xf numFmtId="0" fontId="26" fillId="0" borderId="0" xfId="21" applyFont="1" applyBorder="1">
      <alignment/>
      <protection/>
    </xf>
    <xf numFmtId="0" fontId="26" fillId="0" borderId="0" xfId="21" applyFont="1">
      <alignment/>
      <protection/>
    </xf>
    <xf numFmtId="3" fontId="26" fillId="0" borderId="0" xfId="21" applyNumberFormat="1" applyFont="1" applyBorder="1">
      <alignment/>
      <protection/>
    </xf>
    <xf numFmtId="3" fontId="26" fillId="0" borderId="0" xfId="21" applyNumberFormat="1" applyFont="1" applyBorder="1">
      <alignment/>
      <protection/>
    </xf>
    <xf numFmtId="3" fontId="41" fillId="0" borderId="0" xfId="21" applyNumberFormat="1" applyFont="1" applyBorder="1">
      <alignment/>
      <protection/>
    </xf>
    <xf numFmtId="0" fontId="5" fillId="0" borderId="144" xfId="21" applyFont="1" applyBorder="1">
      <alignment/>
      <protection/>
    </xf>
    <xf numFmtId="0" fontId="5" fillId="0" borderId="140" xfId="21" applyFont="1" applyBorder="1" applyAlignment="1">
      <alignment horizontal="center"/>
      <protection/>
    </xf>
    <xf numFmtId="0" fontId="11" fillId="0" borderId="145" xfId="21" applyFont="1" applyBorder="1" applyAlignment="1">
      <alignment horizontal="center"/>
      <protection/>
    </xf>
    <xf numFmtId="0" fontId="6" fillId="0" borderId="140" xfId="21" applyFont="1" applyBorder="1" applyAlignment="1">
      <alignment horizontal="center"/>
      <protection/>
    </xf>
    <xf numFmtId="0" fontId="5" fillId="0" borderId="146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0" fontId="5" fillId="0" borderId="92" xfId="21" applyFont="1" applyBorder="1" applyAlignment="1">
      <alignment horizontal="center"/>
      <protection/>
    </xf>
    <xf numFmtId="3" fontId="6" fillId="0" borderId="92" xfId="21" applyNumberFormat="1" applyFont="1" applyBorder="1">
      <alignment/>
      <protection/>
    </xf>
    <xf numFmtId="3" fontId="5" fillId="0" borderId="92" xfId="21" applyNumberFormat="1" applyFont="1" applyBorder="1">
      <alignment/>
      <protection/>
    </xf>
    <xf numFmtId="3" fontId="5" fillId="0" borderId="93" xfId="21" applyNumberFormat="1" applyFont="1" applyBorder="1">
      <alignment/>
      <protection/>
    </xf>
    <xf numFmtId="0" fontId="5" fillId="0" borderId="86" xfId="21" applyFont="1" applyBorder="1">
      <alignment/>
      <protection/>
    </xf>
    <xf numFmtId="0" fontId="5" fillId="0" borderId="100" xfId="2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3" fontId="6" fillId="0" borderId="100" xfId="21" applyNumberFormat="1" applyFont="1" applyBorder="1">
      <alignment/>
      <protection/>
    </xf>
    <xf numFmtId="3" fontId="5" fillId="0" borderId="100" xfId="21" applyNumberFormat="1" applyFont="1" applyBorder="1">
      <alignment/>
      <protection/>
    </xf>
    <xf numFmtId="3" fontId="5" fillId="0" borderId="128" xfId="21" applyNumberFormat="1" applyFont="1" applyBorder="1">
      <alignment/>
      <protection/>
    </xf>
    <xf numFmtId="3" fontId="19" fillId="0" borderId="92" xfId="21" applyNumberFormat="1" applyFont="1" applyBorder="1">
      <alignment/>
      <protection/>
    </xf>
    <xf numFmtId="0" fontId="11" fillId="3" borderId="95" xfId="21" applyFont="1" applyFill="1" applyBorder="1">
      <alignment/>
      <protection/>
    </xf>
    <xf numFmtId="0" fontId="11" fillId="3" borderId="97" xfId="21" applyFont="1" applyFill="1" applyBorder="1" applyAlignment="1">
      <alignment horizontal="center"/>
      <protection/>
    </xf>
    <xf numFmtId="3" fontId="15" fillId="3" borderId="97" xfId="21" applyNumberFormat="1" applyFont="1" applyFill="1" applyBorder="1">
      <alignment/>
      <protection/>
    </xf>
    <xf numFmtId="3" fontId="11" fillId="3" borderId="97" xfId="21" applyNumberFormat="1" applyFont="1" applyFill="1" applyBorder="1">
      <alignment/>
      <protection/>
    </xf>
    <xf numFmtId="0" fontId="11" fillId="0" borderId="21" xfId="21" applyFont="1" applyBorder="1">
      <alignment/>
      <protection/>
    </xf>
    <xf numFmtId="0" fontId="11" fillId="0" borderId="2" xfId="21" applyFont="1" applyBorder="1" applyAlignment="1">
      <alignment horizontal="center"/>
      <protection/>
    </xf>
    <xf numFmtId="3" fontId="6" fillId="0" borderId="84" xfId="21" applyNumberFormat="1" applyFont="1" applyBorder="1">
      <alignment/>
      <protection/>
    </xf>
    <xf numFmtId="3" fontId="5" fillId="0" borderId="84" xfId="21" applyNumberFormat="1" applyFont="1" applyBorder="1">
      <alignment/>
      <protection/>
    </xf>
    <xf numFmtId="0" fontId="11" fillId="0" borderId="0" xfId="0" applyFont="1" applyAlignment="1">
      <alignment horizontal="left"/>
    </xf>
    <xf numFmtId="0" fontId="25" fillId="0" borderId="0" xfId="24" applyFont="1" applyAlignment="1">
      <alignment/>
      <protection/>
    </xf>
    <xf numFmtId="0" fontId="25" fillId="0" borderId="0" xfId="24" applyFont="1" applyAlignment="1">
      <alignment horizontal="center"/>
      <protection/>
    </xf>
    <xf numFmtId="0" fontId="25" fillId="0" borderId="0" xfId="24" applyFont="1">
      <alignment/>
      <protection/>
    </xf>
    <xf numFmtId="0" fontId="25" fillId="0" borderId="0" xfId="24" applyFont="1" applyAlignment="1">
      <alignment horizontal="left"/>
      <protection/>
    </xf>
    <xf numFmtId="0" fontId="44" fillId="0" borderId="144" xfId="24" applyFont="1" applyBorder="1" applyAlignment="1">
      <alignment horizontal="center"/>
      <protection/>
    </xf>
    <xf numFmtId="0" fontId="44" fillId="0" borderId="147" xfId="24" applyFont="1" applyBorder="1" applyAlignment="1">
      <alignment/>
      <protection/>
    </xf>
    <xf numFmtId="0" fontId="44" fillId="0" borderId="148" xfId="24" applyFont="1" applyBorder="1" applyAlignment="1">
      <alignment horizontal="center"/>
      <protection/>
    </xf>
    <xf numFmtId="0" fontId="44" fillId="0" borderId="52" xfId="24" applyFont="1" applyBorder="1" applyAlignment="1">
      <alignment/>
      <protection/>
    </xf>
    <xf numFmtId="0" fontId="44" fillId="0" borderId="11" xfId="24" applyFont="1" applyBorder="1" applyAlignment="1">
      <alignment horizontal="center"/>
      <protection/>
    </xf>
    <xf numFmtId="0" fontId="44" fillId="0" borderId="50" xfId="24" applyFont="1" applyBorder="1" applyAlignment="1">
      <alignment horizontal="center"/>
      <protection/>
    </xf>
    <xf numFmtId="0" fontId="44" fillId="0" borderId="54" xfId="24" applyFont="1" applyBorder="1" applyAlignment="1">
      <alignment horizontal="center"/>
      <protection/>
    </xf>
    <xf numFmtId="0" fontId="44" fillId="0" borderId="11" xfId="24" applyFont="1" applyBorder="1" applyAlignment="1">
      <alignment horizontal="center"/>
      <protection/>
    </xf>
    <xf numFmtId="0" fontId="44" fillId="0" borderId="50" xfId="24" applyFont="1" applyBorder="1" applyAlignment="1">
      <alignment horizontal="center"/>
      <protection/>
    </xf>
    <xf numFmtId="0" fontId="44" fillId="0" borderId="54" xfId="24" applyFont="1" applyBorder="1" applyAlignment="1">
      <alignment horizontal="center"/>
      <protection/>
    </xf>
    <xf numFmtId="0" fontId="44" fillId="0" borderId="11" xfId="24" applyFont="1" applyFill="1" applyBorder="1" applyAlignment="1">
      <alignment horizontal="center"/>
      <protection/>
    </xf>
    <xf numFmtId="0" fontId="44" fillId="0" borderId="50" xfId="24" applyFont="1" applyFill="1" applyBorder="1" applyAlignment="1">
      <alignment horizontal="center"/>
      <protection/>
    </xf>
    <xf numFmtId="0" fontId="44" fillId="0" borderId="54" xfId="24" applyFont="1" applyFill="1" applyBorder="1" applyAlignment="1">
      <alignment horizontal="center"/>
      <protection/>
    </xf>
    <xf numFmtId="0" fontId="44" fillId="0" borderId="11" xfId="24" applyFont="1" applyFill="1" applyBorder="1" applyAlignment="1">
      <alignment horizontal="center"/>
      <protection/>
    </xf>
    <xf numFmtId="0" fontId="44" fillId="0" borderId="50" xfId="24" applyFont="1" applyFill="1" applyBorder="1" applyAlignment="1">
      <alignment horizontal="center"/>
      <protection/>
    </xf>
    <xf numFmtId="0" fontId="44" fillId="0" borderId="54" xfId="24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54" xfId="0" applyFont="1" applyFill="1" applyBorder="1" applyAlignment="1">
      <alignment horizontal="center"/>
    </xf>
    <xf numFmtId="0" fontId="44" fillId="2" borderId="50" xfId="0" applyFont="1" applyFill="1" applyBorder="1" applyAlignment="1">
      <alignment horizontal="center"/>
    </xf>
    <xf numFmtId="0" fontId="45" fillId="0" borderId="95" xfId="24" applyFont="1" applyBorder="1" applyAlignment="1">
      <alignment horizontal="center"/>
      <protection/>
    </xf>
    <xf numFmtId="0" fontId="45" fillId="0" borderId="149" xfId="24" applyFont="1" applyBorder="1" applyAlignment="1">
      <alignment/>
      <protection/>
    </xf>
    <xf numFmtId="0" fontId="45" fillId="0" borderId="134" xfId="24" applyFont="1" applyBorder="1" applyAlignment="1">
      <alignment horizontal="center"/>
      <protection/>
    </xf>
    <xf numFmtId="0" fontId="45" fillId="0" borderId="97" xfId="24" applyFont="1" applyBorder="1" applyAlignment="1">
      <alignment horizontal="center"/>
      <protection/>
    </xf>
    <xf numFmtId="0" fontId="45" fillId="0" borderId="98" xfId="24" applyFont="1" applyBorder="1" applyAlignment="1">
      <alignment horizontal="center"/>
      <protection/>
    </xf>
    <xf numFmtId="0" fontId="45" fillId="0" borderId="134" xfId="24" applyFont="1" applyFill="1" applyBorder="1" applyAlignment="1">
      <alignment horizontal="center"/>
      <protection/>
    </xf>
    <xf numFmtId="0" fontId="45" fillId="0" borderId="97" xfId="24" applyFont="1" applyFill="1" applyBorder="1" applyAlignment="1">
      <alignment horizontal="center"/>
      <protection/>
    </xf>
    <xf numFmtId="0" fontId="45" fillId="0" borderId="98" xfId="24" applyFont="1" applyFill="1" applyBorder="1" applyAlignment="1">
      <alignment horizontal="center"/>
      <protection/>
    </xf>
    <xf numFmtId="0" fontId="45" fillId="0" borderId="0" xfId="24" applyFont="1">
      <alignment/>
      <protection/>
    </xf>
    <xf numFmtId="0" fontId="44" fillId="0" borderId="8" xfId="24" applyFont="1" applyBorder="1" applyAlignment="1">
      <alignment horizontal="center"/>
      <protection/>
    </xf>
    <xf numFmtId="0" fontId="44" fillId="0" borderId="35" xfId="24" applyFont="1" applyBorder="1" applyAlignment="1">
      <alignment/>
      <protection/>
    </xf>
    <xf numFmtId="4" fontId="25" fillId="0" borderId="7" xfId="24" applyNumberFormat="1" applyFont="1" applyBorder="1" applyAlignment="1">
      <alignment horizontal="right"/>
      <protection/>
    </xf>
    <xf numFmtId="4" fontId="25" fillId="0" borderId="92" xfId="24" applyNumberFormat="1" applyFont="1" applyBorder="1" applyAlignment="1">
      <alignment horizontal="right"/>
      <protection/>
    </xf>
    <xf numFmtId="4" fontId="25" fillId="0" borderId="93" xfId="24" applyNumberFormat="1" applyFont="1" applyBorder="1" applyAlignment="1">
      <alignment horizontal="right"/>
      <protection/>
    </xf>
    <xf numFmtId="4" fontId="25" fillId="0" borderId="93" xfId="24" applyNumberFormat="1" applyFont="1" applyBorder="1" applyAlignment="1">
      <alignment horizontal="right"/>
      <protection/>
    </xf>
    <xf numFmtId="4" fontId="25" fillId="0" borderId="93" xfId="24" applyNumberFormat="1" applyFont="1" applyFill="1" applyBorder="1">
      <alignment/>
      <protection/>
    </xf>
    <xf numFmtId="4" fontId="25" fillId="0" borderId="93" xfId="24" applyNumberFormat="1" applyFont="1" applyBorder="1">
      <alignment/>
      <protection/>
    </xf>
    <xf numFmtId="4" fontId="25" fillId="0" borderId="7" xfId="0" applyNumberFormat="1" applyFont="1" applyBorder="1" applyAlignment="1">
      <alignment horizontal="right"/>
    </xf>
    <xf numFmtId="4" fontId="25" fillId="0" borderId="92" xfId="0" applyNumberFormat="1" applyFont="1" applyBorder="1" applyAlignment="1">
      <alignment horizontal="right"/>
    </xf>
    <xf numFmtId="4" fontId="25" fillId="0" borderId="93" xfId="24" applyNumberFormat="1" applyFont="1" applyFill="1" applyBorder="1">
      <alignment/>
      <protection/>
    </xf>
    <xf numFmtId="3" fontId="25" fillId="0" borderId="7" xfId="0" applyNumberFormat="1" applyFont="1" applyBorder="1" applyAlignment="1">
      <alignment horizontal="right"/>
    </xf>
    <xf numFmtId="3" fontId="25" fillId="4" borderId="92" xfId="0" applyNumberFormat="1" applyFont="1" applyFill="1" applyBorder="1" applyAlignment="1">
      <alignment horizontal="right"/>
    </xf>
    <xf numFmtId="3" fontId="25" fillId="0" borderId="93" xfId="0" applyNumberFormat="1" applyFont="1" applyFill="1" applyBorder="1" applyAlignment="1">
      <alignment/>
    </xf>
    <xf numFmtId="0" fontId="44" fillId="0" borderId="86" xfId="24" applyFont="1" applyBorder="1" applyAlignment="1">
      <alignment horizontal="center"/>
      <protection/>
    </xf>
    <xf numFmtId="0" fontId="44" fillId="0" borderId="29" xfId="24" applyFont="1" applyBorder="1" applyAlignment="1">
      <alignment/>
      <protection/>
    </xf>
    <xf numFmtId="4" fontId="25" fillId="0" borderId="55" xfId="24" applyNumberFormat="1" applyFont="1" applyBorder="1" applyAlignment="1">
      <alignment horizontal="right"/>
      <protection/>
    </xf>
    <xf numFmtId="4" fontId="25" fillId="0" borderId="100" xfId="24" applyNumberFormat="1" applyFont="1" applyBorder="1" applyAlignment="1">
      <alignment horizontal="right"/>
      <protection/>
    </xf>
    <xf numFmtId="4" fontId="25" fillId="0" borderId="128" xfId="24" applyNumberFormat="1" applyFont="1" applyBorder="1" applyAlignment="1">
      <alignment horizontal="right"/>
      <protection/>
    </xf>
    <xf numFmtId="4" fontId="25" fillId="0" borderId="128" xfId="24" applyNumberFormat="1" applyFont="1" applyBorder="1" applyAlignment="1">
      <alignment horizontal="right"/>
      <protection/>
    </xf>
    <xf numFmtId="4" fontId="25" fillId="0" borderId="128" xfId="24" applyNumberFormat="1" applyFont="1" applyFill="1" applyBorder="1">
      <alignment/>
      <protection/>
    </xf>
    <xf numFmtId="4" fontId="25" fillId="0" borderId="128" xfId="24" applyNumberFormat="1" applyFont="1" applyBorder="1">
      <alignment/>
      <protection/>
    </xf>
    <xf numFmtId="4" fontId="25" fillId="0" borderId="55" xfId="0" applyNumberFormat="1" applyFont="1" applyBorder="1" applyAlignment="1">
      <alignment horizontal="right"/>
    </xf>
    <xf numFmtId="4" fontId="25" fillId="0" borderId="100" xfId="0" applyNumberFormat="1" applyFont="1" applyBorder="1" applyAlignment="1">
      <alignment horizontal="right"/>
    </xf>
    <xf numFmtId="4" fontId="25" fillId="0" borderId="128" xfId="24" applyNumberFormat="1" applyFont="1" applyFill="1" applyBorder="1">
      <alignment/>
      <protection/>
    </xf>
    <xf numFmtId="3" fontId="25" fillId="0" borderId="55" xfId="0" applyNumberFormat="1" applyFont="1" applyBorder="1" applyAlignment="1">
      <alignment horizontal="right"/>
    </xf>
    <xf numFmtId="3" fontId="25" fillId="0" borderId="100" xfId="0" applyNumberFormat="1" applyFont="1" applyBorder="1" applyAlignment="1">
      <alignment horizontal="right"/>
    </xf>
    <xf numFmtId="3" fontId="25" fillId="0" borderId="128" xfId="0" applyNumberFormat="1" applyFont="1" applyFill="1" applyBorder="1" applyAlignment="1">
      <alignment/>
    </xf>
    <xf numFmtId="3" fontId="25" fillId="4" borderId="100" xfId="0" applyNumberFormat="1" applyFont="1" applyFill="1" applyBorder="1" applyAlignment="1">
      <alignment horizontal="right"/>
    </xf>
    <xf numFmtId="0" fontId="44" fillId="0" borderId="46" xfId="24" applyFont="1" applyBorder="1" applyAlignment="1">
      <alignment horizontal="center"/>
      <protection/>
    </xf>
    <xf numFmtId="0" fontId="44" fillId="0" borderId="19" xfId="24" applyFont="1" applyBorder="1" applyAlignment="1">
      <alignment/>
      <protection/>
    </xf>
    <xf numFmtId="4" fontId="25" fillId="0" borderId="32" xfId="24" applyNumberFormat="1" applyFont="1" applyBorder="1" applyAlignment="1">
      <alignment horizontal="right"/>
      <protection/>
    </xf>
    <xf numFmtId="4" fontId="25" fillId="0" borderId="41" xfId="24" applyNumberFormat="1" applyFont="1" applyBorder="1" applyAlignment="1">
      <alignment horizontal="right"/>
      <protection/>
    </xf>
    <xf numFmtId="4" fontId="25" fillId="0" borderId="42" xfId="24" applyNumberFormat="1" applyFont="1" applyBorder="1" applyAlignment="1">
      <alignment horizontal="right"/>
      <protection/>
    </xf>
    <xf numFmtId="4" fontId="25" fillId="0" borderId="42" xfId="24" applyNumberFormat="1" applyFont="1" applyBorder="1" applyAlignment="1">
      <alignment horizontal="right"/>
      <protection/>
    </xf>
    <xf numFmtId="4" fontId="25" fillId="0" borderId="129" xfId="24" applyNumberFormat="1" applyFont="1" applyFill="1" applyBorder="1">
      <alignment/>
      <protection/>
    </xf>
    <xf numFmtId="4" fontId="25" fillId="0" borderId="129" xfId="24" applyNumberFormat="1" applyFont="1" applyBorder="1">
      <alignment/>
      <protection/>
    </xf>
    <xf numFmtId="4" fontId="25" fillId="0" borderId="32" xfId="0" applyNumberFormat="1" applyFont="1" applyBorder="1" applyAlignment="1">
      <alignment horizontal="right"/>
    </xf>
    <xf numFmtId="4" fontId="25" fillId="0" borderId="41" xfId="0" applyNumberFormat="1" applyFont="1" applyBorder="1" applyAlignment="1">
      <alignment horizontal="right"/>
    </xf>
    <xf numFmtId="4" fontId="25" fillId="0" borderId="129" xfId="24" applyNumberFormat="1" applyFont="1" applyFill="1" applyBorder="1">
      <alignment/>
      <protection/>
    </xf>
    <xf numFmtId="3" fontId="25" fillId="0" borderId="32" xfId="0" applyNumberFormat="1" applyFont="1" applyBorder="1" applyAlignment="1">
      <alignment horizontal="right"/>
    </xf>
    <xf numFmtId="3" fontId="25" fillId="0" borderId="107" xfId="0" applyNumberFormat="1" applyFont="1" applyBorder="1" applyAlignment="1">
      <alignment horizontal="right"/>
    </xf>
    <xf numFmtId="3" fontId="25" fillId="0" borderId="129" xfId="0" applyNumberFormat="1" applyFont="1" applyFill="1" applyBorder="1" applyAlignment="1">
      <alignment/>
    </xf>
    <xf numFmtId="4" fontId="25" fillId="0" borderId="94" xfId="24" applyNumberFormat="1" applyFont="1" applyFill="1" applyBorder="1">
      <alignment/>
      <protection/>
    </xf>
    <xf numFmtId="4" fontId="25" fillId="0" borderId="94" xfId="24" applyNumberFormat="1" applyFont="1" applyFill="1" applyBorder="1">
      <alignment/>
      <protection/>
    </xf>
    <xf numFmtId="3" fontId="25" fillId="0" borderId="94" xfId="0" applyNumberFormat="1" applyFont="1" applyFill="1" applyBorder="1" applyAlignment="1">
      <alignment/>
    </xf>
    <xf numFmtId="4" fontId="25" fillId="0" borderId="55" xfId="0" applyNumberFormat="1" applyFont="1" applyFill="1" applyBorder="1" applyAlignment="1">
      <alignment horizontal="right"/>
    </xf>
    <xf numFmtId="4" fontId="25" fillId="5" borderId="100" xfId="0" applyNumberFormat="1" applyFont="1" applyFill="1" applyBorder="1" applyAlignment="1">
      <alignment horizontal="right"/>
    </xf>
    <xf numFmtId="3" fontId="25" fillId="0" borderId="55" xfId="0" applyNumberFormat="1" applyFont="1" applyFill="1" applyBorder="1" applyAlignment="1">
      <alignment horizontal="right"/>
    </xf>
    <xf numFmtId="4" fontId="46" fillId="0" borderId="55" xfId="0" applyNumberFormat="1" applyFont="1" applyBorder="1" applyAlignment="1">
      <alignment horizontal="right"/>
    </xf>
    <xf numFmtId="4" fontId="46" fillId="0" borderId="100" xfId="0" applyNumberFormat="1" applyFont="1" applyBorder="1" applyAlignment="1">
      <alignment horizontal="right"/>
    </xf>
    <xf numFmtId="4" fontId="25" fillId="0" borderId="42" xfId="24" applyNumberFormat="1" applyFont="1" applyFill="1" applyBorder="1">
      <alignment/>
      <protection/>
    </xf>
    <xf numFmtId="4" fontId="25" fillId="0" borderId="42" xfId="24" applyNumberFormat="1" applyFont="1" applyFill="1" applyBorder="1">
      <alignment/>
      <protection/>
    </xf>
    <xf numFmtId="3" fontId="25" fillId="0" borderId="42" xfId="0" applyNumberFormat="1" applyFont="1" applyFill="1" applyBorder="1" applyAlignment="1">
      <alignment/>
    </xf>
    <xf numFmtId="0" fontId="25" fillId="0" borderId="148" xfId="24" applyFont="1" applyBorder="1" applyAlignment="1">
      <alignment horizontal="left"/>
      <protection/>
    </xf>
    <xf numFmtId="0" fontId="25" fillId="0" borderId="52" xfId="24" applyFont="1" applyBorder="1" applyAlignment="1">
      <alignment/>
      <protection/>
    </xf>
    <xf numFmtId="4" fontId="25" fillId="0" borderId="148" xfId="24" applyNumberFormat="1" applyFont="1" applyBorder="1" applyAlignment="1">
      <alignment horizontal="right"/>
      <protection/>
    </xf>
    <xf numFmtId="4" fontId="25" fillId="0" borderId="50" xfId="24" applyNumberFormat="1" applyFont="1" applyBorder="1" applyAlignment="1">
      <alignment horizontal="right"/>
      <protection/>
    </xf>
    <xf numFmtId="4" fontId="25" fillId="0" borderId="52" xfId="24" applyNumberFormat="1" applyFont="1" applyBorder="1" applyAlignment="1">
      <alignment horizontal="right"/>
      <protection/>
    </xf>
    <xf numFmtId="4" fontId="25" fillId="0" borderId="52" xfId="24" applyNumberFormat="1" applyFont="1" applyBorder="1" applyAlignment="1">
      <alignment horizontal="right"/>
      <protection/>
    </xf>
    <xf numFmtId="4" fontId="25" fillId="0" borderId="54" xfId="24" applyNumberFormat="1" applyFont="1" applyFill="1" applyBorder="1">
      <alignment/>
      <protection/>
    </xf>
    <xf numFmtId="4" fontId="25" fillId="0" borderId="148" xfId="24" applyNumberFormat="1" applyFont="1" applyBorder="1" applyAlignment="1">
      <alignment horizontal="right"/>
      <protection/>
    </xf>
    <xf numFmtId="4" fontId="25" fillId="0" borderId="50" xfId="24" applyNumberFormat="1" applyFont="1" applyBorder="1" applyAlignment="1">
      <alignment horizontal="right"/>
      <protection/>
    </xf>
    <xf numFmtId="3" fontId="25" fillId="0" borderId="148" xfId="0" applyNumberFormat="1" applyFont="1" applyBorder="1" applyAlignment="1">
      <alignment horizontal="right"/>
    </xf>
    <xf numFmtId="3" fontId="25" fillId="0" borderId="50" xfId="0" applyNumberFormat="1" applyFont="1" applyBorder="1" applyAlignment="1">
      <alignment horizontal="right"/>
    </xf>
    <xf numFmtId="3" fontId="25" fillId="0" borderId="54" xfId="0" applyNumberFormat="1" applyFont="1" applyFill="1" applyBorder="1" applyAlignment="1">
      <alignment/>
    </xf>
    <xf numFmtId="3" fontId="25" fillId="2" borderId="50" xfId="0" applyNumberFormat="1" applyFont="1" applyFill="1" applyBorder="1" applyAlignment="1">
      <alignment horizontal="right"/>
    </xf>
    <xf numFmtId="0" fontId="25" fillId="0" borderId="86" xfId="24" applyFont="1" applyBorder="1" applyAlignment="1">
      <alignment horizontal="left"/>
      <protection/>
    </xf>
    <xf numFmtId="0" fontId="25" fillId="0" borderId="29" xfId="24" applyFont="1" applyBorder="1" applyAlignment="1">
      <alignment/>
      <protection/>
    </xf>
    <xf numFmtId="4" fontId="25" fillId="0" borderId="86" xfId="24" applyNumberFormat="1" applyFont="1" applyBorder="1" applyAlignment="1">
      <alignment horizontal="right"/>
      <protection/>
    </xf>
    <xf numFmtId="4" fontId="25" fillId="0" borderId="29" xfId="24" applyNumberFormat="1" applyFont="1" applyBorder="1" applyAlignment="1">
      <alignment horizontal="right"/>
      <protection/>
    </xf>
    <xf numFmtId="4" fontId="25" fillId="0" borderId="29" xfId="24" applyNumberFormat="1" applyFont="1" applyBorder="1" applyAlignment="1">
      <alignment horizontal="right"/>
      <protection/>
    </xf>
    <xf numFmtId="4" fontId="25" fillId="0" borderId="86" xfId="24" applyNumberFormat="1" applyFont="1" applyBorder="1" applyAlignment="1">
      <alignment horizontal="right"/>
      <protection/>
    </xf>
    <xf numFmtId="4" fontId="25" fillId="0" borderId="100" xfId="24" applyNumberFormat="1" applyFont="1" applyBorder="1" applyAlignment="1">
      <alignment horizontal="right"/>
      <protection/>
    </xf>
    <xf numFmtId="3" fontId="25" fillId="0" borderId="86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0" fontId="25" fillId="0" borderId="21" xfId="24" applyFont="1" applyBorder="1" applyAlignment="1">
      <alignment horizontal="left"/>
      <protection/>
    </xf>
    <xf numFmtId="0" fontId="25" fillId="0" borderId="5" xfId="24" applyFont="1" applyBorder="1" applyAlignment="1">
      <alignment/>
      <protection/>
    </xf>
    <xf numFmtId="4" fontId="25" fillId="0" borderId="21" xfId="24" applyNumberFormat="1" applyFont="1" applyBorder="1" applyAlignment="1">
      <alignment horizontal="right"/>
      <protection/>
    </xf>
    <xf numFmtId="4" fontId="25" fillId="0" borderId="84" xfId="24" applyNumberFormat="1" applyFont="1" applyBorder="1" applyAlignment="1">
      <alignment horizontal="right"/>
      <protection/>
    </xf>
    <xf numFmtId="4" fontId="25" fillId="0" borderId="5" xfId="24" applyNumberFormat="1" applyFont="1" applyBorder="1" applyAlignment="1">
      <alignment horizontal="right"/>
      <protection/>
    </xf>
    <xf numFmtId="4" fontId="25" fillId="0" borderId="21" xfId="24" applyNumberFormat="1" applyFont="1" applyBorder="1" applyAlignment="1">
      <alignment horizontal="right"/>
      <protection/>
    </xf>
    <xf numFmtId="4" fontId="25" fillId="0" borderId="84" xfId="24" applyNumberFormat="1" applyFont="1" applyBorder="1" applyAlignment="1">
      <alignment horizontal="right"/>
      <protection/>
    </xf>
    <xf numFmtId="4" fontId="25" fillId="0" borderId="5" xfId="24" applyNumberFormat="1" applyFont="1" applyBorder="1" applyAlignment="1">
      <alignment horizontal="right"/>
      <protection/>
    </xf>
    <xf numFmtId="3" fontId="25" fillId="0" borderId="21" xfId="0" applyNumberFormat="1" applyFont="1" applyBorder="1" applyAlignment="1">
      <alignment horizontal="right"/>
    </xf>
    <xf numFmtId="3" fontId="25" fillId="0" borderId="8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4" fontId="25" fillId="0" borderId="0" xfId="24" applyNumberFormat="1" applyFont="1" applyAlignment="1">
      <alignment horizontal="center"/>
      <protection/>
    </xf>
    <xf numFmtId="0" fontId="46" fillId="0" borderId="0" xfId="24" applyFont="1" applyAlignment="1">
      <alignment horizontal="center"/>
      <protection/>
    </xf>
    <xf numFmtId="4" fontId="46" fillId="0" borderId="0" xfId="24" applyNumberFormat="1" applyFont="1">
      <alignment/>
      <protection/>
    </xf>
    <xf numFmtId="4" fontId="25" fillId="0" borderId="0" xfId="24" applyNumberFormat="1" applyFont="1" applyAlignment="1">
      <alignment horizontal="center"/>
      <protection/>
    </xf>
    <xf numFmtId="4" fontId="25" fillId="0" borderId="0" xfId="0" applyNumberFormat="1" applyFont="1" applyAlignment="1">
      <alignment horizontal="center"/>
    </xf>
    <xf numFmtId="4" fontId="25" fillId="0" borderId="0" xfId="24" applyNumberFormat="1" applyFont="1">
      <alignment/>
      <protection/>
    </xf>
    <xf numFmtId="0" fontId="25" fillId="0" borderId="0" xfId="24" applyFont="1">
      <alignment/>
      <protection/>
    </xf>
    <xf numFmtId="0" fontId="46" fillId="0" borderId="0" xfId="24" applyFont="1" applyAlignment="1">
      <alignment horizontal="left"/>
      <protection/>
    </xf>
    <xf numFmtId="0" fontId="46" fillId="0" borderId="0" xfId="24" applyFont="1" applyAlignment="1">
      <alignment/>
      <protection/>
    </xf>
    <xf numFmtId="0" fontId="45" fillId="0" borderId="0" xfId="24" applyFont="1" applyAlignment="1">
      <alignment/>
      <protection/>
    </xf>
    <xf numFmtId="0" fontId="45" fillId="0" borderId="0" xfId="24" applyFont="1" applyAlignment="1">
      <alignment horizontal="center"/>
      <protection/>
    </xf>
    <xf numFmtId="3" fontId="43" fillId="2" borderId="150" xfId="21" applyNumberFormat="1" applyFont="1" applyFill="1" applyBorder="1" applyAlignment="1">
      <alignment horizontal="right"/>
      <protection/>
    </xf>
    <xf numFmtId="3" fontId="5" fillId="3" borderId="98" xfId="21" applyNumberFormat="1" applyFont="1" applyFill="1" applyBorder="1">
      <alignment/>
      <protection/>
    </xf>
    <xf numFmtId="3" fontId="5" fillId="0" borderId="127" xfId="21" applyNumberFormat="1" applyFont="1" applyBorder="1">
      <alignment/>
      <protection/>
    </xf>
    <xf numFmtId="0" fontId="30" fillId="0" borderId="91" xfId="21" applyFont="1" applyBorder="1" applyAlignment="1">
      <alignment horizontal="center"/>
      <protection/>
    </xf>
    <xf numFmtId="0" fontId="30" fillId="0" borderId="127" xfId="21" applyFont="1" applyBorder="1" applyAlignment="1">
      <alignment horizontal="center"/>
      <protection/>
    </xf>
    <xf numFmtId="3" fontId="30" fillId="0" borderId="128" xfId="21" applyNumberFormat="1" applyFont="1" applyFill="1" applyBorder="1">
      <alignment/>
      <protection/>
    </xf>
    <xf numFmtId="3" fontId="30" fillId="0" borderId="151" xfId="21" applyNumberFormat="1" applyFont="1" applyFill="1" applyBorder="1">
      <alignment/>
      <protection/>
    </xf>
    <xf numFmtId="3" fontId="30" fillId="0" borderId="94" xfId="21" applyNumberFormat="1" applyFont="1" applyFill="1" applyBorder="1">
      <alignment/>
      <protection/>
    </xf>
    <xf numFmtId="3" fontId="30" fillId="0" borderId="94" xfId="21" applyNumberFormat="1" applyFont="1" applyFill="1" applyBorder="1" applyAlignment="1">
      <alignment horizontal="right"/>
      <protection/>
    </xf>
    <xf numFmtId="3" fontId="41" fillId="2" borderId="108" xfId="21" applyNumberFormat="1" applyFont="1" applyFill="1" applyBorder="1">
      <alignment/>
      <protection/>
    </xf>
    <xf numFmtId="3" fontId="30" fillId="0" borderId="152" xfId="21" applyNumberFormat="1" applyFont="1" applyBorder="1" applyAlignment="1">
      <alignment horizontal="right"/>
      <protection/>
    </xf>
    <xf numFmtId="3" fontId="30" fillId="0" borderId="42" xfId="21" applyNumberFormat="1" applyFont="1" applyBorder="1" applyAlignment="1">
      <alignment horizontal="right"/>
      <protection/>
    </xf>
    <xf numFmtId="3" fontId="30" fillId="0" borderId="93" xfId="21" applyNumberFormat="1" applyFont="1" applyBorder="1" applyAlignment="1">
      <alignment horizontal="right"/>
      <protection/>
    </xf>
    <xf numFmtId="3" fontId="30" fillId="0" borderId="128" xfId="21" applyNumberFormat="1" applyFont="1" applyBorder="1" applyAlignment="1">
      <alignment horizontal="right"/>
      <protection/>
    </xf>
    <xf numFmtId="3" fontId="30" fillId="0" borderId="42" xfId="21" applyNumberFormat="1" applyFont="1" applyFill="1" applyBorder="1" applyAlignment="1">
      <alignment horizontal="right"/>
      <protection/>
    </xf>
    <xf numFmtId="3" fontId="30" fillId="0" borderId="152" xfId="21" applyNumberFormat="1" applyFont="1" applyFill="1" applyBorder="1" applyAlignment="1">
      <alignment horizontal="right"/>
      <protection/>
    </xf>
    <xf numFmtId="3" fontId="30" fillId="0" borderId="128" xfId="21" applyNumberFormat="1" applyFont="1" applyFill="1" applyBorder="1" applyAlignment="1">
      <alignment horizontal="right"/>
      <protection/>
    </xf>
    <xf numFmtId="3" fontId="30" fillId="3" borderId="43" xfId="21" applyNumberFormat="1" applyFont="1" applyFill="1" applyBorder="1" applyAlignment="1">
      <alignment horizontal="right"/>
      <protection/>
    </xf>
    <xf numFmtId="3" fontId="30" fillId="2" borderId="146" xfId="21" applyNumberFormat="1" applyFont="1" applyFill="1" applyBorder="1">
      <alignment/>
      <protection/>
    </xf>
    <xf numFmtId="3" fontId="30" fillId="6" borderId="94" xfId="21" applyNumberFormat="1" applyFont="1" applyFill="1" applyBorder="1">
      <alignment/>
      <protection/>
    </xf>
    <xf numFmtId="3" fontId="30" fillId="6" borderId="93" xfId="21" applyNumberFormat="1" applyFont="1" applyFill="1" applyBorder="1">
      <alignment/>
      <protection/>
    </xf>
    <xf numFmtId="3" fontId="30" fillId="2" borderId="98" xfId="21" applyNumberFormat="1" applyFont="1" applyFill="1" applyBorder="1">
      <alignment/>
      <protection/>
    </xf>
    <xf numFmtId="3" fontId="30" fillId="2" borderId="98" xfId="21" applyNumberFormat="1" applyFont="1" applyFill="1" applyBorder="1" applyAlignment="1">
      <alignment horizontal="right"/>
      <protection/>
    </xf>
    <xf numFmtId="3" fontId="30" fillId="0" borderId="129" xfId="21" applyNumberFormat="1" applyFont="1" applyFill="1" applyBorder="1" applyAlignment="1">
      <alignment horizontal="right"/>
      <protection/>
    </xf>
    <xf numFmtId="3" fontId="30" fillId="0" borderId="93" xfId="21" applyNumberFormat="1" applyFont="1" applyFill="1" applyBorder="1">
      <alignment/>
      <protection/>
    </xf>
    <xf numFmtId="3" fontId="41" fillId="2" borderId="98" xfId="21" applyNumberFormat="1" applyFont="1" applyFill="1" applyBorder="1">
      <alignment/>
      <protection/>
    </xf>
    <xf numFmtId="3" fontId="41" fillId="2" borderId="98" xfId="21" applyNumberFormat="1" applyFont="1" applyFill="1" applyBorder="1" applyAlignment="1">
      <alignment horizontal="right"/>
      <protection/>
    </xf>
    <xf numFmtId="3" fontId="30" fillId="0" borderId="98" xfId="21" applyNumberFormat="1" applyFont="1" applyBorder="1" applyAlignment="1">
      <alignment horizontal="right"/>
      <protection/>
    </xf>
    <xf numFmtId="3" fontId="30" fillId="0" borderId="43" xfId="21" applyNumberFormat="1" applyFont="1" applyFill="1" applyBorder="1">
      <alignment/>
      <protection/>
    </xf>
    <xf numFmtId="3" fontId="43" fillId="3" borderId="111" xfId="21" applyNumberFormat="1" applyFont="1" applyFill="1" applyBorder="1" applyAlignment="1">
      <alignment horizontal="right"/>
      <protection/>
    </xf>
    <xf numFmtId="3" fontId="43" fillId="2" borderId="153" xfId="21" applyNumberFormat="1" applyFont="1" applyFill="1" applyBorder="1">
      <alignment/>
      <protection/>
    </xf>
    <xf numFmtId="3" fontId="43" fillId="6" borderId="154" xfId="21" applyNumberFormat="1" applyFont="1" applyFill="1" applyBorder="1">
      <alignment/>
      <protection/>
    </xf>
    <xf numFmtId="3" fontId="43" fillId="6" borderId="4" xfId="21" applyNumberFormat="1" applyFont="1" applyFill="1" applyBorder="1">
      <alignment/>
      <protection/>
    </xf>
    <xf numFmtId="3" fontId="43" fillId="0" borderId="56" xfId="21" applyNumberFormat="1" applyFont="1" applyFill="1" applyBorder="1" applyAlignment="1">
      <alignment horizontal="right"/>
      <protection/>
    </xf>
    <xf numFmtId="3" fontId="24" fillId="7" borderId="154" xfId="21" applyNumberFormat="1" applyFont="1" applyFill="1" applyBorder="1">
      <alignment/>
      <protection/>
    </xf>
    <xf numFmtId="3" fontId="43" fillId="0" borderId="56" xfId="21" applyNumberFormat="1" applyFont="1" applyFill="1" applyBorder="1">
      <alignment/>
      <protection/>
    </xf>
    <xf numFmtId="3" fontId="43" fillId="5" borderId="56" xfId="21" applyNumberFormat="1" applyFont="1" applyFill="1" applyBorder="1">
      <alignment/>
      <protection/>
    </xf>
    <xf numFmtId="3" fontId="47" fillId="2" borderId="150" xfId="21" applyNumberFormat="1" applyFont="1" applyFill="1" applyBorder="1">
      <alignment/>
      <protection/>
    </xf>
    <xf numFmtId="3" fontId="43" fillId="0" borderId="155" xfId="21" applyNumberFormat="1" applyFont="1" applyFill="1" applyBorder="1" applyAlignment="1">
      <alignment horizontal="right"/>
      <protection/>
    </xf>
    <xf numFmtId="3" fontId="43" fillId="0" borderId="156" xfId="21" applyNumberFormat="1" applyFont="1" applyFill="1" applyBorder="1" applyAlignment="1">
      <alignment horizontal="right"/>
      <protection/>
    </xf>
    <xf numFmtId="3" fontId="43" fillId="0" borderId="4" xfId="21" applyNumberFormat="1" applyFont="1" applyFill="1" applyBorder="1" applyAlignment="1">
      <alignment horizontal="right"/>
      <protection/>
    </xf>
    <xf numFmtId="3" fontId="47" fillId="2" borderId="150" xfId="21" applyNumberFormat="1" applyFont="1" applyFill="1" applyBorder="1" applyAlignment="1">
      <alignment horizontal="right"/>
      <protection/>
    </xf>
    <xf numFmtId="3" fontId="43" fillId="0" borderId="150" xfId="21" applyNumberFormat="1" applyFont="1" applyFill="1" applyBorder="1" applyAlignment="1">
      <alignment horizontal="right"/>
      <protection/>
    </xf>
    <xf numFmtId="3" fontId="43" fillId="0" borderId="111" xfId="21" applyNumberFormat="1" applyFont="1" applyBorder="1">
      <alignment/>
      <protection/>
    </xf>
    <xf numFmtId="3" fontId="43" fillId="0" borderId="0" xfId="21" applyNumberFormat="1" applyFont="1" applyFill="1" applyBorder="1">
      <alignment/>
      <protection/>
    </xf>
    <xf numFmtId="4" fontId="26" fillId="0" borderId="0" xfId="21" applyNumberFormat="1" applyFont="1" applyFill="1" applyBorder="1">
      <alignment/>
      <protection/>
    </xf>
    <xf numFmtId="0" fontId="43" fillId="0" borderId="147" xfId="21" applyFont="1" applyBorder="1" applyAlignment="1">
      <alignment horizontal="center"/>
      <protection/>
    </xf>
    <xf numFmtId="3" fontId="43" fillId="0" borderId="35" xfId="21" applyNumberFormat="1" applyFont="1" applyBorder="1">
      <alignment/>
      <protection/>
    </xf>
    <xf numFmtId="3" fontId="43" fillId="0" borderId="29" xfId="21" applyNumberFormat="1" applyFont="1" applyBorder="1">
      <alignment/>
      <protection/>
    </xf>
    <xf numFmtId="3" fontId="43" fillId="3" borderId="149" xfId="21" applyNumberFormat="1" applyFont="1" applyFill="1" applyBorder="1">
      <alignment/>
      <protection/>
    </xf>
    <xf numFmtId="3" fontId="43" fillId="0" borderId="5" xfId="21" applyNumberFormat="1" applyFont="1" applyBorder="1">
      <alignment/>
      <protection/>
    </xf>
    <xf numFmtId="0" fontId="30" fillId="0" borderId="100" xfId="21" applyFont="1" applyBorder="1">
      <alignment/>
      <protection/>
    </xf>
    <xf numFmtId="0" fontId="30" fillId="0" borderId="100" xfId="21" applyFont="1" applyFill="1" applyBorder="1">
      <alignment/>
      <protection/>
    </xf>
    <xf numFmtId="0" fontId="30" fillId="0" borderId="110" xfId="21" applyFont="1" applyFill="1" applyBorder="1">
      <alignment/>
      <protection/>
    </xf>
    <xf numFmtId="0" fontId="11" fillId="3" borderId="96" xfId="21" applyFont="1" applyFill="1" applyBorder="1" applyAlignment="1">
      <alignment horizontal="center"/>
      <protection/>
    </xf>
    <xf numFmtId="0" fontId="5" fillId="0" borderId="41" xfId="21" applyFont="1" applyBorder="1" applyAlignment="1">
      <alignment horizontal="center"/>
      <protection/>
    </xf>
    <xf numFmtId="0" fontId="12" fillId="0" borderId="3" xfId="0" applyFont="1" applyBorder="1" applyAlignment="1">
      <alignment horizontal="center"/>
    </xf>
    <xf numFmtId="0" fontId="5" fillId="0" borderId="15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0" borderId="15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2" fillId="2" borderId="33" xfId="0" applyFont="1" applyFill="1" applyBorder="1" applyAlignment="1">
      <alignment/>
    </xf>
    <xf numFmtId="0" fontId="11" fillId="2" borderId="158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5" fillId="2" borderId="101" xfId="0" applyFont="1" applyFill="1" applyBorder="1" applyAlignment="1">
      <alignment/>
    </xf>
    <xf numFmtId="0" fontId="0" fillId="0" borderId="57" xfId="0" applyFont="1" applyBorder="1" applyAlignment="1">
      <alignment/>
    </xf>
    <xf numFmtId="0" fontId="5" fillId="0" borderId="11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8" xfId="0" applyFont="1" applyBorder="1" applyAlignment="1">
      <alignment/>
    </xf>
    <xf numFmtId="0" fontId="0" fillId="0" borderId="130" xfId="0" applyFont="1" applyBorder="1" applyAlignment="1">
      <alignment/>
    </xf>
    <xf numFmtId="0" fontId="5" fillId="0" borderId="15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4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2" fillId="2" borderId="12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5" fillId="2" borderId="111" xfId="0" applyFont="1" applyFill="1" applyBorder="1" applyAlignment="1">
      <alignment/>
    </xf>
    <xf numFmtId="0" fontId="0" fillId="0" borderId="5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69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160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1" xfId="0" applyFont="1" applyBorder="1" applyAlignment="1">
      <alignment/>
    </xf>
    <xf numFmtId="0" fontId="42" fillId="0" borderId="0" xfId="0" applyFont="1" applyAlignment="1">
      <alignment/>
    </xf>
    <xf numFmtId="0" fontId="0" fillId="8" borderId="97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4" borderId="107" xfId="21" applyFont="1" applyFill="1" applyBorder="1" applyAlignment="1">
      <alignment horizontal="center"/>
      <protection/>
    </xf>
    <xf numFmtId="0" fontId="5" fillId="4" borderId="107" xfId="21" applyFont="1" applyFill="1" applyBorder="1">
      <alignment/>
      <protection/>
    </xf>
    <xf numFmtId="3" fontId="6" fillId="4" borderId="124" xfId="21" applyNumberFormat="1" applyFont="1" applyFill="1" applyBorder="1">
      <alignment/>
      <protection/>
    </xf>
    <xf numFmtId="3" fontId="5" fillId="4" borderId="124" xfId="21" applyNumberFormat="1" applyFont="1" applyFill="1" applyBorder="1">
      <alignment/>
      <protection/>
    </xf>
    <xf numFmtId="3" fontId="30" fillId="4" borderId="124" xfId="21" applyNumberFormat="1" applyFont="1" applyFill="1" applyBorder="1">
      <alignment/>
      <protection/>
    </xf>
    <xf numFmtId="3" fontId="43" fillId="0" borderId="155" xfId="0" applyNumberFormat="1" applyFont="1" applyFill="1" applyBorder="1" applyAlignment="1">
      <alignment/>
    </xf>
    <xf numFmtId="0" fontId="37" fillId="0" borderId="21" xfId="21" applyFont="1" applyBorder="1">
      <alignment/>
      <protection/>
    </xf>
    <xf numFmtId="0" fontId="37" fillId="0" borderId="84" xfId="21" applyFont="1" applyBorder="1" applyAlignment="1">
      <alignment horizontal="center"/>
      <protection/>
    </xf>
    <xf numFmtId="0" fontId="10" fillId="0" borderId="64" xfId="21" applyFont="1" applyBorder="1">
      <alignment/>
      <protection/>
    </xf>
    <xf numFmtId="3" fontId="9" fillId="0" borderId="72" xfId="21" applyNumberFormat="1" applyFont="1" applyBorder="1">
      <alignment/>
      <protection/>
    </xf>
    <xf numFmtId="3" fontId="10" fillId="0" borderId="72" xfId="21" applyNumberFormat="1" applyFont="1" applyBorder="1">
      <alignment/>
      <protection/>
    </xf>
    <xf numFmtId="3" fontId="30" fillId="0" borderId="75" xfId="21" applyNumberFormat="1" applyFont="1" applyFill="1" applyBorder="1">
      <alignment/>
      <protection/>
    </xf>
    <xf numFmtId="3" fontId="43" fillId="0" borderId="101" xfId="21" applyNumberFormat="1" applyFont="1" applyFill="1" applyBorder="1">
      <alignment/>
      <protection/>
    </xf>
    <xf numFmtId="3" fontId="28" fillId="0" borderId="50" xfId="0" applyNumberFormat="1" applyFont="1" applyFill="1" applyBorder="1" applyAlignment="1">
      <alignment/>
    </xf>
    <xf numFmtId="0" fontId="24" fillId="0" borderId="7" xfId="0" applyFont="1" applyFill="1" applyBorder="1" applyAlignment="1">
      <alignment/>
    </xf>
    <xf numFmtId="3" fontId="28" fillId="0" borderId="92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4" fillId="0" borderId="161" xfId="0" applyFont="1" applyFill="1" applyBorder="1" applyAlignment="1">
      <alignment/>
    </xf>
    <xf numFmtId="3" fontId="28" fillId="0" borderId="140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3" fontId="24" fillId="0" borderId="127" xfId="0" applyNumberFormat="1" applyFont="1" applyFill="1" applyBorder="1" applyAlignment="1">
      <alignment/>
    </xf>
    <xf numFmtId="0" fontId="24" fillId="0" borderId="55" xfId="0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0" fontId="24" fillId="0" borderId="92" xfId="0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8" fillId="0" borderId="3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82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8" fillId="0" borderId="92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93" xfId="0" applyFont="1" applyFill="1" applyBorder="1" applyAlignment="1">
      <alignment horizontal="center"/>
    </xf>
    <xf numFmtId="0" fontId="28" fillId="0" borderId="84" xfId="0" applyFont="1" applyFill="1" applyBorder="1" applyAlignment="1">
      <alignment horizontal="center"/>
    </xf>
    <xf numFmtId="3" fontId="28" fillId="0" borderId="76" xfId="0" applyNumberFormat="1" applyFont="1" applyFill="1" applyBorder="1" applyAlignment="1">
      <alignment/>
    </xf>
    <xf numFmtId="0" fontId="28" fillId="0" borderId="55" xfId="0" applyFont="1" applyFill="1" applyBorder="1" applyAlignment="1">
      <alignment/>
    </xf>
    <xf numFmtId="3" fontId="28" fillId="0" borderId="66" xfId="0" applyNumberFormat="1" applyFont="1" applyFill="1" applyBorder="1" applyAlignment="1">
      <alignment/>
    </xf>
    <xf numFmtId="3" fontId="28" fillId="0" borderId="146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3" fontId="24" fillId="0" borderId="84" xfId="0" applyNumberFormat="1" applyFont="1" applyFill="1" applyBorder="1" applyAlignment="1">
      <alignment/>
    </xf>
    <xf numFmtId="3" fontId="24" fillId="0" borderId="6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4" fillId="0" borderId="162" xfId="0" applyNumberFormat="1" applyFont="1" applyFill="1" applyBorder="1" applyAlignment="1">
      <alignment/>
    </xf>
    <xf numFmtId="3" fontId="24" fillId="0" borderId="103" xfId="0" applyNumberFormat="1" applyFont="1" applyFill="1" applyBorder="1" applyAlignment="1">
      <alignment/>
    </xf>
    <xf numFmtId="3" fontId="24" fillId="0" borderId="163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3" fontId="28" fillId="0" borderId="7" xfId="0" applyNumberFormat="1" applyFont="1" applyFill="1" applyBorder="1" applyAlignment="1">
      <alignment/>
    </xf>
    <xf numFmtId="3" fontId="28" fillId="0" borderId="107" xfId="0" applyNumberFormat="1" applyFont="1" applyFill="1" applyBorder="1" applyAlignment="1">
      <alignment/>
    </xf>
    <xf numFmtId="3" fontId="24" fillId="0" borderId="82" xfId="0" applyNumberFormat="1" applyFont="1" applyFill="1" applyBorder="1" applyAlignment="1">
      <alignment/>
    </xf>
    <xf numFmtId="3" fontId="28" fillId="0" borderId="161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3" fontId="28" fillId="0" borderId="12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28" fillId="0" borderId="29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28" fillId="0" borderId="7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3" fontId="28" fillId="0" borderId="84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162" xfId="0" applyFont="1" applyFill="1" applyBorder="1" applyAlignment="1">
      <alignment horizontal="left"/>
    </xf>
    <xf numFmtId="0" fontId="28" fillId="0" borderId="164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/>
    </xf>
    <xf numFmtId="0" fontId="28" fillId="0" borderId="127" xfId="0" applyFont="1" applyFill="1" applyBorder="1" applyAlignment="1">
      <alignment horizontal="center"/>
    </xf>
    <xf numFmtId="0" fontId="28" fillId="0" borderId="65" xfId="0" applyFont="1" applyFill="1" applyBorder="1" applyAlignment="1">
      <alignment/>
    </xf>
    <xf numFmtId="3" fontId="28" fillId="0" borderId="165" xfId="0" applyNumberFormat="1" applyFont="1" applyFill="1" applyBorder="1" applyAlignment="1">
      <alignment/>
    </xf>
    <xf numFmtId="4" fontId="28" fillId="0" borderId="72" xfId="0" applyNumberFormat="1" applyFont="1" applyFill="1" applyBorder="1" applyAlignment="1">
      <alignment/>
    </xf>
    <xf numFmtId="3" fontId="28" fillId="0" borderId="75" xfId="0" applyNumberFormat="1" applyFont="1" applyFill="1" applyBorder="1" applyAlignment="1">
      <alignment/>
    </xf>
    <xf numFmtId="0" fontId="24" fillId="0" borderId="33" xfId="0" applyFont="1" applyFill="1" applyBorder="1" applyAlignment="1">
      <alignment/>
    </xf>
    <xf numFmtId="4" fontId="24" fillId="0" borderId="84" xfId="0" applyNumberFormat="1" applyFont="1" applyFill="1" applyBorder="1" applyAlignment="1">
      <alignment/>
    </xf>
    <xf numFmtId="0" fontId="24" fillId="0" borderId="61" xfId="0" applyFont="1" applyFill="1" applyBorder="1" applyAlignment="1">
      <alignment/>
    </xf>
    <xf numFmtId="4" fontId="28" fillId="0" borderId="140" xfId="0" applyNumberFormat="1" applyFont="1" applyFill="1" applyBorder="1" applyAlignment="1">
      <alignment/>
    </xf>
    <xf numFmtId="3" fontId="24" fillId="0" borderId="83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0" fontId="28" fillId="0" borderId="61" xfId="0" applyFont="1" applyFill="1" applyBorder="1" applyAlignment="1">
      <alignment/>
    </xf>
    <xf numFmtId="3" fontId="28" fillId="0" borderId="107" xfId="0" applyNumberFormat="1" applyFont="1" applyFill="1" applyBorder="1" applyAlignment="1">
      <alignment/>
    </xf>
    <xf numFmtId="3" fontId="28" fillId="0" borderId="129" xfId="0" applyNumberFormat="1" applyFont="1" applyFill="1" applyBorder="1" applyAlignment="1">
      <alignment/>
    </xf>
    <xf numFmtId="0" fontId="28" fillId="0" borderId="91" xfId="0" applyFont="1" applyFill="1" applyBorder="1" applyAlignment="1">
      <alignment horizontal="center"/>
    </xf>
    <xf numFmtId="4" fontId="28" fillId="0" borderId="92" xfId="0" applyNumberFormat="1" applyFont="1" applyFill="1" applyBorder="1" applyAlignment="1">
      <alignment horizontal="center"/>
    </xf>
    <xf numFmtId="4" fontId="28" fillId="0" borderId="100" xfId="0" applyNumberFormat="1" applyFont="1" applyFill="1" applyBorder="1" applyAlignment="1">
      <alignment horizontal="center"/>
    </xf>
    <xf numFmtId="4" fontId="28" fillId="0" borderId="107" xfId="0" applyNumberFormat="1" applyFont="1" applyFill="1" applyBorder="1" applyAlignment="1">
      <alignment horizontal="center"/>
    </xf>
    <xf numFmtId="4" fontId="24" fillId="0" borderId="83" xfId="0" applyNumberFormat="1" applyFont="1" applyFill="1" applyBorder="1" applyAlignment="1">
      <alignment horizontal="center"/>
    </xf>
    <xf numFmtId="0" fontId="24" fillId="0" borderId="76" xfId="0" applyFont="1" applyFill="1" applyBorder="1" applyAlignment="1">
      <alignment/>
    </xf>
    <xf numFmtId="0" fontId="24" fillId="0" borderId="78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3" fontId="24" fillId="0" borderId="8" xfId="0" applyNumberFormat="1" applyFont="1" applyFill="1" applyBorder="1" applyAlignment="1">
      <alignment horizontal="left"/>
    </xf>
    <xf numFmtId="3" fontId="24" fillId="0" borderId="86" xfId="0" applyNumberFormat="1" applyFont="1" applyFill="1" applyBorder="1" applyAlignment="1">
      <alignment horizontal="left"/>
    </xf>
    <xf numFmtId="3" fontId="24" fillId="0" borderId="123" xfId="0" applyNumberFormat="1" applyFont="1" applyFill="1" applyBorder="1" applyAlignment="1">
      <alignment horizontal="left"/>
    </xf>
    <xf numFmtId="3" fontId="24" fillId="0" borderId="21" xfId="0" applyNumberFormat="1" applyFont="1" applyFill="1" applyBorder="1" applyAlignment="1">
      <alignment horizontal="left"/>
    </xf>
    <xf numFmtId="3" fontId="24" fillId="0" borderId="144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3" fontId="24" fillId="0" borderId="70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3" fontId="6" fillId="0" borderId="14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24" fillId="0" borderId="84" xfId="0" applyFont="1" applyFill="1" applyBorder="1" applyAlignment="1">
      <alignment/>
    </xf>
    <xf numFmtId="3" fontId="28" fillId="0" borderId="84" xfId="0" applyNumberFormat="1" applyFont="1" applyFill="1" applyBorder="1" applyAlignment="1">
      <alignment/>
    </xf>
    <xf numFmtId="3" fontId="28" fillId="0" borderId="140" xfId="0" applyNumberFormat="1" applyFont="1" applyFill="1" applyBorder="1" applyAlignment="1">
      <alignment/>
    </xf>
    <xf numFmtId="0" fontId="30" fillId="0" borderId="0" xfId="21" applyFont="1">
      <alignment/>
      <protection/>
    </xf>
    <xf numFmtId="3" fontId="38" fillId="0" borderId="29" xfId="21" applyNumberFormat="1" applyFont="1" applyBorder="1">
      <alignment/>
      <protection/>
    </xf>
    <xf numFmtId="3" fontId="0" fillId="0" borderId="66" xfId="0" applyNumberFormat="1" applyFont="1" applyBorder="1" applyAlignment="1">
      <alignment/>
    </xf>
    <xf numFmtId="3" fontId="0" fillId="0" borderId="124" xfId="0" applyNumberFormat="1" applyFont="1" applyBorder="1" applyAlignment="1">
      <alignment/>
    </xf>
    <xf numFmtId="3" fontId="1" fillId="0" borderId="166" xfId="0" applyNumberFormat="1" applyFont="1" applyBorder="1" applyAlignment="1">
      <alignment/>
    </xf>
    <xf numFmtId="3" fontId="1" fillId="0" borderId="167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134" xfId="0" applyFont="1" applyFill="1" applyBorder="1" applyAlignment="1">
      <alignment horizontal="center"/>
    </xf>
    <xf numFmtId="0" fontId="45" fillId="0" borderId="97" xfId="0" applyFont="1" applyFill="1" applyBorder="1" applyAlignment="1">
      <alignment horizontal="center"/>
    </xf>
    <xf numFmtId="0" fontId="45" fillId="0" borderId="98" xfId="0" applyFont="1" applyFill="1" applyBorder="1" applyAlignment="1">
      <alignment horizontal="center"/>
    </xf>
    <xf numFmtId="0" fontId="45" fillId="2" borderId="97" xfId="0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/>
    </xf>
    <xf numFmtId="0" fontId="26" fillId="0" borderId="0" xfId="21" applyFont="1" applyAlignment="1">
      <alignment horizont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3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10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3" fontId="28" fillId="0" borderId="6" xfId="0" applyNumberFormat="1" applyFont="1" applyFill="1" applyBorder="1" applyAlignment="1">
      <alignment horizontal="center"/>
    </xf>
    <xf numFmtId="189" fontId="28" fillId="0" borderId="0" xfId="0" applyNumberFormat="1" applyFont="1" applyFill="1" applyBorder="1" applyAlignment="1">
      <alignment/>
    </xf>
    <xf numFmtId="0" fontId="28" fillId="0" borderId="103" xfId="0" applyFont="1" applyFill="1" applyBorder="1" applyAlignment="1">
      <alignment horizontal="center"/>
    </xf>
    <xf numFmtId="3" fontId="0" fillId="0" borderId="75" xfId="0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68" xfId="25" applyFont="1" applyBorder="1" applyAlignment="1">
      <alignment horizontal="center"/>
      <protection/>
    </xf>
    <xf numFmtId="0" fontId="54" fillId="0" borderId="169" xfId="25" applyFont="1" applyBorder="1" applyAlignment="1">
      <alignment horizontal="center" wrapText="1"/>
      <protection/>
    </xf>
    <xf numFmtId="4" fontId="54" fillId="0" borderId="40" xfId="25" applyNumberFormat="1" applyFont="1" applyBorder="1" applyAlignment="1">
      <alignment horizontal="center"/>
      <protection/>
    </xf>
    <xf numFmtId="0" fontId="54" fillId="0" borderId="170" xfId="25" applyFont="1" applyFill="1" applyBorder="1" applyAlignment="1">
      <alignment horizontal="center" vertical="justify"/>
      <protection/>
    </xf>
    <xf numFmtId="0" fontId="56" fillId="0" borderId="67" xfId="25" applyFont="1" applyFill="1" applyBorder="1" applyAlignment="1">
      <alignment horizontal="left" vertical="center" wrapText="1" indent="1"/>
      <protection/>
    </xf>
    <xf numFmtId="4" fontId="55" fillId="0" borderId="67" xfId="25" applyNumberFormat="1" applyFont="1" applyFill="1" applyBorder="1">
      <alignment/>
      <protection/>
    </xf>
    <xf numFmtId="0" fontId="55" fillId="0" borderId="67" xfId="25" applyFont="1" applyFill="1" applyBorder="1" applyAlignment="1">
      <alignment horizontal="left" vertical="center" wrapText="1" indent="1"/>
      <protection/>
    </xf>
    <xf numFmtId="3" fontId="55" fillId="0" borderId="67" xfId="25" applyNumberFormat="1" applyFont="1" applyFill="1" applyBorder="1">
      <alignment/>
      <protection/>
    </xf>
    <xf numFmtId="3" fontId="55" fillId="0" borderId="67" xfId="25" applyNumberFormat="1" applyFont="1" applyFill="1" applyBorder="1" applyAlignment="1">
      <alignment horizontal="right"/>
      <protection/>
    </xf>
    <xf numFmtId="4" fontId="57" fillId="0" borderId="24" xfId="25" applyNumberFormat="1" applyFont="1" applyBorder="1">
      <alignment/>
      <protection/>
    </xf>
    <xf numFmtId="3" fontId="57" fillId="0" borderId="24" xfId="25" applyNumberFormat="1" applyFont="1" applyBorder="1">
      <alignment/>
      <protection/>
    </xf>
    <xf numFmtId="4" fontId="57" fillId="0" borderId="73" xfId="25" applyNumberFormat="1" applyFont="1" applyBorder="1">
      <alignment/>
      <protection/>
    </xf>
    <xf numFmtId="3" fontId="57" fillId="0" borderId="73" xfId="25" applyNumberFormat="1" applyFont="1" applyBorder="1">
      <alignment/>
      <protection/>
    </xf>
    <xf numFmtId="0" fontId="58" fillId="0" borderId="0" xfId="0" applyFont="1" applyAlignment="1">
      <alignment/>
    </xf>
    <xf numFmtId="0" fontId="44" fillId="0" borderId="40" xfId="25" applyFont="1" applyBorder="1" applyAlignment="1">
      <alignment horizontal="center"/>
      <protection/>
    </xf>
    <xf numFmtId="0" fontId="59" fillId="0" borderId="67" xfId="25" applyFont="1" applyFill="1" applyBorder="1" applyAlignment="1">
      <alignment horizontal="left"/>
      <protection/>
    </xf>
    <xf numFmtId="0" fontId="60" fillId="0" borderId="24" xfId="25" applyFont="1" applyBorder="1" applyAlignment="1">
      <alignment horizontal="left"/>
      <protection/>
    </xf>
    <xf numFmtId="0" fontId="60" fillId="0" borderId="73" xfId="25" applyFont="1" applyBorder="1" applyAlignment="1">
      <alignment horizontal="left"/>
      <protection/>
    </xf>
    <xf numFmtId="0" fontId="61" fillId="0" borderId="0" xfId="0" applyFont="1" applyAlignment="1">
      <alignment/>
    </xf>
    <xf numFmtId="0" fontId="44" fillId="0" borderId="126" xfId="25" applyFont="1" applyBorder="1" applyAlignment="1">
      <alignment horizontal="center"/>
      <protection/>
    </xf>
    <xf numFmtId="191" fontId="25" fillId="0" borderId="60" xfId="15" applyNumberFormat="1" applyFont="1" applyFill="1" applyBorder="1" applyAlignment="1">
      <alignment horizontal="left"/>
    </xf>
    <xf numFmtId="191" fontId="44" fillId="0" borderId="171" xfId="15" applyNumberFormat="1" applyFont="1" applyBorder="1" applyAlignment="1">
      <alignment horizontal="left"/>
    </xf>
    <xf numFmtId="191" fontId="44" fillId="0" borderId="105" xfId="15" applyNumberFormat="1" applyFont="1" applyBorder="1" applyAlignment="1">
      <alignment horizontal="left"/>
    </xf>
    <xf numFmtId="0" fontId="59" fillId="0" borderId="67" xfId="25" applyFont="1" applyBorder="1" applyAlignment="1">
      <alignment horizontal="left"/>
      <protection/>
    </xf>
    <xf numFmtId="4" fontId="55" fillId="0" borderId="67" xfId="25" applyNumberFormat="1" applyFont="1" applyBorder="1">
      <alignment/>
      <protection/>
    </xf>
    <xf numFmtId="3" fontId="55" fillId="0" borderId="67" xfId="25" applyNumberFormat="1" applyFont="1" applyBorder="1">
      <alignment/>
      <protection/>
    </xf>
    <xf numFmtId="191" fontId="25" fillId="0" borderId="60" xfId="15" applyNumberFormat="1" applyFont="1" applyBorder="1" applyAlignment="1">
      <alignment horizontal="left"/>
    </xf>
    <xf numFmtId="0" fontId="52" fillId="0" borderId="0" xfId="0" applyFont="1" applyAlignment="1">
      <alignment/>
    </xf>
    <xf numFmtId="0" fontId="25" fillId="0" borderId="60" xfId="25" applyFont="1" applyFill="1" applyBorder="1" applyAlignment="1">
      <alignment horizontal="left"/>
      <protection/>
    </xf>
    <xf numFmtId="0" fontId="54" fillId="0" borderId="172" xfId="25" applyFont="1" applyFill="1" applyBorder="1" applyAlignment="1">
      <alignment horizontal="center" vertical="justify"/>
      <protection/>
    </xf>
    <xf numFmtId="0" fontId="25" fillId="0" borderId="67" xfId="25" applyFont="1" applyFill="1" applyBorder="1" applyAlignment="1">
      <alignment horizontal="left"/>
      <protection/>
    </xf>
    <xf numFmtId="0" fontId="55" fillId="0" borderId="67" xfId="25" applyFont="1" applyFill="1" applyBorder="1" applyAlignment="1">
      <alignment horizontal="left" vertical="justify" wrapText="1" indent="1"/>
      <protection/>
    </xf>
    <xf numFmtId="4" fontId="56" fillId="0" borderId="67" xfId="25" applyNumberFormat="1" applyFont="1" applyFill="1" applyBorder="1">
      <alignment/>
      <protection/>
    </xf>
    <xf numFmtId="191" fontId="25" fillId="0" borderId="60" xfId="15" applyNumberFormat="1" applyFont="1" applyFill="1" applyBorder="1" applyAlignment="1">
      <alignment horizontal="left" vertical="center" wrapText="1"/>
    </xf>
    <xf numFmtId="0" fontId="62" fillId="0" borderId="40" xfId="25" applyFont="1" applyBorder="1" applyAlignment="1">
      <alignment horizontal="center"/>
      <protection/>
    </xf>
    <xf numFmtId="3" fontId="63" fillId="0" borderId="67" xfId="25" applyNumberFormat="1" applyFont="1" applyFill="1" applyBorder="1" applyAlignment="1">
      <alignment horizontal="right"/>
      <protection/>
    </xf>
    <xf numFmtId="3" fontId="63" fillId="0" borderId="67" xfId="25" applyNumberFormat="1" applyFont="1" applyFill="1" applyBorder="1">
      <alignment/>
      <protection/>
    </xf>
    <xf numFmtId="3" fontId="36" fillId="0" borderId="67" xfId="25" applyNumberFormat="1" applyFont="1" applyFill="1" applyBorder="1">
      <alignment/>
      <protection/>
    </xf>
    <xf numFmtId="3" fontId="51" fillId="0" borderId="24" xfId="25" applyNumberFormat="1" applyFont="1" applyBorder="1" applyAlignment="1">
      <alignment horizontal="right"/>
      <protection/>
    </xf>
    <xf numFmtId="3" fontId="63" fillId="0" borderId="67" xfId="25" applyNumberFormat="1" applyFont="1" applyBorder="1" applyAlignment="1">
      <alignment horizontal="right"/>
      <protection/>
    </xf>
    <xf numFmtId="3" fontId="51" fillId="0" borderId="73" xfId="25" applyNumberFormat="1" applyFont="1" applyBorder="1" applyAlignment="1">
      <alignment horizontal="right"/>
      <protection/>
    </xf>
    <xf numFmtId="3" fontId="59" fillId="0" borderId="55" xfId="0" applyNumberFormat="1" applyFont="1" applyBorder="1" applyAlignment="1">
      <alignment horizontal="right"/>
    </xf>
    <xf numFmtId="3" fontId="59" fillId="0" borderId="100" xfId="0" applyNumberFormat="1" applyFont="1" applyBorder="1" applyAlignment="1">
      <alignment horizontal="right"/>
    </xf>
    <xf numFmtId="3" fontId="59" fillId="0" borderId="128" xfId="0" applyNumberFormat="1" applyFont="1" applyFill="1" applyBorder="1" applyAlignment="1">
      <alignment/>
    </xf>
    <xf numFmtId="3" fontId="25" fillId="4" borderId="77" xfId="0" applyNumberFormat="1" applyFont="1" applyFill="1" applyBorder="1" applyAlignment="1">
      <alignment horizontal="right"/>
    </xf>
    <xf numFmtId="14" fontId="19" fillId="0" borderId="0" xfId="21" applyNumberFormat="1" applyFont="1">
      <alignment/>
      <protection/>
    </xf>
    <xf numFmtId="0" fontId="6" fillId="0" borderId="0" xfId="21" applyFont="1" applyAlignment="1">
      <alignment horizontal="center" wrapText="1"/>
      <protection/>
    </xf>
    <xf numFmtId="0" fontId="19" fillId="0" borderId="0" xfId="21" applyFont="1" applyAlignment="1">
      <alignment horizontal="center" wrapText="1"/>
      <protection/>
    </xf>
    <xf numFmtId="0" fontId="5" fillId="0" borderId="15" xfId="21" applyFont="1" applyBorder="1" applyAlignment="1">
      <alignment horizontal="center"/>
      <protection/>
    </xf>
    <xf numFmtId="0" fontId="5" fillId="0" borderId="101" xfId="21" applyFont="1" applyBorder="1" applyAlignment="1">
      <alignment horizontal="center"/>
      <protection/>
    </xf>
    <xf numFmtId="3" fontId="30" fillId="3" borderId="111" xfId="21" applyNumberFormat="1" applyFont="1" applyFill="1" applyBorder="1" applyAlignment="1">
      <alignment horizontal="right"/>
      <protection/>
    </xf>
    <xf numFmtId="3" fontId="30" fillId="2" borderId="153" xfId="21" applyNumberFormat="1" applyFont="1" applyFill="1" applyBorder="1">
      <alignment/>
      <protection/>
    </xf>
    <xf numFmtId="3" fontId="30" fillId="6" borderId="154" xfId="21" applyNumberFormat="1" applyFont="1" applyFill="1" applyBorder="1">
      <alignment/>
      <protection/>
    </xf>
    <xf numFmtId="3" fontId="30" fillId="6" borderId="4" xfId="21" applyNumberFormat="1" applyFont="1" applyFill="1" applyBorder="1">
      <alignment/>
      <protection/>
    </xf>
    <xf numFmtId="3" fontId="30" fillId="2" borderId="150" xfId="21" applyNumberFormat="1" applyFont="1" applyFill="1" applyBorder="1">
      <alignment/>
      <protection/>
    </xf>
    <xf numFmtId="3" fontId="43" fillId="5" borderId="150" xfId="21" applyNumberFormat="1" applyFont="1" applyFill="1" applyBorder="1">
      <alignment/>
      <protection/>
    </xf>
    <xf numFmtId="3" fontId="30" fillId="2" borderId="150" xfId="21" applyNumberFormat="1" applyFont="1" applyFill="1" applyBorder="1" applyAlignment="1">
      <alignment horizontal="right"/>
      <protection/>
    </xf>
    <xf numFmtId="3" fontId="30" fillId="0" borderId="154" xfId="21" applyNumberFormat="1" applyFont="1" applyFill="1" applyBorder="1" applyAlignment="1">
      <alignment horizontal="right"/>
      <protection/>
    </xf>
    <xf numFmtId="3" fontId="43" fillId="5" borderId="154" xfId="21" applyNumberFormat="1" applyFont="1" applyFill="1" applyBorder="1" applyAlignment="1">
      <alignment horizontal="right"/>
      <protection/>
    </xf>
    <xf numFmtId="3" fontId="30" fillId="0" borderId="56" xfId="21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3" fontId="30" fillId="0" borderId="155" xfId="0" applyNumberFormat="1" applyFont="1" applyFill="1" applyBorder="1" applyAlignment="1">
      <alignment/>
    </xf>
    <xf numFmtId="3" fontId="30" fillId="0" borderId="101" xfId="21" applyNumberFormat="1" applyFont="1" applyFill="1" applyBorder="1">
      <alignment/>
      <protection/>
    </xf>
    <xf numFmtId="3" fontId="28" fillId="7" borderId="154" xfId="21" applyNumberFormat="1" applyFont="1" applyFill="1" applyBorder="1">
      <alignment/>
      <protection/>
    </xf>
    <xf numFmtId="3" fontId="30" fillId="0" borderId="56" xfId="21" applyNumberFormat="1" applyFont="1" applyFill="1" applyBorder="1">
      <alignment/>
      <protection/>
    </xf>
    <xf numFmtId="3" fontId="43" fillId="9" borderId="56" xfId="21" applyNumberFormat="1" applyFont="1" applyFill="1" applyBorder="1">
      <alignment/>
      <protection/>
    </xf>
    <xf numFmtId="0" fontId="48" fillId="0" borderId="0" xfId="0" applyFont="1" applyAlignment="1">
      <alignment horizontal="left" vertical="center" wrapText="1"/>
    </xf>
    <xf numFmtId="0" fontId="5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39" fillId="0" borderId="8" xfId="21" applyFont="1" applyBorder="1">
      <alignment/>
      <protection/>
    </xf>
    <xf numFmtId="0" fontId="39" fillId="0" borderId="138" xfId="21" applyFont="1" applyBorder="1" applyAlignment="1">
      <alignment horizontal="center"/>
      <protection/>
    </xf>
    <xf numFmtId="0" fontId="39" fillId="0" borderId="110" xfId="21" applyFont="1" applyFill="1" applyBorder="1">
      <alignment/>
      <protection/>
    </xf>
    <xf numFmtId="3" fontId="42" fillId="0" borderId="138" xfId="21" applyNumberFormat="1" applyFont="1" applyFill="1" applyBorder="1">
      <alignment/>
      <protection/>
    </xf>
    <xf numFmtId="3" fontId="39" fillId="0" borderId="138" xfId="21" applyNumberFormat="1" applyFont="1" applyFill="1" applyBorder="1">
      <alignment/>
      <protection/>
    </xf>
    <xf numFmtId="3" fontId="39" fillId="0" borderId="173" xfId="21" applyNumberFormat="1" applyFont="1" applyFill="1" applyBorder="1">
      <alignment/>
      <protection/>
    </xf>
    <xf numFmtId="3" fontId="38" fillId="5" borderId="173" xfId="21" applyNumberFormat="1" applyFont="1" applyFill="1" applyBorder="1">
      <alignment/>
      <protection/>
    </xf>
    <xf numFmtId="3" fontId="64" fillId="0" borderId="173" xfId="21" applyNumberFormat="1" applyFont="1" applyFill="1" applyBorder="1">
      <alignment/>
      <protection/>
    </xf>
    <xf numFmtId="0" fontId="65" fillId="0" borderId="0" xfId="21" applyFont="1" applyFill="1">
      <alignment/>
      <protection/>
    </xf>
    <xf numFmtId="0" fontId="65" fillId="0" borderId="0" xfId="21" applyFont="1">
      <alignment/>
      <protection/>
    </xf>
    <xf numFmtId="3" fontId="30" fillId="0" borderId="138" xfId="21" applyNumberFormat="1" applyFont="1" applyFill="1" applyBorder="1">
      <alignment/>
      <protection/>
    </xf>
    <xf numFmtId="3" fontId="30" fillId="0" borderId="173" xfId="21" applyNumberFormat="1" applyFont="1" applyFill="1" applyBorder="1">
      <alignment/>
      <protection/>
    </xf>
    <xf numFmtId="3" fontId="43" fillId="0" borderId="173" xfId="21" applyNumberFormat="1" applyFont="1" applyFill="1" applyBorder="1">
      <alignment/>
      <protection/>
    </xf>
    <xf numFmtId="3" fontId="30" fillId="4" borderId="160" xfId="21" applyNumberFormat="1" applyFont="1" applyFill="1" applyBorder="1">
      <alignment/>
      <protection/>
    </xf>
    <xf numFmtId="3" fontId="64" fillId="4" borderId="160" xfId="21" applyNumberFormat="1" applyFont="1" applyFill="1" applyBorder="1">
      <alignment/>
      <protection/>
    </xf>
    <xf numFmtId="3" fontId="30" fillId="0" borderId="154" xfId="21" applyNumberFormat="1" applyFont="1" applyFill="1" applyBorder="1">
      <alignment/>
      <protection/>
    </xf>
    <xf numFmtId="3" fontId="11" fillId="0" borderId="154" xfId="21" applyNumberFormat="1" applyFont="1" applyFill="1" applyBorder="1">
      <alignment/>
      <protection/>
    </xf>
    <xf numFmtId="3" fontId="11" fillId="0" borderId="56" xfId="21" applyNumberFormat="1" applyFont="1" applyFill="1" applyBorder="1">
      <alignment/>
      <protection/>
    </xf>
    <xf numFmtId="0" fontId="66" fillId="0" borderId="8" xfId="21" applyFont="1" applyBorder="1">
      <alignment/>
      <protection/>
    </xf>
    <xf numFmtId="3" fontId="67" fillId="0" borderId="137" xfId="21" applyNumberFormat="1" applyFont="1" applyFill="1" applyBorder="1">
      <alignment/>
      <protection/>
    </xf>
    <xf numFmtId="3" fontId="66" fillId="0" borderId="137" xfId="21" applyNumberFormat="1" applyFont="1" applyFill="1" applyBorder="1">
      <alignment/>
      <protection/>
    </xf>
    <xf numFmtId="3" fontId="20" fillId="0" borderId="94" xfId="21" applyNumberFormat="1" applyFont="1" applyFill="1" applyBorder="1">
      <alignment/>
      <protection/>
    </xf>
    <xf numFmtId="3" fontId="20" fillId="0" borderId="56" xfId="21" applyNumberFormat="1" applyFont="1" applyFill="1" applyBorder="1">
      <alignment/>
      <protection/>
    </xf>
    <xf numFmtId="3" fontId="64" fillId="0" borderId="56" xfId="21" applyNumberFormat="1" applyFont="1" applyFill="1" applyBorder="1">
      <alignment/>
      <protection/>
    </xf>
    <xf numFmtId="3" fontId="43" fillId="0" borderId="56" xfId="21" applyNumberFormat="1" applyFont="1" applyFill="1" applyBorder="1">
      <alignment/>
      <protection/>
    </xf>
    <xf numFmtId="3" fontId="69" fillId="0" borderId="56" xfId="21" applyNumberFormat="1" applyFont="1" applyFill="1" applyBorder="1">
      <alignment/>
      <protection/>
    </xf>
    <xf numFmtId="0" fontId="41" fillId="0" borderId="8" xfId="21" applyFont="1" applyBorder="1">
      <alignment/>
      <protection/>
    </xf>
    <xf numFmtId="0" fontId="30" fillId="0" borderId="138" xfId="21" applyFont="1" applyBorder="1" applyAlignment="1">
      <alignment horizontal="center"/>
      <protection/>
    </xf>
    <xf numFmtId="0" fontId="30" fillId="0" borderId="77" xfId="21" applyFont="1" applyBorder="1">
      <alignment/>
      <protection/>
    </xf>
    <xf numFmtId="3" fontId="26" fillId="0" borderId="137" xfId="21" applyNumberFormat="1" applyFont="1" applyBorder="1">
      <alignment/>
      <protection/>
    </xf>
    <xf numFmtId="3" fontId="41" fillId="0" borderId="137" xfId="21" applyNumberFormat="1" applyFont="1" applyBorder="1">
      <alignment/>
      <protection/>
    </xf>
    <xf numFmtId="3" fontId="30" fillId="0" borderId="94" xfId="21" applyNumberFormat="1" applyFont="1" applyFill="1" applyBorder="1">
      <alignment/>
      <protection/>
    </xf>
    <xf numFmtId="3" fontId="41" fillId="2" borderId="150" xfId="21" applyNumberFormat="1" applyFont="1" applyFill="1" applyBorder="1">
      <alignment/>
      <protection/>
    </xf>
    <xf numFmtId="3" fontId="30" fillId="0" borderId="155" xfId="21" applyNumberFormat="1" applyFont="1" applyFill="1" applyBorder="1" applyAlignment="1">
      <alignment horizontal="right"/>
      <protection/>
    </xf>
    <xf numFmtId="3" fontId="30" fillId="0" borderId="156" xfId="21" applyNumberFormat="1" applyFont="1" applyFill="1" applyBorder="1" applyAlignment="1">
      <alignment horizontal="right"/>
      <protection/>
    </xf>
    <xf numFmtId="3" fontId="30" fillId="0" borderId="4" xfId="21" applyNumberFormat="1" applyFont="1" applyFill="1" applyBorder="1" applyAlignment="1">
      <alignment horizontal="right"/>
      <protection/>
    </xf>
    <xf numFmtId="0" fontId="39" fillId="0" borderId="100" xfId="21" applyFont="1" applyBorder="1">
      <alignment/>
      <protection/>
    </xf>
    <xf numFmtId="3" fontId="42" fillId="0" borderId="66" xfId="21" applyNumberFormat="1" applyFont="1" applyBorder="1" applyAlignment="1">
      <alignment horizontal="center"/>
      <protection/>
    </xf>
    <xf numFmtId="3" fontId="42" fillId="0" borderId="66" xfId="21" applyNumberFormat="1" applyFont="1" applyBorder="1" applyAlignment="1">
      <alignment horizontal="right"/>
      <protection/>
    </xf>
    <xf numFmtId="3" fontId="39" fillId="0" borderId="66" xfId="21" applyNumberFormat="1" applyFont="1" applyBorder="1" applyAlignment="1">
      <alignment horizontal="right"/>
      <protection/>
    </xf>
    <xf numFmtId="3" fontId="39" fillId="0" borderId="128" xfId="21" applyNumberFormat="1" applyFont="1" applyBorder="1" applyAlignment="1">
      <alignment horizontal="right"/>
      <protection/>
    </xf>
    <xf numFmtId="3" fontId="39" fillId="0" borderId="56" xfId="21" applyNumberFormat="1" applyFont="1" applyFill="1" applyBorder="1" applyAlignment="1">
      <alignment horizontal="right"/>
      <protection/>
    </xf>
    <xf numFmtId="3" fontId="38" fillId="0" borderId="56" xfId="21" applyNumberFormat="1" applyFont="1" applyFill="1" applyBorder="1" applyAlignment="1">
      <alignment horizontal="right"/>
      <protection/>
    </xf>
    <xf numFmtId="3" fontId="43" fillId="0" borderId="56" xfId="21" applyNumberFormat="1" applyFont="1" applyFill="1" applyBorder="1" applyAlignment="1">
      <alignment horizontal="right"/>
      <protection/>
    </xf>
    <xf numFmtId="0" fontId="64" fillId="0" borderId="0" xfId="21" applyFont="1" applyAlignment="1">
      <alignment horizontal="center"/>
      <protection/>
    </xf>
    <xf numFmtId="3" fontId="64" fillId="0" borderId="56" xfId="21" applyNumberFormat="1" applyFont="1" applyFill="1" applyBorder="1" applyAlignment="1">
      <alignment horizontal="right"/>
      <protection/>
    </xf>
    <xf numFmtId="3" fontId="43" fillId="5" borderId="156" xfId="21" applyNumberFormat="1" applyFont="1" applyFill="1" applyBorder="1" applyAlignment="1">
      <alignment horizontal="right"/>
      <protection/>
    </xf>
    <xf numFmtId="3" fontId="41" fillId="2" borderId="150" xfId="21" applyNumberFormat="1" applyFont="1" applyFill="1" applyBorder="1" applyAlignment="1">
      <alignment horizontal="right"/>
      <protection/>
    </xf>
    <xf numFmtId="3" fontId="30" fillId="0" borderId="150" xfId="21" applyNumberFormat="1" applyFont="1" applyFill="1" applyBorder="1" applyAlignment="1">
      <alignment horizontal="right"/>
      <protection/>
    </xf>
    <xf numFmtId="3" fontId="64" fillId="3" borderId="111" xfId="21" applyNumberFormat="1" applyFont="1" applyFill="1" applyBorder="1" applyAlignment="1">
      <alignment horizontal="right"/>
      <protection/>
    </xf>
    <xf numFmtId="3" fontId="30" fillId="0" borderId="111" xfId="21" applyNumberFormat="1" applyFont="1" applyBorder="1">
      <alignment/>
      <protection/>
    </xf>
    <xf numFmtId="3" fontId="30" fillId="0" borderId="0" xfId="21" applyNumberFormat="1" applyFont="1" applyFill="1" applyBorder="1">
      <alignment/>
      <protection/>
    </xf>
    <xf numFmtId="4" fontId="67" fillId="0" borderId="0" xfId="21" applyNumberFormat="1" applyFont="1" applyFill="1" applyBorder="1">
      <alignment/>
      <protection/>
    </xf>
    <xf numFmtId="3" fontId="43" fillId="5" borderId="29" xfId="21" applyNumberFormat="1" applyFont="1" applyFill="1" applyBorder="1">
      <alignment/>
      <protection/>
    </xf>
    <xf numFmtId="2" fontId="5" fillId="0" borderId="0" xfId="21" applyNumberFormat="1" applyFont="1" applyAlignment="1">
      <alignment horizontal="left"/>
      <protection/>
    </xf>
    <xf numFmtId="3" fontId="70" fillId="0" borderId="0" xfId="21" applyNumberFormat="1" applyFont="1">
      <alignment/>
      <protection/>
    </xf>
    <xf numFmtId="4" fontId="28" fillId="0" borderId="0" xfId="21" applyNumberFormat="1" applyFont="1">
      <alignment/>
      <protection/>
    </xf>
    <xf numFmtId="3" fontId="67" fillId="0" borderId="0" xfId="0" applyNumberFormat="1" applyFont="1" applyAlignment="1">
      <alignment/>
    </xf>
    <xf numFmtId="3" fontId="19" fillId="0" borderId="7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06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6" xfId="0" applyFont="1" applyFill="1" applyBorder="1" applyAlignment="1">
      <alignment/>
    </xf>
    <xf numFmtId="3" fontId="24" fillId="0" borderId="66" xfId="0" applyNumberFormat="1" applyFont="1" applyFill="1" applyBorder="1" applyAlignment="1">
      <alignment/>
    </xf>
    <xf numFmtId="3" fontId="24" fillId="0" borderId="124" xfId="0" applyNumberFormat="1" applyFont="1" applyFill="1" applyBorder="1" applyAlignment="1">
      <alignment/>
    </xf>
    <xf numFmtId="3" fontId="28" fillId="0" borderId="142" xfId="0" applyNumberFormat="1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3" fontId="28" fillId="0" borderId="76" xfId="0" applyNumberFormat="1" applyFont="1" applyFill="1" applyBorder="1" applyAlignment="1">
      <alignment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3" fontId="28" fillId="0" borderId="53" xfId="0" applyNumberFormat="1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28" fillId="0" borderId="9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28" fillId="0" borderId="37" xfId="0" applyNumberFormat="1" applyFont="1" applyFill="1" applyBorder="1" applyAlignment="1">
      <alignment/>
    </xf>
    <xf numFmtId="0" fontId="28" fillId="0" borderId="36" xfId="0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10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0" fontId="28" fillId="0" borderId="5" xfId="0" applyFont="1" applyFill="1" applyBorder="1" applyAlignment="1">
      <alignment horizontal="center"/>
    </xf>
    <xf numFmtId="3" fontId="28" fillId="0" borderId="35" xfId="0" applyNumberFormat="1" applyFont="1" applyFill="1" applyBorder="1" applyAlignment="1">
      <alignment/>
    </xf>
    <xf numFmtId="3" fontId="24" fillId="0" borderId="174" xfId="0" applyNumberFormat="1" applyFont="1" applyFill="1" applyBorder="1" applyAlignment="1">
      <alignment/>
    </xf>
    <xf numFmtId="1" fontId="28" fillId="0" borderId="33" xfId="0" applyNumberFormat="1" applyFont="1" applyFill="1" applyBorder="1" applyAlignment="1">
      <alignment horizontal="center"/>
    </xf>
    <xf numFmtId="4" fontId="28" fillId="0" borderId="92" xfId="0" applyNumberFormat="1" applyFont="1" applyFill="1" applyBorder="1" applyAlignment="1">
      <alignment/>
    </xf>
    <xf numFmtId="4" fontId="28" fillId="0" borderId="100" xfId="0" applyNumberFormat="1" applyFont="1" applyFill="1" applyBorder="1" applyAlignment="1">
      <alignment/>
    </xf>
    <xf numFmtId="4" fontId="28" fillId="0" borderId="107" xfId="0" applyNumberFormat="1" applyFont="1" applyFill="1" applyBorder="1" applyAlignment="1">
      <alignment/>
    </xf>
    <xf numFmtId="2" fontId="28" fillId="0" borderId="92" xfId="0" applyNumberFormat="1" applyFont="1" applyFill="1" applyBorder="1" applyAlignment="1">
      <alignment/>
    </xf>
    <xf numFmtId="2" fontId="28" fillId="0" borderId="100" xfId="0" applyNumberFormat="1" applyFont="1" applyFill="1" applyBorder="1" applyAlignment="1">
      <alignment/>
    </xf>
    <xf numFmtId="2" fontId="28" fillId="0" borderId="107" xfId="0" applyNumberFormat="1" applyFont="1" applyFill="1" applyBorder="1" applyAlignment="1">
      <alignment/>
    </xf>
    <xf numFmtId="3" fontId="28" fillId="0" borderId="0" xfId="0" applyNumberFormat="1" applyFont="1" applyFill="1" applyAlignment="1">
      <alignment horizontal="center"/>
    </xf>
    <xf numFmtId="3" fontId="71" fillId="0" borderId="0" xfId="0" applyNumberFormat="1" applyFont="1" applyAlignment="1">
      <alignment/>
    </xf>
    <xf numFmtId="3" fontId="28" fillId="0" borderId="72" xfId="0" applyNumberFormat="1" applyFont="1" applyFill="1" applyBorder="1" applyAlignment="1">
      <alignment/>
    </xf>
    <xf numFmtId="3" fontId="43" fillId="0" borderId="29" xfId="21" applyNumberFormat="1" applyFont="1" applyFill="1" applyBorder="1">
      <alignment/>
      <protection/>
    </xf>
    <xf numFmtId="0" fontId="30" fillId="0" borderId="77" xfId="21" applyFont="1" applyFill="1" applyBorder="1">
      <alignment/>
      <protection/>
    </xf>
    <xf numFmtId="3" fontId="38" fillId="0" borderId="56" xfId="21" applyNumberFormat="1" applyFont="1" applyFill="1" applyBorder="1">
      <alignment/>
      <protection/>
    </xf>
    <xf numFmtId="0" fontId="5" fillId="0" borderId="107" xfId="21" applyFont="1" applyBorder="1" applyAlignment="1">
      <alignment horizontal="center"/>
      <protection/>
    </xf>
    <xf numFmtId="0" fontId="5" fillId="0" borderId="84" xfId="21" applyFont="1" applyBorder="1" applyAlignment="1">
      <alignment horizontal="center"/>
      <protection/>
    </xf>
    <xf numFmtId="0" fontId="30" fillId="0" borderId="153" xfId="21" applyFont="1" applyBorder="1" applyAlignment="1">
      <alignment horizontal="center"/>
      <protection/>
    </xf>
    <xf numFmtId="3" fontId="30" fillId="0" borderId="4" xfId="21" applyNumberFormat="1" applyFont="1" applyBorder="1">
      <alignment/>
      <protection/>
    </xf>
    <xf numFmtId="3" fontId="30" fillId="0" borderId="56" xfId="21" applyNumberFormat="1" applyFont="1" applyBorder="1">
      <alignment/>
      <protection/>
    </xf>
    <xf numFmtId="3" fontId="39" fillId="0" borderId="56" xfId="21" applyNumberFormat="1" applyFont="1" applyBorder="1">
      <alignment/>
      <protection/>
    </xf>
    <xf numFmtId="3" fontId="30" fillId="3" borderId="150" xfId="21" applyNumberFormat="1" applyFont="1" applyFill="1" applyBorder="1">
      <alignment/>
      <protection/>
    </xf>
    <xf numFmtId="3" fontId="30" fillId="0" borderId="101" xfId="21" applyNumberFormat="1" applyFont="1" applyBorder="1">
      <alignment/>
      <protection/>
    </xf>
    <xf numFmtId="0" fontId="72" fillId="0" borderId="0" xfId="21" applyFont="1">
      <alignment/>
      <protection/>
    </xf>
    <xf numFmtId="0" fontId="72" fillId="0" borderId="0" xfId="21" applyFont="1" applyFill="1">
      <alignment/>
      <protection/>
    </xf>
    <xf numFmtId="4" fontId="26" fillId="0" borderId="0" xfId="21" applyNumberFormat="1" applyFont="1">
      <alignment/>
      <protection/>
    </xf>
    <xf numFmtId="49" fontId="73" fillId="0" borderId="0" xfId="0" applyNumberFormat="1" applyFont="1" applyAlignment="1">
      <alignment horizontal="left"/>
    </xf>
    <xf numFmtId="3" fontId="74" fillId="0" borderId="100" xfId="0" applyNumberFormat="1" applyFont="1" applyFill="1" applyBorder="1" applyAlignment="1">
      <alignment/>
    </xf>
    <xf numFmtId="3" fontId="28" fillId="0" borderId="127" xfId="0" applyNumberFormat="1" applyFont="1" applyFill="1" applyBorder="1" applyAlignment="1">
      <alignment/>
    </xf>
    <xf numFmtId="3" fontId="75" fillId="0" borderId="56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/>
    </xf>
    <xf numFmtId="4" fontId="77" fillId="0" borderId="0" xfId="21" applyNumberFormat="1" applyFont="1" applyFill="1" applyBorder="1">
      <alignment/>
      <protection/>
    </xf>
    <xf numFmtId="0" fontId="78" fillId="0" borderId="0" xfId="21" applyFont="1" applyAlignment="1">
      <alignment horizontal="left"/>
      <protection/>
    </xf>
    <xf numFmtId="3" fontId="69" fillId="0" borderId="29" xfId="21" applyNumberFormat="1" applyFont="1" applyFill="1" applyBorder="1">
      <alignment/>
      <protection/>
    </xf>
    <xf numFmtId="3" fontId="69" fillId="0" borderId="29" xfId="21" applyNumberFormat="1" applyFont="1" applyBorder="1">
      <alignment/>
      <protection/>
    </xf>
    <xf numFmtId="0" fontId="79" fillId="0" borderId="0" xfId="0" applyFont="1" applyFill="1" applyAlignment="1">
      <alignment/>
    </xf>
    <xf numFmtId="172" fontId="79" fillId="0" borderId="0" xfId="0" applyNumberFormat="1" applyFont="1" applyFill="1" applyBorder="1" applyAlignment="1">
      <alignment/>
    </xf>
    <xf numFmtId="168" fontId="79" fillId="0" borderId="0" xfId="0" applyNumberFormat="1" applyFont="1" applyFill="1" applyBorder="1" applyAlignment="1">
      <alignment/>
    </xf>
    <xf numFmtId="168" fontId="79" fillId="0" borderId="0" xfId="0" applyNumberFormat="1" applyFont="1" applyFill="1" applyAlignment="1">
      <alignment/>
    </xf>
    <xf numFmtId="3" fontId="43" fillId="2" borderId="150" xfId="21" applyNumberFormat="1" applyFont="1" applyFill="1" applyBorder="1">
      <alignment/>
      <protection/>
    </xf>
    <xf numFmtId="3" fontId="43" fillId="0" borderId="154" xfId="21" applyNumberFormat="1" applyFont="1" applyFill="1" applyBorder="1" applyAlignment="1">
      <alignment horizontal="right"/>
      <protection/>
    </xf>
    <xf numFmtId="3" fontId="73" fillId="2" borderId="92" xfId="0" applyNumberFormat="1" applyFont="1" applyFill="1" applyBorder="1" applyAlignment="1">
      <alignment horizontal="right"/>
    </xf>
    <xf numFmtId="3" fontId="73" fillId="2" borderId="100" xfId="0" applyNumberFormat="1" applyFont="1" applyFill="1" applyBorder="1" applyAlignment="1">
      <alignment horizontal="right"/>
    </xf>
    <xf numFmtId="3" fontId="73" fillId="2" borderId="107" xfId="0" applyNumberFormat="1" applyFont="1" applyFill="1" applyBorder="1" applyAlignment="1">
      <alignment horizontal="right"/>
    </xf>
    <xf numFmtId="3" fontId="80" fillId="2" borderId="84" xfId="0" applyNumberFormat="1" applyFont="1" applyFill="1" applyBorder="1" applyAlignment="1">
      <alignment horizontal="right"/>
    </xf>
    <xf numFmtId="176" fontId="28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2" fontId="79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79" fillId="0" borderId="0" xfId="0" applyFont="1" applyAlignment="1">
      <alignment/>
    </xf>
    <xf numFmtId="0" fontId="12" fillId="2" borderId="15" xfId="0" applyFont="1" applyFill="1" applyBorder="1" applyAlignment="1">
      <alignment horizontal="center"/>
    </xf>
    <xf numFmtId="0" fontId="12" fillId="2" borderId="101" xfId="0" applyFont="1" applyFill="1" applyBorder="1" applyAlignment="1">
      <alignment horizontal="center"/>
    </xf>
    <xf numFmtId="3" fontId="12" fillId="2" borderId="58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111" xfId="0" applyNumberFormat="1" applyFont="1" applyFill="1" applyBorder="1" applyAlignment="1">
      <alignment/>
    </xf>
    <xf numFmtId="3" fontId="75" fillId="0" borderId="93" xfId="0" applyNumberFormat="1" applyFont="1" applyFill="1" applyBorder="1" applyAlignment="1">
      <alignment/>
    </xf>
    <xf numFmtId="4" fontId="25" fillId="0" borderId="100" xfId="23" applyNumberFormat="1" applyFont="1" applyFill="1" applyBorder="1" applyAlignment="1">
      <alignment horizontal="right"/>
      <protection/>
    </xf>
    <xf numFmtId="4" fontId="25" fillId="0" borderId="41" xfId="23" applyNumberFormat="1" applyFont="1" applyFill="1" applyBorder="1" applyAlignment="1">
      <alignment horizontal="right"/>
      <protection/>
    </xf>
    <xf numFmtId="4" fontId="25" fillId="0" borderId="92" xfId="23" applyNumberFormat="1" applyFont="1" applyFill="1" applyBorder="1" applyAlignment="1">
      <alignment horizontal="right"/>
      <protection/>
    </xf>
    <xf numFmtId="4" fontId="25" fillId="0" borderId="8" xfId="23" applyNumberFormat="1" applyFont="1" applyFill="1" applyBorder="1" applyAlignment="1">
      <alignment horizontal="right"/>
      <protection/>
    </xf>
    <xf numFmtId="4" fontId="25" fillId="0" borderId="86" xfId="23" applyNumberFormat="1" applyFont="1" applyFill="1" applyBorder="1" applyAlignment="1">
      <alignment horizontal="right"/>
      <protection/>
    </xf>
    <xf numFmtId="4" fontId="25" fillId="0" borderId="46" xfId="23" applyNumberFormat="1" applyFont="1" applyFill="1" applyBorder="1" applyAlignment="1">
      <alignment horizontal="right"/>
      <protection/>
    </xf>
    <xf numFmtId="4" fontId="25" fillId="0" borderId="123" xfId="23" applyNumberFormat="1" applyFont="1" applyFill="1" applyBorder="1" applyAlignment="1">
      <alignment horizontal="right"/>
      <protection/>
    </xf>
    <xf numFmtId="4" fontId="25" fillId="0" borderId="107" xfId="23" applyNumberFormat="1" applyFont="1" applyFill="1" applyBorder="1" applyAlignment="1">
      <alignment horizontal="right"/>
      <protection/>
    </xf>
    <xf numFmtId="4" fontId="25" fillId="0" borderId="152" xfId="24" applyNumberFormat="1" applyFont="1" applyBorder="1">
      <alignment/>
      <protection/>
    </xf>
    <xf numFmtId="4" fontId="25" fillId="0" borderId="0" xfId="23" applyNumberFormat="1" applyFont="1" applyFill="1" applyBorder="1" applyAlignment="1">
      <alignment horizontal="right"/>
      <protection/>
    </xf>
    <xf numFmtId="4" fontId="25" fillId="0" borderId="175" xfId="23" applyNumberFormat="1" applyFont="1" applyFill="1" applyBorder="1" applyAlignment="1">
      <alignment horizontal="right"/>
      <protection/>
    </xf>
    <xf numFmtId="3" fontId="25" fillId="0" borderId="130" xfId="0" applyNumberFormat="1" applyFont="1" applyBorder="1" applyAlignment="1">
      <alignment horizontal="right"/>
    </xf>
    <xf numFmtId="3" fontId="73" fillId="2" borderId="77" xfId="0" applyNumberFormat="1" applyFont="1" applyFill="1" applyBorder="1" applyAlignment="1">
      <alignment horizontal="right"/>
    </xf>
    <xf numFmtId="3" fontId="25" fillId="0" borderId="61" xfId="0" applyNumberFormat="1" applyFont="1" applyBorder="1" applyAlignment="1">
      <alignment horizontal="right"/>
    </xf>
    <xf numFmtId="3" fontId="85" fillId="0" borderId="34" xfId="0" applyNumberFormat="1" applyFont="1" applyBorder="1" applyAlignment="1">
      <alignment/>
    </xf>
    <xf numFmtId="3" fontId="86" fillId="2" borderId="7" xfId="0" applyNumberFormat="1" applyFont="1" applyFill="1" applyBorder="1" applyAlignment="1">
      <alignment/>
    </xf>
    <xf numFmtId="3" fontId="86" fillId="2" borderId="55" xfId="0" applyNumberFormat="1" applyFont="1" applyFill="1" applyBorder="1" applyAlignment="1">
      <alignment/>
    </xf>
    <xf numFmtId="3" fontId="86" fillId="2" borderId="61" xfId="0" applyNumberFormat="1" applyFont="1" applyFill="1" applyBorder="1" applyAlignment="1">
      <alignment/>
    </xf>
    <xf numFmtId="3" fontId="27" fillId="0" borderId="60" xfId="0" applyNumberFormat="1" applyFont="1" applyBorder="1" applyAlignment="1">
      <alignment/>
    </xf>
    <xf numFmtId="0" fontId="12" fillId="0" borderId="3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144" xfId="0" applyFont="1" applyFill="1" applyBorder="1" applyAlignment="1">
      <alignment horizontal="center"/>
    </xf>
    <xf numFmtId="0" fontId="12" fillId="0" borderId="145" xfId="0" applyFont="1" applyFill="1" applyBorder="1" applyAlignment="1">
      <alignment horizontal="center"/>
    </xf>
    <xf numFmtId="0" fontId="12" fillId="0" borderId="147" xfId="0" applyFont="1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0" fontId="27" fillId="0" borderId="142" xfId="0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7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2" fillId="0" borderId="144" xfId="0" applyFont="1" applyBorder="1" applyAlignment="1">
      <alignment horizontal="center"/>
    </xf>
    <xf numFmtId="0" fontId="12" fillId="0" borderId="145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7" xfId="0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4" fillId="0" borderId="172" xfId="25" applyFont="1" applyFill="1" applyBorder="1" applyAlignment="1">
      <alignment horizontal="center" vertical="justify"/>
      <protection/>
    </xf>
    <xf numFmtId="0" fontId="54" fillId="0" borderId="176" xfId="25" applyFont="1" applyFill="1" applyBorder="1" applyAlignment="1">
      <alignment horizontal="center" vertical="justify"/>
      <protection/>
    </xf>
    <xf numFmtId="0" fontId="54" fillId="0" borderId="177" xfId="25" applyFont="1" applyFill="1" applyBorder="1" applyAlignment="1">
      <alignment horizontal="center" vertical="justify"/>
      <protection/>
    </xf>
    <xf numFmtId="0" fontId="57" fillId="0" borderId="178" xfId="25" applyFont="1" applyBorder="1" applyAlignment="1">
      <alignment horizontal="left" vertical="center" wrapText="1"/>
      <protection/>
    </xf>
    <xf numFmtId="0" fontId="57" fillId="0" borderId="24" xfId="25" applyFont="1" applyBorder="1" applyAlignment="1">
      <alignment horizontal="left" vertical="center" wrapText="1"/>
      <protection/>
    </xf>
    <xf numFmtId="0" fontId="56" fillId="0" borderId="170" xfId="25" applyFont="1" applyBorder="1" applyAlignment="1">
      <alignment horizontal="left" vertical="justify"/>
      <protection/>
    </xf>
    <xf numFmtId="0" fontId="56" fillId="0" borderId="67" xfId="25" applyFont="1" applyBorder="1" applyAlignment="1">
      <alignment horizontal="left" vertical="justify"/>
      <protection/>
    </xf>
    <xf numFmtId="0" fontId="54" fillId="0" borderId="179" xfId="25" applyFont="1" applyBorder="1" applyAlignment="1">
      <alignment horizontal="left" vertical="justify"/>
      <protection/>
    </xf>
    <xf numFmtId="0" fontId="54" fillId="0" borderId="73" xfId="25" applyFont="1" applyBorder="1" applyAlignment="1">
      <alignment horizontal="left" vertical="justify"/>
      <protection/>
    </xf>
    <xf numFmtId="0" fontId="44" fillId="0" borderId="144" xfId="0" applyFont="1" applyFill="1" applyBorder="1" applyAlignment="1">
      <alignment horizontal="center"/>
    </xf>
    <xf numFmtId="0" fontId="44" fillId="0" borderId="145" xfId="0" applyFont="1" applyFill="1" applyBorder="1" applyAlignment="1">
      <alignment horizontal="center"/>
    </xf>
    <xf numFmtId="0" fontId="44" fillId="0" borderId="147" xfId="0" applyFont="1" applyFill="1" applyBorder="1" applyAlignment="1">
      <alignment horizontal="center"/>
    </xf>
    <xf numFmtId="0" fontId="44" fillId="0" borderId="144" xfId="24" applyFont="1" applyBorder="1" applyAlignment="1">
      <alignment horizontal="center"/>
      <protection/>
    </xf>
    <xf numFmtId="0" fontId="44" fillId="0" borderId="145" xfId="24" applyFont="1" applyBorder="1" applyAlignment="1">
      <alignment horizontal="center"/>
      <protection/>
    </xf>
    <xf numFmtId="0" fontId="44" fillId="0" borderId="147" xfId="24" applyFont="1" applyBorder="1" applyAlignment="1">
      <alignment horizontal="center"/>
      <protection/>
    </xf>
    <xf numFmtId="0" fontId="44" fillId="0" borderId="142" xfId="24" applyFont="1" applyFill="1" applyBorder="1" applyAlignment="1">
      <alignment horizontal="center"/>
      <protection/>
    </xf>
    <xf numFmtId="0" fontId="44" fillId="0" borderId="145" xfId="24" applyFont="1" applyFill="1" applyBorder="1" applyAlignment="1">
      <alignment horizontal="center"/>
      <protection/>
    </xf>
    <xf numFmtId="0" fontId="44" fillId="0" borderId="144" xfId="24" applyFont="1" applyFill="1" applyBorder="1" applyAlignment="1">
      <alignment horizontal="center"/>
      <protection/>
    </xf>
    <xf numFmtId="0" fontId="44" fillId="0" borderId="145" xfId="24" applyFont="1" applyFill="1" applyBorder="1" applyAlignment="1">
      <alignment horizontal="center"/>
      <protection/>
    </xf>
    <xf numFmtId="0" fontId="44" fillId="0" borderId="147" xfId="24" applyFont="1" applyFill="1" applyBorder="1" applyAlignment="1">
      <alignment horizontal="center"/>
      <protection/>
    </xf>
    <xf numFmtId="0" fontId="44" fillId="0" borderId="161" xfId="24" applyFont="1" applyBorder="1" applyAlignment="1">
      <alignment horizontal="center"/>
      <protection/>
    </xf>
    <xf numFmtId="0" fontId="44" fillId="0" borderId="140" xfId="24" applyFont="1" applyBorder="1" applyAlignment="1">
      <alignment horizontal="center"/>
      <protection/>
    </xf>
    <xf numFmtId="0" fontId="44" fillId="0" borderId="146" xfId="24" applyFont="1" applyBorder="1" applyAlignment="1">
      <alignment horizontal="center"/>
      <protection/>
    </xf>
    <xf numFmtId="0" fontId="44" fillId="0" borderId="144" xfId="24" applyFont="1" applyFill="1" applyBorder="1" applyAlignment="1">
      <alignment horizontal="center" wrapText="1"/>
      <protection/>
    </xf>
    <xf numFmtId="0" fontId="44" fillId="0" borderId="145" xfId="24" applyFont="1" applyFill="1" applyBorder="1" applyAlignment="1">
      <alignment horizontal="center" wrapText="1"/>
      <protection/>
    </xf>
    <xf numFmtId="0" fontId="44" fillId="0" borderId="147" xfId="24" applyFont="1" applyFill="1" applyBorder="1" applyAlignment="1">
      <alignment horizontal="center" wrapText="1"/>
      <protection/>
    </xf>
    <xf numFmtId="0" fontId="25" fillId="0" borderId="2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cp r06 revF151105" xfId="20"/>
    <cellStyle name="normální_návrh CP k 23.11.03" xfId="21"/>
    <cellStyle name="normální_Normativ A,výpočet IV,16.1.03" xfId="22"/>
    <cellStyle name="normální_odpisy 04az07_060208" xfId="23"/>
    <cellStyle name="normální_odpisy 04az07_270906" xfId="24"/>
    <cellStyle name="normální_opravy velké2008 1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44">
      <selection activeCell="K60" sqref="K60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8" width="11.75390625" style="0" customWidth="1"/>
    <col min="9" max="10" width="12.00390625" style="0" customWidth="1"/>
    <col min="11" max="11" width="10.875" style="0" bestFit="1" customWidth="1"/>
    <col min="12" max="12" width="6.125" style="116" bestFit="1" customWidth="1"/>
    <col min="13" max="13" width="8.875" style="116" customWidth="1"/>
    <col min="14" max="14" width="6.00390625" style="116" bestFit="1" customWidth="1"/>
    <col min="15" max="15" width="8.375" style="0" bestFit="1" customWidth="1"/>
    <col min="16" max="16" width="5.375" style="0" bestFit="1" customWidth="1"/>
    <col min="17" max="18" width="6.00390625" style="0" bestFit="1" customWidth="1"/>
    <col min="19" max="19" width="7.125" style="0" bestFit="1" customWidth="1"/>
  </cols>
  <sheetData>
    <row r="1" spans="1:11" ht="12.75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6.25">
      <c r="A2" s="172" t="s">
        <v>384</v>
      </c>
      <c r="B2" s="173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.7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2.75">
      <c r="A4" s="171" t="s">
        <v>500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12.7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12.7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4" s="2" customFormat="1" ht="16.5" thickBot="1">
      <c r="A8" s="174" t="s">
        <v>247</v>
      </c>
      <c r="B8" s="175"/>
      <c r="C8" s="175"/>
      <c r="D8" s="175"/>
      <c r="E8" s="175"/>
      <c r="F8" s="175"/>
      <c r="G8" s="176" t="s">
        <v>5</v>
      </c>
      <c r="H8" s="175"/>
      <c r="I8" s="175"/>
      <c r="J8" s="175"/>
      <c r="K8" s="175"/>
      <c r="L8" s="116"/>
      <c r="M8" s="116"/>
      <c r="N8" s="116"/>
    </row>
    <row r="9" spans="1:11" s="2" customFormat="1" ht="12.75">
      <c r="A9" s="362"/>
      <c r="B9" s="363"/>
      <c r="C9" s="364"/>
      <c r="D9" s="365"/>
      <c r="E9" s="553"/>
      <c r="F9" s="1262"/>
      <c r="G9" s="366" t="s">
        <v>6</v>
      </c>
      <c r="H9" s="175"/>
      <c r="I9" s="348"/>
      <c r="J9" s="348"/>
      <c r="K9" s="175"/>
    </row>
    <row r="10" spans="1:11" s="2" customFormat="1" ht="13.5" thickBot="1">
      <c r="A10" s="367" t="s">
        <v>7</v>
      </c>
      <c r="B10" s="368" t="s">
        <v>8</v>
      </c>
      <c r="C10" s="369"/>
      <c r="D10" s="370"/>
      <c r="E10" s="554" t="s">
        <v>246</v>
      </c>
      <c r="F10" s="1263" t="s">
        <v>385</v>
      </c>
      <c r="G10" s="371" t="s">
        <v>386</v>
      </c>
      <c r="H10" s="175"/>
      <c r="I10" s="348"/>
      <c r="J10" s="348"/>
      <c r="K10" s="175"/>
    </row>
    <row r="11" spans="1:11" s="2" customFormat="1" ht="12.75">
      <c r="A11" s="372">
        <v>1</v>
      </c>
      <c r="B11" s="373" t="s">
        <v>250</v>
      </c>
      <c r="C11" s="374"/>
      <c r="D11" s="375"/>
      <c r="E11" s="555">
        <v>1684857</v>
      </c>
      <c r="F11" s="1264">
        <v>1786179</v>
      </c>
      <c r="G11" s="376">
        <f>F11/E11</f>
        <v>1.0601368543443153</v>
      </c>
      <c r="H11" s="175"/>
      <c r="I11" s="377"/>
      <c r="J11" s="377"/>
      <c r="K11" s="175"/>
    </row>
    <row r="12" spans="1:11" s="2" customFormat="1" ht="13.5" thickBot="1">
      <c r="A12" s="378">
        <v>2</v>
      </c>
      <c r="B12" s="379" t="s">
        <v>248</v>
      </c>
      <c r="C12" s="94"/>
      <c r="D12" s="348"/>
      <c r="E12" s="275">
        <v>119959</v>
      </c>
      <c r="F12" s="1265">
        <v>121970</v>
      </c>
      <c r="G12" s="380">
        <f>F12/E12</f>
        <v>1.0167640610541935</v>
      </c>
      <c r="H12" s="175"/>
      <c r="I12" s="348"/>
      <c r="J12" s="348"/>
      <c r="K12" s="175"/>
    </row>
    <row r="13" spans="1:11" s="2" customFormat="1" ht="13.5" thickBot="1">
      <c r="A13" s="381">
        <v>3</v>
      </c>
      <c r="B13" s="382" t="s">
        <v>9</v>
      </c>
      <c r="C13" s="383"/>
      <c r="D13" s="349"/>
      <c r="E13" s="556">
        <f>SUM(E11:E12)</f>
        <v>1804816</v>
      </c>
      <c r="F13" s="1266">
        <f>SUM(F11:F12)</f>
        <v>1908149</v>
      </c>
      <c r="G13" s="385">
        <f>F13/E13</f>
        <v>1.0572540358684763</v>
      </c>
      <c r="H13" s="175"/>
      <c r="I13" s="175"/>
      <c r="J13" s="175"/>
      <c r="K13" s="175"/>
    </row>
    <row r="14" spans="1:11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7" spans="1:11" ht="16.5" thickBot="1">
      <c r="A17" s="174" t="s">
        <v>387</v>
      </c>
      <c r="B17" s="171"/>
      <c r="C17" s="171"/>
      <c r="D17" s="171"/>
      <c r="E17" s="171"/>
      <c r="F17" s="171"/>
      <c r="G17" s="171"/>
      <c r="H17" s="177"/>
      <c r="I17" s="171"/>
      <c r="J17" s="171"/>
      <c r="K17" s="171"/>
    </row>
    <row r="18" spans="1:11" ht="12.75">
      <c r="A18" s="178" t="s">
        <v>10</v>
      </c>
      <c r="B18" s="179"/>
      <c r="C18" s="180" t="s">
        <v>29</v>
      </c>
      <c r="D18" s="181" t="s">
        <v>29</v>
      </c>
      <c r="E18" s="180" t="s">
        <v>32</v>
      </c>
      <c r="F18" s="182" t="s">
        <v>154</v>
      </c>
      <c r="G18" s="183" t="s">
        <v>28</v>
      </c>
      <c r="H18" s="171"/>
      <c r="I18" s="171"/>
      <c r="J18" s="171"/>
      <c r="K18" s="171"/>
    </row>
    <row r="19" spans="1:11" ht="12.75">
      <c r="A19" s="184"/>
      <c r="B19" s="185"/>
      <c r="C19" s="186" t="s">
        <v>30</v>
      </c>
      <c r="D19" s="187" t="s">
        <v>31</v>
      </c>
      <c r="E19" s="186" t="s">
        <v>33</v>
      </c>
      <c r="F19" s="188" t="s">
        <v>155</v>
      </c>
      <c r="G19" s="189" t="s">
        <v>21</v>
      </c>
      <c r="H19" s="171"/>
      <c r="I19" s="171"/>
      <c r="J19" s="171"/>
      <c r="K19" s="171"/>
    </row>
    <row r="20" spans="1:11" ht="12.75">
      <c r="A20" s="190" t="s">
        <v>27</v>
      </c>
      <c r="B20" s="191"/>
      <c r="C20" s="192">
        <v>0.1</v>
      </c>
      <c r="D20" s="193">
        <v>0.1</v>
      </c>
      <c r="E20" s="192">
        <v>0.8</v>
      </c>
      <c r="F20" s="194">
        <v>1</v>
      </c>
      <c r="G20" s="195"/>
      <c r="H20" s="196"/>
      <c r="I20" s="196"/>
      <c r="J20" s="196"/>
      <c r="K20" s="122"/>
    </row>
    <row r="21" spans="1:11" ht="13.5" thickBot="1">
      <c r="A21" s="197"/>
      <c r="B21" s="198"/>
      <c r="C21" s="199">
        <v>1</v>
      </c>
      <c r="D21" s="200">
        <v>2</v>
      </c>
      <c r="E21" s="199">
        <v>3</v>
      </c>
      <c r="F21" s="201">
        <v>4</v>
      </c>
      <c r="G21" s="202">
        <v>5</v>
      </c>
      <c r="H21" s="203"/>
      <c r="I21" s="203"/>
      <c r="J21" s="203"/>
      <c r="K21" s="169"/>
    </row>
    <row r="22" spans="1:11" ht="12.75">
      <c r="A22" s="204">
        <v>11</v>
      </c>
      <c r="B22" s="205" t="s">
        <v>11</v>
      </c>
      <c r="C22" s="206">
        <v>20.2</v>
      </c>
      <c r="D22" s="207">
        <v>20.2</v>
      </c>
      <c r="E22" s="206">
        <v>19.93</v>
      </c>
      <c r="F22" s="510">
        <v>19.98</v>
      </c>
      <c r="G22" s="1267">
        <f>356955+1</f>
        <v>356956</v>
      </c>
      <c r="H22" s="304"/>
      <c r="I22" s="302"/>
      <c r="J22" s="209"/>
      <c r="K22" s="209"/>
    </row>
    <row r="23" spans="1:11" ht="12.75">
      <c r="A23" s="210">
        <v>21</v>
      </c>
      <c r="B23" s="211" t="s">
        <v>12</v>
      </c>
      <c r="C23" s="212">
        <v>17.63</v>
      </c>
      <c r="D23" s="213">
        <v>18</v>
      </c>
      <c r="E23" s="212">
        <v>18.08</v>
      </c>
      <c r="F23" s="511">
        <v>18.03</v>
      </c>
      <c r="G23" s="560">
        <v>321990</v>
      </c>
      <c r="H23" s="304"/>
      <c r="I23" s="302"/>
      <c r="J23" s="209"/>
      <c r="K23" s="209"/>
    </row>
    <row r="24" spans="1:11" ht="12.75">
      <c r="A24" s="210">
        <v>22</v>
      </c>
      <c r="B24" s="211" t="s">
        <v>13</v>
      </c>
      <c r="C24" s="212">
        <v>6.65</v>
      </c>
      <c r="D24" s="213">
        <v>6.65</v>
      </c>
      <c r="E24" s="212">
        <v>6.72</v>
      </c>
      <c r="F24" s="511">
        <v>6.7</v>
      </c>
      <c r="G24" s="560">
        <v>119719</v>
      </c>
      <c r="H24" s="304"/>
      <c r="I24" s="302"/>
      <c r="J24" s="209"/>
      <c r="K24" s="209"/>
    </row>
    <row r="25" spans="1:11" ht="12.75">
      <c r="A25" s="210">
        <v>23</v>
      </c>
      <c r="B25" s="211" t="s">
        <v>14</v>
      </c>
      <c r="C25" s="212">
        <v>7.72</v>
      </c>
      <c r="D25" s="213">
        <v>7.53</v>
      </c>
      <c r="E25" s="212">
        <v>7.64</v>
      </c>
      <c r="F25" s="511">
        <v>7.64</v>
      </c>
      <c r="G25" s="560">
        <v>136446</v>
      </c>
      <c r="H25" s="304"/>
      <c r="I25" s="302"/>
      <c r="J25" s="209"/>
      <c r="K25" s="209"/>
    </row>
    <row r="26" spans="1:11" ht="12.75">
      <c r="A26" s="210">
        <v>31</v>
      </c>
      <c r="B26" s="211" t="s">
        <v>15</v>
      </c>
      <c r="C26" s="212">
        <v>16.19</v>
      </c>
      <c r="D26" s="213">
        <v>15.89</v>
      </c>
      <c r="E26" s="212">
        <v>15.1</v>
      </c>
      <c r="F26" s="511">
        <v>15.28</v>
      </c>
      <c r="G26" s="560">
        <v>273041</v>
      </c>
      <c r="H26" s="304"/>
      <c r="I26" s="302"/>
      <c r="J26" s="209"/>
      <c r="K26" s="209"/>
    </row>
    <row r="27" spans="1:11" ht="12.75">
      <c r="A27" s="210">
        <v>33</v>
      </c>
      <c r="B27" s="211" t="s">
        <v>16</v>
      </c>
      <c r="C27" s="212">
        <v>6.76</v>
      </c>
      <c r="D27" s="213">
        <v>6.84</v>
      </c>
      <c r="E27" s="212">
        <v>6.61</v>
      </c>
      <c r="F27" s="511">
        <v>6.65</v>
      </c>
      <c r="G27" s="560">
        <v>118781</v>
      </c>
      <c r="H27" s="304"/>
      <c r="I27" s="302"/>
      <c r="J27" s="209"/>
      <c r="K27" s="209"/>
    </row>
    <row r="28" spans="1:11" ht="12.75">
      <c r="A28" s="210">
        <v>41</v>
      </c>
      <c r="B28" s="211" t="s">
        <v>17</v>
      </c>
      <c r="C28" s="212">
        <v>13.48</v>
      </c>
      <c r="D28" s="213">
        <v>14.01</v>
      </c>
      <c r="E28" s="212">
        <v>14.96</v>
      </c>
      <c r="F28" s="511">
        <v>14.72</v>
      </c>
      <c r="G28" s="560">
        <v>262887</v>
      </c>
      <c r="H28" s="304"/>
      <c r="I28" s="302"/>
      <c r="J28" s="209"/>
      <c r="K28" s="209"/>
    </row>
    <row r="29" spans="1:11" ht="12.75">
      <c r="A29" s="210">
        <v>51</v>
      </c>
      <c r="B29" s="211" t="s">
        <v>18</v>
      </c>
      <c r="C29" s="212">
        <v>3.66</v>
      </c>
      <c r="D29" s="213">
        <v>3.17</v>
      </c>
      <c r="E29" s="212">
        <v>3.25</v>
      </c>
      <c r="F29" s="511">
        <v>3.29</v>
      </c>
      <c r="G29" s="560">
        <v>58702</v>
      </c>
      <c r="H29" s="304"/>
      <c r="I29" s="302"/>
      <c r="J29" s="209"/>
      <c r="K29" s="209"/>
    </row>
    <row r="30" spans="1:11" ht="13.5" thickBot="1">
      <c r="A30" s="214">
        <v>56</v>
      </c>
      <c r="B30" s="215" t="s">
        <v>19</v>
      </c>
      <c r="C30" s="216">
        <v>7.71</v>
      </c>
      <c r="D30" s="217">
        <v>7.71</v>
      </c>
      <c r="E30" s="216">
        <v>7.71</v>
      </c>
      <c r="F30" s="512">
        <v>7.71</v>
      </c>
      <c r="G30" s="1043">
        <v>137657</v>
      </c>
      <c r="H30" s="304"/>
      <c r="I30" s="302"/>
      <c r="J30" s="209"/>
      <c r="K30" s="209"/>
    </row>
    <row r="31" spans="1:11" ht="13.5" thickBot="1">
      <c r="A31" s="218" t="s">
        <v>136</v>
      </c>
      <c r="B31" s="219"/>
      <c r="C31" s="220">
        <f>SUM(C22:C30)</f>
        <v>100</v>
      </c>
      <c r="D31" s="221">
        <f>SUM(D22:D30)</f>
        <v>100.00000000000001</v>
      </c>
      <c r="E31" s="220">
        <f>SUM(E22:E30)</f>
        <v>99.99999999999999</v>
      </c>
      <c r="F31" s="222">
        <f>SUM(F22:F30)</f>
        <v>100.00000000000001</v>
      </c>
      <c r="G31" s="223">
        <f>SUM(G22:G30)</f>
        <v>1786179</v>
      </c>
      <c r="H31" s="225"/>
      <c r="I31" s="225"/>
      <c r="J31" s="226"/>
      <c r="K31" s="224"/>
    </row>
    <row r="32" spans="1:11" ht="12.75">
      <c r="A32" s="227"/>
      <c r="B32" s="227"/>
      <c r="C32" s="206"/>
      <c r="D32" s="206"/>
      <c r="E32" s="206"/>
      <c r="F32" s="206"/>
      <c r="G32" s="95"/>
      <c r="H32" s="171"/>
      <c r="I32" s="228"/>
      <c r="J32" s="229"/>
      <c r="K32" s="171"/>
    </row>
    <row r="33" spans="1:11" ht="12.75">
      <c r="A33" s="171"/>
      <c r="B33" s="171"/>
      <c r="C33" s="171"/>
      <c r="D33" s="171"/>
      <c r="E33" s="171"/>
      <c r="F33" s="171"/>
      <c r="G33" s="229"/>
      <c r="H33" s="171"/>
      <c r="I33" s="229"/>
      <c r="J33" s="171"/>
      <c r="K33" s="171"/>
    </row>
    <row r="34" spans="1:11" ht="12.75">
      <c r="A34" s="171"/>
      <c r="B34" s="171"/>
      <c r="C34" s="171"/>
      <c r="D34" s="171"/>
      <c r="E34" s="171"/>
      <c r="F34" s="171"/>
      <c r="G34" s="229"/>
      <c r="H34" s="171"/>
      <c r="I34" s="171"/>
      <c r="J34" s="171"/>
      <c r="K34" s="171"/>
    </row>
    <row r="35" spans="1:11" ht="15.75">
      <c r="A35" s="174" t="s">
        <v>388</v>
      </c>
      <c r="B35" s="171"/>
      <c r="C35" s="171"/>
      <c r="D35" s="171"/>
      <c r="E35" s="171"/>
      <c r="F35" s="171"/>
      <c r="G35" s="171"/>
      <c r="H35" s="177"/>
      <c r="I35" s="171"/>
      <c r="J35" s="171"/>
      <c r="K35" s="171"/>
    </row>
    <row r="36" spans="1:11" ht="13.5" thickBo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4" s="111" customFormat="1" ht="12.75">
      <c r="A37" s="230"/>
      <c r="B37" s="231"/>
      <c r="C37" s="167" t="s">
        <v>132</v>
      </c>
      <c r="D37" s="167" t="s">
        <v>44</v>
      </c>
      <c r="E37" s="135" t="s">
        <v>108</v>
      </c>
      <c r="F37" s="167" t="s">
        <v>108</v>
      </c>
      <c r="G37" s="135" t="s">
        <v>108</v>
      </c>
      <c r="H37" s="167" t="s">
        <v>41</v>
      </c>
      <c r="I37" s="135" t="s">
        <v>41</v>
      </c>
      <c r="J37" s="232" t="s">
        <v>109</v>
      </c>
      <c r="K37" s="133"/>
      <c r="L37" s="116"/>
      <c r="M37" s="116"/>
      <c r="N37" s="116"/>
    </row>
    <row r="38" spans="1:14" s="111" customFormat="1" ht="12.75">
      <c r="A38" s="233" t="s">
        <v>10</v>
      </c>
      <c r="B38" s="134"/>
      <c r="C38" s="234" t="s">
        <v>137</v>
      </c>
      <c r="D38" s="234" t="s">
        <v>110</v>
      </c>
      <c r="E38" s="136" t="s">
        <v>111</v>
      </c>
      <c r="F38" s="234" t="s">
        <v>112</v>
      </c>
      <c r="G38" s="136" t="s">
        <v>113</v>
      </c>
      <c r="H38" s="234" t="s">
        <v>114</v>
      </c>
      <c r="I38" s="136" t="s">
        <v>115</v>
      </c>
      <c r="J38" s="235" t="s">
        <v>116</v>
      </c>
      <c r="K38" s="133"/>
      <c r="L38" s="116"/>
      <c r="M38" s="116"/>
      <c r="N38" s="116"/>
    </row>
    <row r="39" spans="1:14" s="111" customFormat="1" ht="12.75">
      <c r="A39" s="233"/>
      <c r="B39" s="134"/>
      <c r="C39" s="234">
        <v>2007</v>
      </c>
      <c r="D39" s="234">
        <v>2007</v>
      </c>
      <c r="E39" s="234">
        <v>2007</v>
      </c>
      <c r="F39" s="234">
        <v>2007</v>
      </c>
      <c r="G39" s="234">
        <v>2007</v>
      </c>
      <c r="H39" s="234">
        <v>2007</v>
      </c>
      <c r="I39" s="234">
        <v>2007</v>
      </c>
      <c r="J39" s="235" t="s">
        <v>119</v>
      </c>
      <c r="K39" s="133"/>
      <c r="L39" s="116"/>
      <c r="M39" s="116"/>
      <c r="N39" s="116"/>
    </row>
    <row r="40" spans="1:14" s="111" customFormat="1" ht="12.75">
      <c r="A40" s="236"/>
      <c r="B40" s="237"/>
      <c r="C40" s="168" t="s">
        <v>117</v>
      </c>
      <c r="D40" s="168" t="s">
        <v>118</v>
      </c>
      <c r="E40" s="237"/>
      <c r="F40" s="168"/>
      <c r="G40" s="237"/>
      <c r="H40" s="168"/>
      <c r="I40" s="237"/>
      <c r="J40" s="238"/>
      <c r="K40" s="133"/>
      <c r="L40" s="116"/>
      <c r="M40" s="116"/>
      <c r="N40" s="116"/>
    </row>
    <row r="41" spans="1:14" s="112" customFormat="1" ht="12.75">
      <c r="A41" s="239" t="s">
        <v>27</v>
      </c>
      <c r="B41" s="240"/>
      <c r="C41" s="241">
        <v>1</v>
      </c>
      <c r="D41" s="241">
        <v>0.68</v>
      </c>
      <c r="E41" s="242">
        <v>0.666</v>
      </c>
      <c r="F41" s="241">
        <v>0.334</v>
      </c>
      <c r="G41" s="242">
        <v>0.175</v>
      </c>
      <c r="H41" s="241">
        <v>0.025</v>
      </c>
      <c r="I41" s="242">
        <v>0.975</v>
      </c>
      <c r="J41" s="243"/>
      <c r="K41" s="244"/>
      <c r="L41" s="116"/>
      <c r="M41" s="116"/>
      <c r="N41" s="116"/>
    </row>
    <row r="42" spans="1:14" s="112" customFormat="1" ht="12.75">
      <c r="A42" s="245"/>
      <c r="B42" s="246"/>
      <c r="C42" s="247" t="s">
        <v>120</v>
      </c>
      <c r="D42" s="247" t="s">
        <v>159</v>
      </c>
      <c r="E42" s="246" t="s">
        <v>121</v>
      </c>
      <c r="F42" s="247" t="s">
        <v>37</v>
      </c>
      <c r="G42" s="246" t="s">
        <v>122</v>
      </c>
      <c r="H42" s="247" t="s">
        <v>123</v>
      </c>
      <c r="I42" s="246" t="s">
        <v>124</v>
      </c>
      <c r="J42" s="248" t="s">
        <v>125</v>
      </c>
      <c r="K42" s="244"/>
      <c r="L42" s="116"/>
      <c r="M42" s="116"/>
      <c r="N42" s="116"/>
    </row>
    <row r="43" spans="1:14" s="112" customFormat="1" ht="12.75">
      <c r="A43" s="249">
        <v>11</v>
      </c>
      <c r="B43" s="250" t="s">
        <v>11</v>
      </c>
      <c r="C43" s="251">
        <v>27207</v>
      </c>
      <c r="D43" s="251">
        <v>154959</v>
      </c>
      <c r="E43" s="557">
        <v>64.78</v>
      </c>
      <c r="F43" s="557">
        <v>64.61</v>
      </c>
      <c r="G43" s="557">
        <v>302.54</v>
      </c>
      <c r="H43" s="251">
        <v>257</v>
      </c>
      <c r="I43" s="251">
        <v>789</v>
      </c>
      <c r="J43" s="566">
        <v>1</v>
      </c>
      <c r="K43" s="244"/>
      <c r="L43" s="116"/>
      <c r="M43" s="116"/>
      <c r="N43" s="116"/>
    </row>
    <row r="44" spans="1:14" s="112" customFormat="1" ht="12.75">
      <c r="A44" s="252">
        <v>21</v>
      </c>
      <c r="B44" s="253" t="s">
        <v>12</v>
      </c>
      <c r="C44" s="254">
        <v>13192</v>
      </c>
      <c r="D44" s="254">
        <v>55340</v>
      </c>
      <c r="E44" s="558">
        <v>29.35</v>
      </c>
      <c r="F44" s="558">
        <v>40.67</v>
      </c>
      <c r="G44" s="558">
        <v>237.82</v>
      </c>
      <c r="H44" s="254">
        <v>471</v>
      </c>
      <c r="I44" s="254">
        <v>714</v>
      </c>
      <c r="J44" s="567">
        <v>1</v>
      </c>
      <c r="K44" s="244"/>
      <c r="L44" s="116"/>
      <c r="M44" s="116"/>
      <c r="N44" s="116"/>
    </row>
    <row r="45" spans="1:14" s="112" customFormat="1" ht="12.75">
      <c r="A45" s="252">
        <v>22</v>
      </c>
      <c r="B45" s="253" t="s">
        <v>13</v>
      </c>
      <c r="C45" s="254">
        <v>2089</v>
      </c>
      <c r="D45" s="254">
        <v>7228</v>
      </c>
      <c r="E45" s="558">
        <v>13.7</v>
      </c>
      <c r="F45" s="558">
        <v>19.58</v>
      </c>
      <c r="G45" s="558">
        <v>78.79</v>
      </c>
      <c r="H45" s="254">
        <v>425</v>
      </c>
      <c r="I45" s="254">
        <v>150</v>
      </c>
      <c r="J45" s="567">
        <v>1</v>
      </c>
      <c r="K45" s="244"/>
      <c r="L45" s="116"/>
      <c r="M45" s="116"/>
      <c r="N45" s="116"/>
    </row>
    <row r="46" spans="1:14" s="112" customFormat="1" ht="12.75">
      <c r="A46" s="252">
        <v>23</v>
      </c>
      <c r="B46" s="253" t="s">
        <v>14</v>
      </c>
      <c r="C46" s="254">
        <v>9669</v>
      </c>
      <c r="D46" s="254">
        <v>42571</v>
      </c>
      <c r="E46" s="558">
        <v>9.57</v>
      </c>
      <c r="F46" s="558">
        <v>10.75</v>
      </c>
      <c r="G46" s="558">
        <v>89</v>
      </c>
      <c r="H46" s="254">
        <v>179</v>
      </c>
      <c r="I46" s="254">
        <v>252</v>
      </c>
      <c r="J46" s="567">
        <v>1</v>
      </c>
      <c r="K46" s="244"/>
      <c r="L46" s="116"/>
      <c r="M46" s="116"/>
      <c r="N46" s="116"/>
    </row>
    <row r="47" spans="1:14" s="112" customFormat="1" ht="12.75">
      <c r="A47" s="252">
        <v>31</v>
      </c>
      <c r="B47" s="253" t="s">
        <v>15</v>
      </c>
      <c r="C47" s="254">
        <v>51472</v>
      </c>
      <c r="D47" s="254">
        <v>321303</v>
      </c>
      <c r="E47" s="558">
        <v>42.5</v>
      </c>
      <c r="F47" s="558">
        <v>88.04</v>
      </c>
      <c r="G47" s="558">
        <v>261.71</v>
      </c>
      <c r="H47" s="254">
        <v>277</v>
      </c>
      <c r="I47" s="254">
        <v>776</v>
      </c>
      <c r="J47" s="567">
        <v>1</v>
      </c>
      <c r="K47" s="244"/>
      <c r="L47" s="116"/>
      <c r="M47" s="116"/>
      <c r="N47" s="116"/>
    </row>
    <row r="48" spans="1:14" s="112" customFormat="1" ht="12.75">
      <c r="A48" s="252">
        <v>33</v>
      </c>
      <c r="B48" s="253" t="s">
        <v>16</v>
      </c>
      <c r="C48" s="254">
        <v>7044</v>
      </c>
      <c r="D48" s="254">
        <v>47614</v>
      </c>
      <c r="E48" s="558">
        <v>8.8</v>
      </c>
      <c r="F48" s="558">
        <v>13.26</v>
      </c>
      <c r="G48" s="558">
        <v>52.2</v>
      </c>
      <c r="H48" s="254">
        <v>111</v>
      </c>
      <c r="I48" s="254">
        <v>81</v>
      </c>
      <c r="J48" s="567">
        <v>1</v>
      </c>
      <c r="K48" s="244"/>
      <c r="L48" s="116"/>
      <c r="M48" s="116"/>
      <c r="N48" s="116"/>
    </row>
    <row r="49" spans="1:14" s="112" customFormat="1" ht="12.75">
      <c r="A49" s="252">
        <v>41</v>
      </c>
      <c r="B49" s="253" t="s">
        <v>17</v>
      </c>
      <c r="C49" s="254">
        <v>3766</v>
      </c>
      <c r="D49" s="254">
        <v>26184</v>
      </c>
      <c r="E49" s="558">
        <v>8.59</v>
      </c>
      <c r="F49" s="558">
        <v>49.39</v>
      </c>
      <c r="G49" s="558">
        <v>210.06</v>
      </c>
      <c r="H49" s="254">
        <v>840</v>
      </c>
      <c r="I49" s="254">
        <v>176</v>
      </c>
      <c r="J49" s="567">
        <v>1</v>
      </c>
      <c r="K49" s="244"/>
      <c r="L49" s="116"/>
      <c r="M49" s="116"/>
      <c r="N49" s="116"/>
    </row>
    <row r="50" spans="1:14" s="112" customFormat="1" ht="12.75">
      <c r="A50" s="252">
        <v>51</v>
      </c>
      <c r="B50" s="253" t="s">
        <v>18</v>
      </c>
      <c r="C50" s="254">
        <v>158</v>
      </c>
      <c r="D50" s="254">
        <v>0</v>
      </c>
      <c r="E50" s="558">
        <v>2.84</v>
      </c>
      <c r="F50" s="558">
        <v>11.29</v>
      </c>
      <c r="G50" s="558">
        <v>77.15</v>
      </c>
      <c r="H50" s="254">
        <v>123</v>
      </c>
      <c r="I50" s="254">
        <v>84</v>
      </c>
      <c r="J50" s="567">
        <v>1</v>
      </c>
      <c r="K50" s="244"/>
      <c r="L50" s="116"/>
      <c r="M50" s="116"/>
      <c r="N50" s="116"/>
    </row>
    <row r="51" spans="1:14" s="112" customFormat="1" ht="13.5" thickBot="1">
      <c r="A51" s="255">
        <v>56</v>
      </c>
      <c r="B51" s="256" t="s">
        <v>19</v>
      </c>
      <c r="C51" s="257">
        <v>5362</v>
      </c>
      <c r="D51" s="257">
        <v>21849</v>
      </c>
      <c r="E51" s="559">
        <v>10.27</v>
      </c>
      <c r="F51" s="559">
        <v>16.82</v>
      </c>
      <c r="G51" s="559">
        <v>92.67</v>
      </c>
      <c r="H51" s="257">
        <v>286</v>
      </c>
      <c r="I51" s="257">
        <v>173</v>
      </c>
      <c r="J51" s="568">
        <v>1</v>
      </c>
      <c r="K51" s="244"/>
      <c r="L51" s="116"/>
      <c r="M51" s="116"/>
      <c r="N51" s="116"/>
    </row>
    <row r="52" spans="1:11" ht="13.5" thickBot="1">
      <c r="A52" s="258" t="s">
        <v>20</v>
      </c>
      <c r="B52" s="259"/>
      <c r="C52" s="260">
        <f aca="true" t="shared" si="0" ref="C52:I52">SUM(C43:C51)</f>
        <v>119959</v>
      </c>
      <c r="D52" s="260">
        <f t="shared" si="0"/>
        <v>677048</v>
      </c>
      <c r="E52" s="261">
        <f t="shared" si="0"/>
        <v>190.40000000000003</v>
      </c>
      <c r="F52" s="262">
        <f t="shared" si="0"/>
        <v>314.41</v>
      </c>
      <c r="G52" s="261">
        <f t="shared" si="0"/>
        <v>1401.94</v>
      </c>
      <c r="H52" s="260">
        <f t="shared" si="0"/>
        <v>2969</v>
      </c>
      <c r="I52" s="263">
        <f t="shared" si="0"/>
        <v>3195</v>
      </c>
      <c r="J52" s="264"/>
      <c r="K52" s="171"/>
    </row>
    <row r="53" spans="1:11" ht="13.5" thickBo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4" ht="12.75">
      <c r="A54" s="178" t="s">
        <v>10</v>
      </c>
      <c r="B54" s="265"/>
      <c r="C54" s="266"/>
      <c r="D54" s="265"/>
      <c r="E54" s="266"/>
      <c r="F54" s="265"/>
      <c r="G54" s="179"/>
      <c r="H54" s="265"/>
      <c r="I54" s="266"/>
      <c r="J54" s="180" t="s">
        <v>134</v>
      </c>
      <c r="K54" s="267" t="s">
        <v>139</v>
      </c>
      <c r="L54" s="123"/>
      <c r="M54" s="124"/>
      <c r="N54" s="124"/>
    </row>
    <row r="55" spans="1:13" ht="13.5" thickBot="1">
      <c r="A55" s="268"/>
      <c r="B55" s="269"/>
      <c r="C55" s="270" t="s">
        <v>36</v>
      </c>
      <c r="D55" s="271" t="s">
        <v>126</v>
      </c>
      <c r="E55" s="270" t="s">
        <v>35</v>
      </c>
      <c r="F55" s="271" t="s">
        <v>127</v>
      </c>
      <c r="G55" s="272" t="s">
        <v>128</v>
      </c>
      <c r="H55" s="271" t="s">
        <v>129</v>
      </c>
      <c r="I55" s="270" t="s">
        <v>130</v>
      </c>
      <c r="J55" s="273" t="s">
        <v>133</v>
      </c>
      <c r="K55" s="274" t="s">
        <v>138</v>
      </c>
      <c r="L55" s="123"/>
      <c r="M55" s="123"/>
    </row>
    <row r="56" spans="1:13" ht="12.75">
      <c r="A56" s="204">
        <v>11</v>
      </c>
      <c r="B56" s="205" t="s">
        <v>11</v>
      </c>
      <c r="C56" s="561">
        <v>0.086561</v>
      </c>
      <c r="D56" s="561">
        <v>0.24694835680751173</v>
      </c>
      <c r="E56" s="561">
        <v>1.293769995553979</v>
      </c>
      <c r="F56" s="561">
        <v>0.22887446680294454</v>
      </c>
      <c r="G56" s="561">
        <v>0.2561894902594989</v>
      </c>
      <c r="H56" s="561">
        <v>0.2433655285099721</v>
      </c>
      <c r="I56" s="561">
        <v>0.22680249085104076</v>
      </c>
      <c r="J56" s="561">
        <v>0.2350840096805064</v>
      </c>
      <c r="K56" s="275">
        <v>28673</v>
      </c>
      <c r="L56" s="123"/>
      <c r="M56" s="303"/>
    </row>
    <row r="57" spans="1:13" ht="12.75">
      <c r="A57" s="210">
        <v>21</v>
      </c>
      <c r="B57" s="211" t="s">
        <v>12</v>
      </c>
      <c r="C57" s="562">
        <v>0.158639</v>
      </c>
      <c r="D57" s="562">
        <v>0.22347417840375586</v>
      </c>
      <c r="E57" s="562">
        <v>0.8424892320650252</v>
      </c>
      <c r="F57" s="562">
        <v>0.0817371885006676</v>
      </c>
      <c r="G57" s="562">
        <v>0.12123789732857057</v>
      </c>
      <c r="H57" s="562">
        <v>0.11516914659113862</v>
      </c>
      <c r="I57" s="562">
        <v>0.10997090672646488</v>
      </c>
      <c r="J57" s="562">
        <v>0.11257002665880175</v>
      </c>
      <c r="K57" s="276">
        <v>13730</v>
      </c>
      <c r="L57" s="123"/>
      <c r="M57" s="303"/>
    </row>
    <row r="58" spans="1:13" ht="12.75">
      <c r="A58" s="210">
        <v>22</v>
      </c>
      <c r="B58" s="211" t="s">
        <v>13</v>
      </c>
      <c r="C58" s="562">
        <v>0.143146</v>
      </c>
      <c r="D58" s="562">
        <v>0.046948356807511735</v>
      </c>
      <c r="E58" s="562">
        <v>1.2022896765188074</v>
      </c>
      <c r="F58" s="562">
        <v>0.01067575711027874</v>
      </c>
      <c r="G58" s="562">
        <v>0.02083661070622076</v>
      </c>
      <c r="H58" s="562">
        <v>0.01979360188327609</v>
      </c>
      <c r="I58" s="562">
        <v>0.017414283213431254</v>
      </c>
      <c r="J58" s="562">
        <v>0.018603942548353673</v>
      </c>
      <c r="K58" s="276">
        <v>2269</v>
      </c>
      <c r="L58" s="123"/>
      <c r="M58" s="303"/>
    </row>
    <row r="59" spans="1:13" ht="12.75">
      <c r="A59" s="210">
        <v>23</v>
      </c>
      <c r="B59" s="211" t="s">
        <v>14</v>
      </c>
      <c r="C59" s="562">
        <v>0.06029</v>
      </c>
      <c r="D59" s="562">
        <v>0.07887323943661972</v>
      </c>
      <c r="E59" s="562">
        <v>0.6770624129844124</v>
      </c>
      <c r="F59" s="562">
        <v>0.06287737353924684</v>
      </c>
      <c r="G59" s="562">
        <v>0.07613835404403335</v>
      </c>
      <c r="H59" s="562">
        <v>0.07232713080086438</v>
      </c>
      <c r="I59" s="562">
        <v>0.08060253920089364</v>
      </c>
      <c r="J59" s="562">
        <v>0.076464835000879</v>
      </c>
      <c r="K59" s="276">
        <v>9326</v>
      </c>
      <c r="L59" s="123"/>
      <c r="M59" s="303"/>
    </row>
    <row r="60" spans="1:13" ht="12.75">
      <c r="A60" s="210">
        <v>31</v>
      </c>
      <c r="B60" s="211" t="s">
        <v>15</v>
      </c>
      <c r="C60" s="562">
        <v>0.093297</v>
      </c>
      <c r="D60" s="562">
        <v>0.24287949921752738</v>
      </c>
      <c r="E60" s="562">
        <v>1.3335620504049635</v>
      </c>
      <c r="F60" s="562">
        <v>0.4745645803547164</v>
      </c>
      <c r="G60" s="562">
        <v>0.4196098950779467</v>
      </c>
      <c r="H60" s="562">
        <v>0.398605671841654</v>
      </c>
      <c r="I60" s="562">
        <v>0.4290799356446786</v>
      </c>
      <c r="J60" s="562">
        <v>0.4138428037431663</v>
      </c>
      <c r="K60" s="1233">
        <f>50476+1</f>
        <v>50477</v>
      </c>
      <c r="L60" s="123"/>
      <c r="M60" s="303"/>
    </row>
    <row r="61" spans="1:13" ht="12.75">
      <c r="A61" s="210">
        <v>33</v>
      </c>
      <c r="B61" s="211" t="s">
        <v>16</v>
      </c>
      <c r="C61" s="562">
        <v>0.037386</v>
      </c>
      <c r="D61" s="562">
        <v>0.02535211267605634</v>
      </c>
      <c r="E61" s="562">
        <v>1.1920910836424823</v>
      </c>
      <c r="F61" s="562">
        <v>0.07032588531389207</v>
      </c>
      <c r="G61" s="562">
        <v>0.06314282403411697</v>
      </c>
      <c r="H61" s="562">
        <v>0.05998211217450705</v>
      </c>
      <c r="I61" s="562">
        <v>0.05872006268808509</v>
      </c>
      <c r="J61" s="562">
        <v>0.05935108743129607</v>
      </c>
      <c r="K61" s="276">
        <v>7239</v>
      </c>
      <c r="L61" s="123"/>
      <c r="M61" s="303"/>
    </row>
    <row r="62" spans="1:13" ht="12.75">
      <c r="A62" s="210">
        <v>41</v>
      </c>
      <c r="B62" s="211" t="s">
        <v>17</v>
      </c>
      <c r="C62" s="562">
        <v>0.282924</v>
      </c>
      <c r="D62" s="562">
        <v>0.05508607198748044</v>
      </c>
      <c r="E62" s="562">
        <v>0.6396254353194709</v>
      </c>
      <c r="F62" s="562">
        <v>0.03867377202207229</v>
      </c>
      <c r="G62" s="562">
        <v>0.05099078474960082</v>
      </c>
      <c r="H62" s="562">
        <v>0.04843836203879842</v>
      </c>
      <c r="I62" s="562">
        <v>0.03139405963704266</v>
      </c>
      <c r="J62" s="562">
        <v>0.03991621083792054</v>
      </c>
      <c r="K62" s="276">
        <v>4869</v>
      </c>
      <c r="L62" s="123"/>
      <c r="M62" s="303"/>
    </row>
    <row r="63" spans="1:13" ht="12.75">
      <c r="A63" s="210">
        <v>51</v>
      </c>
      <c r="B63" s="211" t="s">
        <v>18</v>
      </c>
      <c r="C63" s="562">
        <v>0.041428</v>
      </c>
      <c r="D63" s="562">
        <v>0.02629107981220657</v>
      </c>
      <c r="E63" s="562">
        <v>0.4438504935653464</v>
      </c>
      <c r="F63" s="562">
        <v>0</v>
      </c>
      <c r="G63" s="562">
        <v>0</v>
      </c>
      <c r="H63" s="562">
        <v>0</v>
      </c>
      <c r="I63" s="562">
        <v>0.001317116681532857</v>
      </c>
      <c r="J63" s="562">
        <v>0.0006585583407664285</v>
      </c>
      <c r="K63" s="276">
        <v>80</v>
      </c>
      <c r="L63" s="123"/>
      <c r="M63" s="303"/>
    </row>
    <row r="64" spans="1:13" ht="13.5" thickBot="1">
      <c r="A64" s="214">
        <v>56</v>
      </c>
      <c r="B64" s="215" t="s">
        <v>19</v>
      </c>
      <c r="C64" s="563">
        <v>0.096329</v>
      </c>
      <c r="D64" s="563">
        <v>0.0541471048513302</v>
      </c>
      <c r="E64" s="563">
        <v>0.8129773897428514</v>
      </c>
      <c r="F64" s="563">
        <v>0.03227097635618154</v>
      </c>
      <c r="G64" s="563">
        <v>0.04454838454989415</v>
      </c>
      <c r="H64" s="563">
        <v>0.04231844615978928</v>
      </c>
      <c r="I64" s="563">
        <v>0.04469860535683025</v>
      </c>
      <c r="J64" s="563">
        <v>0.04350852575830977</v>
      </c>
      <c r="K64" s="277">
        <v>5307</v>
      </c>
      <c r="L64" s="123"/>
      <c r="M64" s="303"/>
    </row>
    <row r="65" spans="1:14" s="2" customFormat="1" ht="13.5" thickBot="1">
      <c r="A65" s="258" t="s">
        <v>20</v>
      </c>
      <c r="B65" s="27"/>
      <c r="C65" s="564">
        <f>SUM(C56:C64)</f>
        <v>1</v>
      </c>
      <c r="D65" s="564">
        <f>SUM(D56:D64)</f>
        <v>0.9999999999999999</v>
      </c>
      <c r="E65" s="564"/>
      <c r="F65" s="564">
        <f aca="true" t="shared" si="1" ref="F65:K65">SUM(F56:F64)</f>
        <v>1</v>
      </c>
      <c r="G65" s="564"/>
      <c r="H65" s="565">
        <f t="shared" si="1"/>
        <v>1</v>
      </c>
      <c r="I65" s="564">
        <f t="shared" si="1"/>
        <v>1</v>
      </c>
      <c r="J65" s="564">
        <f t="shared" si="1"/>
        <v>0.9999999999999999</v>
      </c>
      <c r="K65" s="384">
        <f t="shared" si="1"/>
        <v>121970</v>
      </c>
      <c r="L65" s="305"/>
      <c r="M65" s="306"/>
      <c r="N65" s="17"/>
    </row>
    <row r="66" spans="1:11" ht="12.75">
      <c r="A66" s="278"/>
      <c r="B66" s="278"/>
      <c r="C66" s="279"/>
      <c r="D66" s="279"/>
      <c r="E66" s="279"/>
      <c r="F66" s="279"/>
      <c r="G66" s="279"/>
      <c r="H66" s="279"/>
      <c r="I66" s="279"/>
      <c r="J66" s="279"/>
      <c r="K66" s="95"/>
    </row>
    <row r="67" spans="1:11" ht="16.5" thickBot="1">
      <c r="A67" s="174" t="s">
        <v>24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</row>
    <row r="68" spans="1:11" ht="12.75">
      <c r="A68" s="178"/>
      <c r="B68" s="265"/>
      <c r="C68" s="1290" t="s">
        <v>389</v>
      </c>
      <c r="D68" s="1291"/>
      <c r="E68" s="1292"/>
      <c r="F68" s="1293" t="s">
        <v>249</v>
      </c>
      <c r="G68" s="1294"/>
      <c r="H68" s="1295"/>
      <c r="I68" s="171"/>
      <c r="J68" s="171"/>
      <c r="K68" s="171"/>
    </row>
    <row r="69" spans="1:11" ht="13.5" thickBot="1">
      <c r="A69" s="268" t="s">
        <v>10</v>
      </c>
      <c r="B69" s="269"/>
      <c r="C69" s="280" t="s">
        <v>25</v>
      </c>
      <c r="D69" s="281" t="s">
        <v>140</v>
      </c>
      <c r="E69" s="282" t="s">
        <v>21</v>
      </c>
      <c r="F69" s="283" t="s">
        <v>25</v>
      </c>
      <c r="G69" s="284" t="s">
        <v>140</v>
      </c>
      <c r="H69" s="285" t="s">
        <v>21</v>
      </c>
      <c r="I69" s="171"/>
      <c r="J69" s="171"/>
      <c r="K69" s="171"/>
    </row>
    <row r="70" spans="1:11" ht="12.75">
      <c r="A70" s="204">
        <v>11</v>
      </c>
      <c r="B70" s="286" t="s">
        <v>11</v>
      </c>
      <c r="C70" s="287">
        <f>G22</f>
        <v>356956</v>
      </c>
      <c r="D70" s="288">
        <f>K56</f>
        <v>28673</v>
      </c>
      <c r="E70" s="289">
        <f aca="true" t="shared" si="2" ref="E70:E79">SUM(C70:D70)</f>
        <v>385629</v>
      </c>
      <c r="F70" s="1044">
        <v>346576</v>
      </c>
      <c r="G70" s="1045">
        <v>27207</v>
      </c>
      <c r="H70" s="208">
        <f>SUM(F70:G70)</f>
        <v>373783</v>
      </c>
      <c r="I70" s="171"/>
      <c r="J70" s="171"/>
      <c r="K70" s="171"/>
    </row>
    <row r="71" spans="1:11" ht="12.75">
      <c r="A71" s="210">
        <v>21</v>
      </c>
      <c r="B71" s="290" t="s">
        <v>12</v>
      </c>
      <c r="C71" s="291">
        <f>G23</f>
        <v>321990</v>
      </c>
      <c r="D71" s="292">
        <f>K57</f>
        <v>13730</v>
      </c>
      <c r="E71" s="293">
        <f t="shared" si="2"/>
        <v>335720</v>
      </c>
      <c r="F71" s="1046">
        <v>299063</v>
      </c>
      <c r="G71" s="1047">
        <v>13192</v>
      </c>
      <c r="H71" s="560">
        <f aca="true" t="shared" si="3" ref="H71:H78">SUM(F71:G71)</f>
        <v>312255</v>
      </c>
      <c r="I71" s="171"/>
      <c r="J71" s="171"/>
      <c r="K71" s="171"/>
    </row>
    <row r="72" spans="1:11" ht="12.75">
      <c r="A72" s="210">
        <v>22</v>
      </c>
      <c r="B72" s="290" t="s">
        <v>13</v>
      </c>
      <c r="C72" s="291">
        <f aca="true" t="shared" si="4" ref="C72:C78">G24</f>
        <v>119719</v>
      </c>
      <c r="D72" s="292">
        <f aca="true" t="shared" si="5" ref="D72:D78">K58</f>
        <v>2269</v>
      </c>
      <c r="E72" s="293">
        <f t="shared" si="2"/>
        <v>121988</v>
      </c>
      <c r="F72" s="1046">
        <v>118445</v>
      </c>
      <c r="G72" s="1047">
        <v>2089</v>
      </c>
      <c r="H72" s="560">
        <f t="shared" si="3"/>
        <v>120534</v>
      </c>
      <c r="I72" s="171"/>
      <c r="J72" s="171"/>
      <c r="K72" s="171"/>
    </row>
    <row r="73" spans="1:11" ht="12.75">
      <c r="A73" s="210">
        <v>23</v>
      </c>
      <c r="B73" s="290" t="s">
        <v>14</v>
      </c>
      <c r="C73" s="291">
        <f t="shared" si="4"/>
        <v>136446</v>
      </c>
      <c r="D73" s="292">
        <f t="shared" si="5"/>
        <v>9326</v>
      </c>
      <c r="E73" s="293">
        <f t="shared" si="2"/>
        <v>145772</v>
      </c>
      <c r="F73" s="1046">
        <v>130239</v>
      </c>
      <c r="G73" s="1047">
        <v>9669</v>
      </c>
      <c r="H73" s="560">
        <f t="shared" si="3"/>
        <v>139908</v>
      </c>
      <c r="I73" s="171"/>
      <c r="J73" s="171"/>
      <c r="K73" s="171"/>
    </row>
    <row r="74" spans="1:11" ht="12.75">
      <c r="A74" s="210">
        <v>31</v>
      </c>
      <c r="B74" s="290" t="s">
        <v>15</v>
      </c>
      <c r="C74" s="291">
        <f t="shared" si="4"/>
        <v>273041</v>
      </c>
      <c r="D74" s="292">
        <f t="shared" si="5"/>
        <v>50477</v>
      </c>
      <c r="E74" s="293">
        <f t="shared" si="2"/>
        <v>323518</v>
      </c>
      <c r="F74" s="1046">
        <v>257446</v>
      </c>
      <c r="G74" s="1047">
        <v>51472</v>
      </c>
      <c r="H74" s="560">
        <f t="shared" si="3"/>
        <v>308918</v>
      </c>
      <c r="I74" s="171"/>
      <c r="J74" s="171"/>
      <c r="K74" s="171"/>
    </row>
    <row r="75" spans="1:11" ht="12.75">
      <c r="A75" s="210">
        <v>33</v>
      </c>
      <c r="B75" s="290" t="s">
        <v>16</v>
      </c>
      <c r="C75" s="291">
        <f t="shared" si="4"/>
        <v>118781</v>
      </c>
      <c r="D75" s="292">
        <f t="shared" si="5"/>
        <v>7239</v>
      </c>
      <c r="E75" s="293">
        <f t="shared" si="2"/>
        <v>126020</v>
      </c>
      <c r="F75" s="1046">
        <v>106314</v>
      </c>
      <c r="G75" s="1047">
        <v>7044</v>
      </c>
      <c r="H75" s="560">
        <f t="shared" si="3"/>
        <v>113358</v>
      </c>
      <c r="I75" s="171"/>
      <c r="J75" s="171"/>
      <c r="K75" s="171"/>
    </row>
    <row r="76" spans="1:11" ht="12.75">
      <c r="A76" s="210">
        <v>41</v>
      </c>
      <c r="B76" s="290" t="s">
        <v>17</v>
      </c>
      <c r="C76" s="291">
        <f t="shared" si="4"/>
        <v>262887</v>
      </c>
      <c r="D76" s="292">
        <f t="shared" si="5"/>
        <v>4869</v>
      </c>
      <c r="E76" s="293">
        <f t="shared" si="2"/>
        <v>267756</v>
      </c>
      <c r="F76" s="1046">
        <v>243630</v>
      </c>
      <c r="G76" s="1047">
        <v>3766</v>
      </c>
      <c r="H76" s="560">
        <f t="shared" si="3"/>
        <v>247396</v>
      </c>
      <c r="I76" s="171"/>
      <c r="J76" s="171"/>
      <c r="K76" s="171"/>
    </row>
    <row r="77" spans="1:11" ht="12.75">
      <c r="A77" s="210">
        <v>51</v>
      </c>
      <c r="B77" s="290" t="s">
        <v>18</v>
      </c>
      <c r="C77" s="291">
        <f t="shared" si="4"/>
        <v>58702</v>
      </c>
      <c r="D77" s="292">
        <f t="shared" si="5"/>
        <v>80</v>
      </c>
      <c r="E77" s="293">
        <f t="shared" si="2"/>
        <v>58782</v>
      </c>
      <c r="F77" s="1046">
        <v>58465</v>
      </c>
      <c r="G77" s="1047">
        <v>158</v>
      </c>
      <c r="H77" s="560">
        <f t="shared" si="3"/>
        <v>58623</v>
      </c>
      <c r="I77" s="171"/>
      <c r="J77" s="171"/>
      <c r="K77" s="171"/>
    </row>
    <row r="78" spans="1:11" ht="13.5" thickBot="1">
      <c r="A78" s="214">
        <v>56</v>
      </c>
      <c r="B78" s="294" t="s">
        <v>19</v>
      </c>
      <c r="C78" s="295">
        <f t="shared" si="4"/>
        <v>137657</v>
      </c>
      <c r="D78" s="296">
        <f t="shared" si="5"/>
        <v>5307</v>
      </c>
      <c r="E78" s="297">
        <f t="shared" si="2"/>
        <v>142964</v>
      </c>
      <c r="F78" s="1048">
        <v>124679</v>
      </c>
      <c r="G78" s="1049">
        <v>5362</v>
      </c>
      <c r="H78" s="208">
        <f t="shared" si="3"/>
        <v>130041</v>
      </c>
      <c r="I78" s="171"/>
      <c r="J78" s="171"/>
      <c r="K78" s="171"/>
    </row>
    <row r="79" spans="1:11" ht="13.5" thickBot="1">
      <c r="A79" s="258" t="s">
        <v>20</v>
      </c>
      <c r="B79" s="259"/>
      <c r="C79" s="298">
        <f>SUM(C70:C78)</f>
        <v>1786179</v>
      </c>
      <c r="D79" s="299">
        <f>SUM(D70:D78)</f>
        <v>121970</v>
      </c>
      <c r="E79" s="300">
        <f t="shared" si="2"/>
        <v>1908149</v>
      </c>
      <c r="F79" s="301">
        <f>SUM(F70:F78)</f>
        <v>1684857</v>
      </c>
      <c r="G79" s="260">
        <f>SUM(G70:G78)</f>
        <v>119959</v>
      </c>
      <c r="H79" s="223">
        <f>SUM(H70:H78)</f>
        <v>1804816</v>
      </c>
      <c r="I79" s="171"/>
      <c r="J79" s="171"/>
      <c r="K79" s="171"/>
    </row>
    <row r="80" spans="3:6" ht="12.75">
      <c r="C80" s="307"/>
      <c r="D80" s="307"/>
      <c r="E80" s="508"/>
      <c r="F80" s="509"/>
    </row>
    <row r="81" ht="17.25" customHeight="1"/>
    <row r="82" ht="15.75">
      <c r="A82" s="9" t="s">
        <v>34</v>
      </c>
    </row>
    <row r="83" ht="11.25" customHeight="1">
      <c r="A83" s="9"/>
    </row>
    <row r="84" spans="1:14" s="21" customFormat="1" ht="15.75" thickBot="1">
      <c r="A84" s="113" t="s">
        <v>390</v>
      </c>
      <c r="L84" s="116"/>
      <c r="M84" s="116"/>
      <c r="N84" s="116"/>
    </row>
    <row r="85" spans="1:14" s="2" customFormat="1" ht="12.75">
      <c r="A85" s="5">
        <v>5</v>
      </c>
      <c r="B85" s="353" t="s">
        <v>344</v>
      </c>
      <c r="C85" s="3"/>
      <c r="D85" s="3"/>
      <c r="E85" s="3"/>
      <c r="F85" s="3"/>
      <c r="G85" s="3"/>
      <c r="H85" s="3"/>
      <c r="I85" s="31">
        <f>'příl.1-CP'!L6</f>
        <v>99000</v>
      </c>
      <c r="J85" s="7"/>
      <c r="L85" s="116"/>
      <c r="M85" s="116"/>
      <c r="N85" s="116"/>
    </row>
    <row r="86" spans="1:14" s="2" customFormat="1" ht="12.75">
      <c r="A86" s="137">
        <v>6</v>
      </c>
      <c r="B86" s="100" t="s">
        <v>207</v>
      </c>
      <c r="C86" s="100"/>
      <c r="D86" s="100"/>
      <c r="E86" s="100"/>
      <c r="F86" s="100"/>
      <c r="G86" s="100"/>
      <c r="H86" s="100"/>
      <c r="I86" s="138">
        <f>'příl.1-CP'!L9</f>
        <v>48601</v>
      </c>
      <c r="J86" s="7"/>
      <c r="L86" s="116"/>
      <c r="M86" s="116"/>
      <c r="N86" s="116"/>
    </row>
    <row r="87" spans="1:14" s="2" customFormat="1" ht="12.75">
      <c r="A87" s="137">
        <v>7</v>
      </c>
      <c r="B87" s="100" t="s">
        <v>208</v>
      </c>
      <c r="C87" s="100"/>
      <c r="D87" s="100"/>
      <c r="E87" s="100"/>
      <c r="F87" s="100"/>
      <c r="G87" s="100"/>
      <c r="H87" s="100"/>
      <c r="I87" s="138">
        <f>'příl.1-CP'!L10</f>
        <v>17164</v>
      </c>
      <c r="J87" s="7"/>
      <c r="L87" s="116"/>
      <c r="M87" s="116"/>
      <c r="N87" s="116"/>
    </row>
    <row r="88" spans="1:14" s="2" customFormat="1" ht="13.5" thickBot="1">
      <c r="A88" s="33">
        <v>8</v>
      </c>
      <c r="B88" s="348" t="s">
        <v>0</v>
      </c>
      <c r="C88" s="7"/>
      <c r="D88" s="7"/>
      <c r="E88" s="7"/>
      <c r="F88" s="7"/>
      <c r="G88" s="7"/>
      <c r="H88" s="7"/>
      <c r="I88" s="346">
        <f>'příl.1-CP'!L22</f>
        <v>18500</v>
      </c>
      <c r="J88" s="7"/>
      <c r="L88" s="116"/>
      <c r="M88" s="116"/>
      <c r="N88" s="116"/>
    </row>
    <row r="89" spans="1:14" s="109" customFormat="1" ht="13.5" thickBot="1">
      <c r="A89" s="351">
        <v>9</v>
      </c>
      <c r="B89" s="1287" t="s">
        <v>347</v>
      </c>
      <c r="C89" s="1288"/>
      <c r="D89" s="1288"/>
      <c r="E89" s="1288"/>
      <c r="F89" s="1288"/>
      <c r="G89" s="1288"/>
      <c r="H89" s="1289"/>
      <c r="I89" s="352">
        <f>SUM(I85:I88)</f>
        <v>183265</v>
      </c>
      <c r="J89" s="396"/>
      <c r="L89" s="125"/>
      <c r="M89" s="125"/>
      <c r="N89" s="125"/>
    </row>
    <row r="90" spans="1:14" s="108" customFormat="1" ht="13.5">
      <c r="A90" s="114"/>
      <c r="B90" s="115"/>
      <c r="I90" s="110"/>
      <c r="L90" s="116"/>
      <c r="M90" s="116"/>
      <c r="N90" s="116"/>
    </row>
    <row r="91" spans="1:14" s="21" customFormat="1" ht="15.75" thickBot="1">
      <c r="A91" s="113" t="s">
        <v>1</v>
      </c>
      <c r="L91" s="116"/>
      <c r="M91" s="116"/>
      <c r="N91" s="116"/>
    </row>
    <row r="92" spans="1:10" ht="12.75">
      <c r="A92" s="139">
        <v>10</v>
      </c>
      <c r="B92" s="140" t="s">
        <v>345</v>
      </c>
      <c r="C92" s="140"/>
      <c r="D92" s="140"/>
      <c r="E92" s="140"/>
      <c r="F92" s="140"/>
      <c r="G92" s="140"/>
      <c r="H92" s="140"/>
      <c r="I92" s="141">
        <f>'příl.1-CP'!L26</f>
        <v>134992</v>
      </c>
      <c r="J92" s="350"/>
    </row>
    <row r="93" spans="1:9" ht="13.5" thickBot="1">
      <c r="A93" s="16">
        <v>11</v>
      </c>
      <c r="B93" s="10" t="s">
        <v>346</v>
      </c>
      <c r="C93" s="10"/>
      <c r="D93" s="10"/>
      <c r="E93" s="10"/>
      <c r="F93" s="10"/>
      <c r="G93" s="10"/>
      <c r="H93" s="10"/>
      <c r="I93" s="12">
        <f>'příl.1-CP'!L120</f>
        <v>16000</v>
      </c>
    </row>
    <row r="94" spans="1:14" s="399" customFormat="1" ht="12.75">
      <c r="A94" s="397">
        <v>12</v>
      </c>
      <c r="B94" s="1296" t="s">
        <v>348</v>
      </c>
      <c r="C94" s="1297"/>
      <c r="D94" s="1297"/>
      <c r="E94" s="1297"/>
      <c r="F94" s="1297"/>
      <c r="G94" s="1297"/>
      <c r="H94" s="1298"/>
      <c r="I94" s="398">
        <f>SUM(I92:I93)</f>
        <v>150992</v>
      </c>
      <c r="L94" s="400"/>
      <c r="M94" s="400"/>
      <c r="N94" s="400"/>
    </row>
    <row r="95" spans="1:9" ht="13.5" thickBot="1">
      <c r="A95" s="25">
        <v>13</v>
      </c>
      <c r="B95" s="354" t="s">
        <v>349</v>
      </c>
      <c r="C95" s="354"/>
      <c r="D95" s="354"/>
      <c r="E95" s="354"/>
      <c r="F95" s="354"/>
      <c r="G95" s="354"/>
      <c r="H95" s="354"/>
      <c r="I95" s="355">
        <f>'příl.1-CP'!L136</f>
        <v>227354.34999999998</v>
      </c>
    </row>
    <row r="96" spans="1:14" s="109" customFormat="1" ht="13.5" thickBot="1">
      <c r="A96" s="351">
        <v>14</v>
      </c>
      <c r="B96" s="1287" t="s">
        <v>3</v>
      </c>
      <c r="C96" s="1288"/>
      <c r="D96" s="1288"/>
      <c r="E96" s="1288"/>
      <c r="F96" s="1288"/>
      <c r="G96" s="1288"/>
      <c r="H96" s="1289"/>
      <c r="I96" s="352">
        <f>SUM(I94:I95)</f>
        <v>378346.35</v>
      </c>
      <c r="J96" s="356"/>
      <c r="L96" s="125"/>
      <c r="M96" s="125"/>
      <c r="N96" s="125"/>
    </row>
    <row r="97" spans="1:14" s="10" customFormat="1" ht="12.75">
      <c r="A97" s="19"/>
      <c r="I97" s="11"/>
      <c r="J97" s="11"/>
      <c r="L97" s="117"/>
      <c r="M97" s="117"/>
      <c r="N97" s="117"/>
    </row>
    <row r="98" spans="1:14" s="1028" customFormat="1" ht="15.75" thickBot="1">
      <c r="A98" s="1027" t="s">
        <v>374</v>
      </c>
      <c r="L98" s="1029"/>
      <c r="M98" s="1029"/>
      <c r="N98" s="1029"/>
    </row>
    <row r="99" spans="1:9" s="2" customFormat="1" ht="12.75" customHeight="1">
      <c r="A99" s="357">
        <v>15</v>
      </c>
      <c r="B99" s="391" t="s">
        <v>350</v>
      </c>
      <c r="C99" s="361"/>
      <c r="D99" s="361"/>
      <c r="E99" s="361"/>
      <c r="F99" s="361"/>
      <c r="G99" s="361"/>
      <c r="H99" s="386"/>
      <c r="I99" s="358">
        <f>F13</f>
        <v>1908149</v>
      </c>
    </row>
    <row r="100" spans="1:10" s="20" customFormat="1" ht="12.75" customHeight="1">
      <c r="A100" s="394">
        <v>16</v>
      </c>
      <c r="B100" s="392" t="s">
        <v>351</v>
      </c>
      <c r="C100" s="359"/>
      <c r="D100" s="359"/>
      <c r="E100" s="359"/>
      <c r="F100" s="359"/>
      <c r="G100" s="359"/>
      <c r="H100" s="387"/>
      <c r="I100" s="389">
        <f>I89+I96</f>
        <v>561611.35</v>
      </c>
      <c r="J100" s="451"/>
    </row>
    <row r="101" spans="1:9" s="20" customFormat="1" ht="12.75" customHeight="1" thickBot="1">
      <c r="A101" s="395">
        <v>17</v>
      </c>
      <c r="B101" s="393" t="s">
        <v>352</v>
      </c>
      <c r="C101" s="360"/>
      <c r="D101" s="360"/>
      <c r="E101" s="360"/>
      <c r="F101" s="360"/>
      <c r="G101" s="360"/>
      <c r="H101" s="388"/>
      <c r="I101" s="390">
        <f>I99-I100</f>
        <v>1346537.65</v>
      </c>
    </row>
    <row r="102" ht="13.5" customHeight="1"/>
    <row r="103" ht="12.75">
      <c r="I103" s="8"/>
    </row>
  </sheetData>
  <mergeCells count="5">
    <mergeCell ref="B96:H96"/>
    <mergeCell ref="C68:E68"/>
    <mergeCell ref="F68:H68"/>
    <mergeCell ref="B89:H89"/>
    <mergeCell ref="B94:H94"/>
  </mergeCells>
  <printOptions/>
  <pageMargins left="0.7" right="0.26" top="0.66" bottom="0.62" header="0.4921259845" footer="0.33"/>
  <pageSetup horizontalDpi="600" verticalDpi="600" orientation="landscape" paperSize="9" r:id="rId1"/>
  <headerFooter alignWithMargins="0">
    <oddFooter>&amp;C&amp;P</oddFooter>
  </headerFooter>
  <rowBreaks count="2" manualBreakCount="2">
    <brk id="3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A22" sqref="A22"/>
    </sheetView>
  </sheetViews>
  <sheetFormatPr defaultColWidth="9.00390625" defaultRowHeight="12.75"/>
  <cols>
    <col min="1" max="1" width="9.00390625" style="457" customWidth="1"/>
    <col min="2" max="3" width="7.375" style="457" customWidth="1"/>
    <col min="4" max="4" width="7.25390625" style="457" customWidth="1"/>
    <col min="5" max="5" width="7.625" style="457" customWidth="1"/>
    <col min="6" max="6" width="8.25390625" style="457" customWidth="1"/>
    <col min="7" max="7" width="8.375" style="457" customWidth="1"/>
    <col min="8" max="8" width="8.125" style="457" customWidth="1"/>
    <col min="9" max="9" width="9.00390625" style="457" customWidth="1"/>
    <col min="10" max="10" width="7.875" style="457" customWidth="1"/>
    <col min="11" max="11" width="8.625" style="457" customWidth="1"/>
    <col min="12" max="12" width="7.875" style="457" customWidth="1"/>
    <col min="13" max="13" width="2.25390625" style="457" customWidth="1"/>
    <col min="14" max="14" width="7.125" style="457" customWidth="1"/>
    <col min="15" max="15" width="7.00390625" style="457" customWidth="1"/>
    <col min="16" max="16" width="7.75390625" style="457" customWidth="1"/>
    <col min="17" max="17" width="2.625" style="457" customWidth="1"/>
    <col min="18" max="18" width="6.375" style="457" customWidth="1"/>
    <col min="19" max="19" width="6.25390625" style="457" customWidth="1"/>
    <col min="20" max="20" width="7.125" style="457" customWidth="1"/>
    <col min="21" max="21" width="7.875" style="457" customWidth="1"/>
    <col min="22" max="22" width="6.875" style="457" bestFit="1" customWidth="1"/>
    <col min="23" max="23" width="7.875" style="457" bestFit="1" customWidth="1"/>
    <col min="24" max="25" width="7.875" style="457" customWidth="1"/>
    <col min="26" max="26" width="2.25390625" style="457" customWidth="1"/>
    <col min="27" max="27" width="8.00390625" style="457" hidden="1" customWidth="1"/>
    <col min="28" max="28" width="7.375" style="457" hidden="1" customWidth="1"/>
    <col min="29" max="30" width="6.875" style="457" hidden="1" customWidth="1"/>
    <col min="31" max="31" width="7.25390625" style="457" hidden="1" customWidth="1"/>
    <col min="32" max="32" width="8.00390625" style="457" hidden="1" customWidth="1"/>
    <col min="33" max="33" width="8.125" style="457" hidden="1" customWidth="1"/>
    <col min="34" max="34" width="6.875" style="457" hidden="1" customWidth="1"/>
    <col min="35" max="35" width="7.875" style="457" hidden="1" customWidth="1"/>
    <col min="36" max="36" width="7.375" style="457" hidden="1" customWidth="1"/>
    <col min="37" max="37" width="8.00390625" style="457" hidden="1" customWidth="1"/>
    <col min="38" max="38" width="8.125" style="457" hidden="1" customWidth="1"/>
    <col min="39" max="39" width="8.375" style="457" hidden="1" customWidth="1"/>
    <col min="40" max="40" width="8.25390625" style="457" hidden="1" customWidth="1"/>
    <col min="41" max="41" width="8.00390625" style="457" hidden="1" customWidth="1"/>
    <col min="42" max="42" width="8.375" style="457" hidden="1" customWidth="1"/>
    <col min="43" max="43" width="7.125" style="457" hidden="1" customWidth="1"/>
    <col min="44" max="44" width="8.125" style="457" hidden="1" customWidth="1"/>
    <col min="45" max="45" width="7.75390625" style="457" hidden="1" customWidth="1"/>
    <col min="46" max="46" width="7.125" style="457" hidden="1" customWidth="1"/>
    <col min="47" max="47" width="7.875" style="457" hidden="1" customWidth="1"/>
    <col min="48" max="51" width="7.75390625" style="457" hidden="1" customWidth="1"/>
    <col min="52" max="52" width="5.125" style="457" hidden="1" customWidth="1"/>
    <col min="53" max="16384" width="9.125" style="457" customWidth="1"/>
  </cols>
  <sheetData>
    <row r="1" spans="1:10" s="454" customFormat="1" ht="15.75">
      <c r="A1" s="174" t="s">
        <v>471</v>
      </c>
      <c r="F1" s="455"/>
      <c r="G1" s="455"/>
      <c r="H1" s="455"/>
      <c r="I1" s="455"/>
      <c r="J1" s="456"/>
    </row>
    <row r="2" spans="1:10" s="454" customFormat="1" ht="15.75">
      <c r="A2" s="174"/>
      <c r="F2" s="455"/>
      <c r="G2" s="455"/>
      <c r="H2" s="455"/>
      <c r="I2" s="455"/>
      <c r="J2" s="456"/>
    </row>
    <row r="3" spans="37:40" ht="12" thickBot="1">
      <c r="AK3" s="955" t="s">
        <v>360</v>
      </c>
      <c r="AN3" s="955" t="s">
        <v>361</v>
      </c>
    </row>
    <row r="4" spans="4:5" ht="12" hidden="1" thickBot="1">
      <c r="D4" s="458">
        <v>1</v>
      </c>
      <c r="E4" s="459">
        <v>1</v>
      </c>
    </row>
    <row r="5" spans="1:52" s="462" customFormat="1" ht="12" customHeight="1">
      <c r="A5" s="949"/>
      <c r="B5" s="950"/>
      <c r="C5" s="950" t="s">
        <v>38</v>
      </c>
      <c r="D5" s="991"/>
      <c r="E5" s="950" t="s">
        <v>142</v>
      </c>
      <c r="F5" s="950" t="s">
        <v>142</v>
      </c>
      <c r="G5" s="950" t="s">
        <v>39</v>
      </c>
      <c r="H5" s="950" t="s">
        <v>39</v>
      </c>
      <c r="I5" s="950" t="s">
        <v>40</v>
      </c>
      <c r="J5" s="950" t="s">
        <v>40</v>
      </c>
      <c r="K5" s="1183" t="s">
        <v>475</v>
      </c>
      <c r="L5" s="986" t="s">
        <v>472</v>
      </c>
      <c r="M5" s="461"/>
      <c r="N5" s="992"/>
      <c r="O5" s="460"/>
      <c r="P5" s="1000"/>
      <c r="R5" s="965" t="s">
        <v>170</v>
      </c>
      <c r="S5" s="962" t="s">
        <v>171</v>
      </c>
      <c r="T5" s="962" t="s">
        <v>172</v>
      </c>
      <c r="U5" s="1038" t="s">
        <v>160</v>
      </c>
      <c r="V5" s="1038" t="s">
        <v>216</v>
      </c>
      <c r="W5" s="1038" t="s">
        <v>148</v>
      </c>
      <c r="X5" s="962" t="s">
        <v>148</v>
      </c>
      <c r="Y5" s="963" t="s">
        <v>148</v>
      </c>
      <c r="AA5" s="965" t="s">
        <v>198</v>
      </c>
      <c r="AB5" s="962" t="s">
        <v>200</v>
      </c>
      <c r="AC5" s="962" t="s">
        <v>198</v>
      </c>
      <c r="AD5" s="962" t="s">
        <v>202</v>
      </c>
      <c r="AE5" s="962" t="s">
        <v>204</v>
      </c>
      <c r="AF5" s="962" t="s">
        <v>198</v>
      </c>
      <c r="AG5" s="962" t="s">
        <v>200</v>
      </c>
      <c r="AH5" s="962" t="s">
        <v>198</v>
      </c>
      <c r="AI5" s="962" t="s">
        <v>203</v>
      </c>
      <c r="AJ5" s="962" t="s">
        <v>204</v>
      </c>
      <c r="AK5" s="962" t="s">
        <v>157</v>
      </c>
      <c r="AL5" s="962" t="s">
        <v>203</v>
      </c>
      <c r="AM5" s="962" t="s">
        <v>204</v>
      </c>
      <c r="AN5" s="962" t="s">
        <v>215</v>
      </c>
      <c r="AO5" s="962" t="s">
        <v>203</v>
      </c>
      <c r="AP5" s="962" t="s">
        <v>204</v>
      </c>
      <c r="AQ5" s="962" t="s">
        <v>198</v>
      </c>
      <c r="AR5" s="962" t="s">
        <v>203</v>
      </c>
      <c r="AS5" s="962" t="s">
        <v>204</v>
      </c>
      <c r="AT5" s="962" t="s">
        <v>198</v>
      </c>
      <c r="AU5" s="962" t="s">
        <v>203</v>
      </c>
      <c r="AV5" s="1191" t="s">
        <v>204</v>
      </c>
      <c r="AW5" s="962" t="s">
        <v>198</v>
      </c>
      <c r="AX5" s="1038" t="s">
        <v>203</v>
      </c>
      <c r="AY5" s="962" t="s">
        <v>204</v>
      </c>
      <c r="AZ5" s="1299" t="s">
        <v>477</v>
      </c>
    </row>
    <row r="6" spans="1:52" s="462" customFormat="1" ht="12" customHeight="1">
      <c r="A6" s="916" t="s">
        <v>10</v>
      </c>
      <c r="B6" s="926" t="s">
        <v>41</v>
      </c>
      <c r="C6" s="926" t="s">
        <v>41</v>
      </c>
      <c r="D6" s="926" t="s">
        <v>42</v>
      </c>
      <c r="E6" s="926" t="s">
        <v>353</v>
      </c>
      <c r="F6" s="926" t="s">
        <v>160</v>
      </c>
      <c r="G6" s="926" t="s">
        <v>156</v>
      </c>
      <c r="H6" s="926" t="s">
        <v>143</v>
      </c>
      <c r="I6" s="926" t="s">
        <v>43</v>
      </c>
      <c r="J6" s="926" t="s">
        <v>135</v>
      </c>
      <c r="K6" s="1184" t="s">
        <v>21</v>
      </c>
      <c r="L6" s="935" t="s">
        <v>473</v>
      </c>
      <c r="M6" s="461"/>
      <c r="N6" s="993"/>
      <c r="O6" s="463">
        <v>2007</v>
      </c>
      <c r="P6" s="1001">
        <v>2008</v>
      </c>
      <c r="R6" s="967" t="s">
        <v>142</v>
      </c>
      <c r="S6" s="933" t="s">
        <v>160</v>
      </c>
      <c r="T6" s="933" t="s">
        <v>150</v>
      </c>
      <c r="U6" s="934" t="s">
        <v>51</v>
      </c>
      <c r="V6" s="934"/>
      <c r="W6" s="934" t="s">
        <v>474</v>
      </c>
      <c r="X6" s="933" t="s">
        <v>32</v>
      </c>
      <c r="Y6" s="964" t="s">
        <v>32</v>
      </c>
      <c r="AA6" s="967" t="s">
        <v>201</v>
      </c>
      <c r="AB6" s="933" t="s">
        <v>199</v>
      </c>
      <c r="AC6" s="933" t="s">
        <v>21</v>
      </c>
      <c r="AD6" s="933" t="s">
        <v>21</v>
      </c>
      <c r="AE6" s="933" t="s">
        <v>21</v>
      </c>
      <c r="AF6" s="933" t="s">
        <v>201</v>
      </c>
      <c r="AG6" s="933" t="s">
        <v>199</v>
      </c>
      <c r="AH6" s="933" t="s">
        <v>21</v>
      </c>
      <c r="AI6" s="933" t="s">
        <v>21</v>
      </c>
      <c r="AJ6" s="933" t="s">
        <v>21</v>
      </c>
      <c r="AK6" s="933" t="s">
        <v>21</v>
      </c>
      <c r="AL6" s="933" t="s">
        <v>21</v>
      </c>
      <c r="AM6" s="933" t="s">
        <v>21</v>
      </c>
      <c r="AN6" s="933" t="s">
        <v>21</v>
      </c>
      <c r="AO6" s="933" t="s">
        <v>21</v>
      </c>
      <c r="AP6" s="933" t="s">
        <v>21</v>
      </c>
      <c r="AQ6" s="933" t="s">
        <v>21</v>
      </c>
      <c r="AR6" s="933" t="s">
        <v>21</v>
      </c>
      <c r="AS6" s="933" t="s">
        <v>21</v>
      </c>
      <c r="AT6" s="933" t="s">
        <v>21</v>
      </c>
      <c r="AU6" s="933" t="s">
        <v>21</v>
      </c>
      <c r="AV6" s="478" t="s">
        <v>21</v>
      </c>
      <c r="AW6" s="933" t="s">
        <v>21</v>
      </c>
      <c r="AX6" s="934" t="s">
        <v>21</v>
      </c>
      <c r="AY6" s="933" t="s">
        <v>21</v>
      </c>
      <c r="AZ6" s="1300"/>
    </row>
    <row r="7" spans="1:51" s="462" customFormat="1" ht="12" customHeight="1" thickBot="1">
      <c r="A7" s="977"/>
      <c r="B7" s="927" t="s">
        <v>45</v>
      </c>
      <c r="C7" s="927" t="s">
        <v>46</v>
      </c>
      <c r="D7" s="927"/>
      <c r="E7" s="927">
        <v>2007</v>
      </c>
      <c r="F7" s="927">
        <v>2007</v>
      </c>
      <c r="G7" s="927" t="s">
        <v>20</v>
      </c>
      <c r="H7" s="927" t="s">
        <v>144</v>
      </c>
      <c r="I7" s="927" t="s">
        <v>47</v>
      </c>
      <c r="J7" s="927" t="s">
        <v>48</v>
      </c>
      <c r="K7" s="1185"/>
      <c r="L7" s="972">
        <v>2007</v>
      </c>
      <c r="M7" s="464"/>
      <c r="N7" s="994"/>
      <c r="O7" s="1007"/>
      <c r="P7" s="1002"/>
      <c r="R7" s="1039" t="s">
        <v>21</v>
      </c>
      <c r="S7" s="936" t="s">
        <v>142</v>
      </c>
      <c r="T7" s="966">
        <v>233330</v>
      </c>
      <c r="U7" s="1040" t="s">
        <v>173</v>
      </c>
      <c r="V7" s="1040"/>
      <c r="W7" s="970" t="s">
        <v>40</v>
      </c>
      <c r="X7" s="936" t="s">
        <v>475</v>
      </c>
      <c r="Y7" s="1203" t="s">
        <v>472</v>
      </c>
      <c r="AA7" s="1206">
        <v>2002</v>
      </c>
      <c r="AB7" s="936">
        <v>2002</v>
      </c>
      <c r="AC7" s="936">
        <v>2002</v>
      </c>
      <c r="AD7" s="936">
        <v>2002</v>
      </c>
      <c r="AE7" s="936">
        <v>2002</v>
      </c>
      <c r="AF7" s="966">
        <v>2003</v>
      </c>
      <c r="AG7" s="936">
        <v>2003</v>
      </c>
      <c r="AH7" s="936">
        <v>2003</v>
      </c>
      <c r="AI7" s="936">
        <v>2003</v>
      </c>
      <c r="AJ7" s="936">
        <v>2003</v>
      </c>
      <c r="AK7" s="936">
        <v>2004</v>
      </c>
      <c r="AL7" s="936">
        <v>2004</v>
      </c>
      <c r="AM7" s="936">
        <v>2004</v>
      </c>
      <c r="AN7" s="936">
        <v>2005</v>
      </c>
      <c r="AO7" s="936">
        <v>2005</v>
      </c>
      <c r="AP7" s="936">
        <v>2005</v>
      </c>
      <c r="AQ7" s="936">
        <v>2006</v>
      </c>
      <c r="AR7" s="936">
        <v>2006</v>
      </c>
      <c r="AS7" s="936">
        <v>2006</v>
      </c>
      <c r="AT7" s="936">
        <v>2007</v>
      </c>
      <c r="AU7" s="936">
        <v>2007</v>
      </c>
      <c r="AV7" s="1192">
        <v>2007</v>
      </c>
      <c r="AW7" s="936">
        <v>2008</v>
      </c>
      <c r="AX7" s="970">
        <v>2008</v>
      </c>
      <c r="AY7" s="936">
        <v>2008</v>
      </c>
    </row>
    <row r="8" spans="1:52" ht="12.75" customHeight="1">
      <c r="A8" s="916" t="s">
        <v>11</v>
      </c>
      <c r="B8" s="917">
        <v>3412</v>
      </c>
      <c r="C8" s="1207">
        <v>412.76</v>
      </c>
      <c r="D8" s="917">
        <v>33040</v>
      </c>
      <c r="E8" s="917">
        <f>'příl.4-odhad odpisu08'!X6</f>
        <v>46755</v>
      </c>
      <c r="F8" s="917">
        <f>'příl.4-odhad odpisu08'!Z6</f>
        <v>16150</v>
      </c>
      <c r="G8" s="1210">
        <f>D8/$D$17*100</f>
        <v>19.820273788527757</v>
      </c>
      <c r="H8" s="1210">
        <f>E8/$E$17*100</f>
        <v>24.731944966066642</v>
      </c>
      <c r="I8" s="915">
        <f>'str1-3'!G22</f>
        <v>356956</v>
      </c>
      <c r="J8" s="915">
        <f>'str1-3'!K56</f>
        <v>28673</v>
      </c>
      <c r="K8" s="944">
        <f>SUM(I8:J8)</f>
        <v>385629</v>
      </c>
      <c r="L8" s="466">
        <f>550243+45816</f>
        <v>596059</v>
      </c>
      <c r="M8" s="467"/>
      <c r="N8" s="995" t="s">
        <v>379</v>
      </c>
      <c r="O8" s="465">
        <v>112342</v>
      </c>
      <c r="P8" s="960">
        <f>'příl.1-CP'!L26-'příl.1-CP'!L65</f>
        <v>118992</v>
      </c>
      <c r="R8" s="951">
        <f>L8/$L$17*$R$17</f>
        <v>21665.744863412914</v>
      </c>
      <c r="S8" s="1190">
        <f>L8/$L$17*$S$17</f>
        <v>10636.129960674052</v>
      </c>
      <c r="T8" s="1190">
        <f>L8/$L$17*$T$17</f>
        <v>4048.649292657969</v>
      </c>
      <c r="U8" s="1190">
        <f>L8/$L$17*$U$17</f>
        <v>3756.27115995575</v>
      </c>
      <c r="V8" s="917">
        <f>ROUND(SUM(R8:U8),0)</f>
        <v>40107</v>
      </c>
      <c r="W8" s="1200">
        <f>I8-V8</f>
        <v>316849</v>
      </c>
      <c r="X8" s="465">
        <f>K8-V8</f>
        <v>345522</v>
      </c>
      <c r="Y8" s="960">
        <f>L8-V8</f>
        <v>555952</v>
      </c>
      <c r="AA8" s="474">
        <v>30466.138868032474</v>
      </c>
      <c r="AB8" s="465">
        <v>25993.488893479596</v>
      </c>
      <c r="AC8" s="465">
        <f>AA8+AB8</f>
        <v>56459.62776151207</v>
      </c>
      <c r="AD8" s="465">
        <v>182416.06541417688</v>
      </c>
      <c r="AE8" s="465">
        <f>AD8-AC8</f>
        <v>125956.43765266481</v>
      </c>
      <c r="AF8" s="465">
        <v>33752.226374240934</v>
      </c>
      <c r="AG8" s="465">
        <v>29843.98504703223</v>
      </c>
      <c r="AH8" s="465">
        <f>AF8+AG8</f>
        <v>63596.21142127317</v>
      </c>
      <c r="AI8" s="465">
        <v>210434.50101597793</v>
      </c>
      <c r="AJ8" s="937">
        <f>AI8-AH8</f>
        <v>146838.28959470475</v>
      </c>
      <c r="AK8" s="465">
        <v>49017.62782983937</v>
      </c>
      <c r="AL8" s="465">
        <v>260502.95018376264</v>
      </c>
      <c r="AM8" s="937">
        <v>193123</v>
      </c>
      <c r="AN8" s="465">
        <v>86995</v>
      </c>
      <c r="AO8" s="465">
        <v>297360</v>
      </c>
      <c r="AP8" s="937">
        <v>210365</v>
      </c>
      <c r="AQ8" s="465">
        <v>92351</v>
      </c>
      <c r="AR8" s="465">
        <v>332457</v>
      </c>
      <c r="AS8" s="937">
        <v>240106</v>
      </c>
      <c r="AT8" s="465">
        <v>103018</v>
      </c>
      <c r="AU8" s="465">
        <v>373795.97243865277</v>
      </c>
      <c r="AV8" s="465">
        <f>AU8-AT8</f>
        <v>270777.97243865277</v>
      </c>
      <c r="AW8" s="465">
        <f>H27</f>
        <v>110397.97618742561</v>
      </c>
      <c r="AX8" s="1193">
        <f>K8</f>
        <v>385629</v>
      </c>
      <c r="AY8" s="1199">
        <f>AX8-AW8</f>
        <v>275231.0238125744</v>
      </c>
      <c r="AZ8" s="956">
        <f>AY8/AV8</f>
        <v>1.016445397436937</v>
      </c>
    </row>
    <row r="9" spans="1:52" ht="12.75" customHeight="1">
      <c r="A9" s="924" t="s">
        <v>12</v>
      </c>
      <c r="B9" s="925">
        <v>8280</v>
      </c>
      <c r="C9" s="1208">
        <v>302.75</v>
      </c>
      <c r="D9" s="925">
        <v>21479</v>
      </c>
      <c r="E9" s="925">
        <f>'příl.4-odhad odpisu08'!X7</f>
        <v>8120</v>
      </c>
      <c r="F9" s="925">
        <f>'příl.4-odhad odpisu08'!Z7</f>
        <v>3048</v>
      </c>
      <c r="G9" s="1211">
        <f aca="true" t="shared" si="0" ref="G9:G16">D9/$D$17*100</f>
        <v>12.88497762420665</v>
      </c>
      <c r="H9" s="1211">
        <f aca="true" t="shared" si="1" ref="H9:H16">E9/$E$17*100</f>
        <v>4.295228170772348</v>
      </c>
      <c r="I9" s="925">
        <f>'str1-3'!G23</f>
        <v>321990</v>
      </c>
      <c r="J9" s="925">
        <f>'str1-3'!K57</f>
        <v>13730</v>
      </c>
      <c r="K9" s="1186">
        <f aca="true" t="shared" si="2" ref="K9:K16">SUM(I9:J9)</f>
        <v>335720</v>
      </c>
      <c r="L9" s="471">
        <f>371831+3608</f>
        <v>375439</v>
      </c>
      <c r="M9" s="467"/>
      <c r="N9" s="996" t="s">
        <v>162</v>
      </c>
      <c r="O9" s="470">
        <v>41148</v>
      </c>
      <c r="P9" s="959">
        <f>'příl.1-CP'!L9</f>
        <v>48601</v>
      </c>
      <c r="R9" s="948">
        <f aca="true" t="shared" si="3" ref="R9:R16">L9/$L$17*$R$17</f>
        <v>13646.577915566884</v>
      </c>
      <c r="S9" s="925">
        <f aca="true" t="shared" si="4" ref="S9:S16">L9/$L$17*$S$17</f>
        <v>6699.367002772386</v>
      </c>
      <c r="T9" s="925">
        <f aca="true" t="shared" si="5" ref="T9:T16">L9/$L$17*$T$17</f>
        <v>2550.118095333206</v>
      </c>
      <c r="U9" s="925">
        <f aca="true" t="shared" si="6" ref="U9:U16">L9/$L$17*$U$17</f>
        <v>2365.9582155837375</v>
      </c>
      <c r="V9" s="925">
        <f aca="true" t="shared" si="7" ref="V9:V16">ROUND(SUM(R9:U9),0)</f>
        <v>25262</v>
      </c>
      <c r="W9" s="939">
        <f aca="true" t="shared" si="8" ref="W9:W16">I9-V9</f>
        <v>296728</v>
      </c>
      <c r="X9" s="470">
        <f aca="true" t="shared" si="9" ref="X9:X16">K9-V9</f>
        <v>310458</v>
      </c>
      <c r="Y9" s="959">
        <f aca="true" t="shared" si="10" ref="Y9:Y16">L9-V9</f>
        <v>350177</v>
      </c>
      <c r="AA9" s="472">
        <v>24384.466507721078</v>
      </c>
      <c r="AB9" s="470">
        <v>13971.768310068723</v>
      </c>
      <c r="AC9" s="470">
        <f aca="true" t="shared" si="11" ref="AC9:AC16">AA9+AB9</f>
        <v>38356.2348177898</v>
      </c>
      <c r="AD9" s="470">
        <v>115546.304323639</v>
      </c>
      <c r="AE9" s="470">
        <f aca="true" t="shared" si="12" ref="AE9:AE17">AD9-AC9</f>
        <v>77190.06950584918</v>
      </c>
      <c r="AF9" s="470">
        <v>28642.953232499814</v>
      </c>
      <c r="AG9" s="470">
        <v>20667.2700275198</v>
      </c>
      <c r="AH9" s="470">
        <f aca="true" t="shared" si="13" ref="AH9:AH16">AF9+AG9</f>
        <v>49310.223260019615</v>
      </c>
      <c r="AI9" s="470">
        <v>146623.95218527017</v>
      </c>
      <c r="AJ9" s="470">
        <f aca="true" t="shared" si="14" ref="AJ9:AJ17">AI9-AH9</f>
        <v>97313.72892525056</v>
      </c>
      <c r="AK9" s="470">
        <v>39429.65042101713</v>
      </c>
      <c r="AL9" s="470">
        <v>202433.91341668885</v>
      </c>
      <c r="AM9" s="470">
        <v>148735.646197214</v>
      </c>
      <c r="AN9" s="470">
        <v>67705</v>
      </c>
      <c r="AO9" s="470">
        <v>233462</v>
      </c>
      <c r="AP9" s="470">
        <v>165757</v>
      </c>
      <c r="AQ9" s="470">
        <v>79160</v>
      </c>
      <c r="AR9" s="470">
        <v>282980</v>
      </c>
      <c r="AS9" s="470">
        <v>203820</v>
      </c>
      <c r="AT9" s="470">
        <v>88789</v>
      </c>
      <c r="AU9" s="470">
        <v>312204.1474498282</v>
      </c>
      <c r="AV9" s="470">
        <f aca="true" t="shared" si="15" ref="AV9:AV16">AU9-AT9</f>
        <v>223415.14744982822</v>
      </c>
      <c r="AW9" s="470">
        <f aca="true" t="shared" si="16" ref="AW9:AW16">H28</f>
        <v>86531.10971493254</v>
      </c>
      <c r="AX9" s="1194">
        <f aca="true" t="shared" si="17" ref="AX9:AX16">K9</f>
        <v>335720</v>
      </c>
      <c r="AY9" s="470">
        <f aca="true" t="shared" si="18" ref="AY9:AY16">AX9-AW9</f>
        <v>249188.89028506746</v>
      </c>
      <c r="AZ9" s="956">
        <f aca="true" t="shared" si="19" ref="AZ9:AZ17">AY9/AV9</f>
        <v>1.115362557684354</v>
      </c>
    </row>
    <row r="10" spans="1:52" ht="12.75" customHeight="1">
      <c r="A10" s="924" t="s">
        <v>13</v>
      </c>
      <c r="B10" s="925">
        <v>3541</v>
      </c>
      <c r="C10" s="1208">
        <v>112.5</v>
      </c>
      <c r="D10" s="925">
        <v>12930</v>
      </c>
      <c r="E10" s="925">
        <f>'příl.4-odhad odpisu08'!X8</f>
        <v>2716</v>
      </c>
      <c r="F10" s="925">
        <f>'příl.4-odhad odpisu08'!Z8</f>
        <v>1325</v>
      </c>
      <c r="G10" s="1211">
        <f t="shared" si="0"/>
        <v>7.756541770147213</v>
      </c>
      <c r="H10" s="1211">
        <f t="shared" si="1"/>
        <v>1.4366797674652334</v>
      </c>
      <c r="I10" s="925">
        <f>'str1-3'!G24</f>
        <v>119719</v>
      </c>
      <c r="J10" s="925">
        <f>'str1-3'!K58</f>
        <v>2269</v>
      </c>
      <c r="K10" s="1186">
        <f t="shared" si="2"/>
        <v>121988</v>
      </c>
      <c r="L10" s="471">
        <f>139939+2873</f>
        <v>142812</v>
      </c>
      <c r="M10" s="467"/>
      <c r="N10" s="996" t="s">
        <v>163</v>
      </c>
      <c r="O10" s="470">
        <v>99000</v>
      </c>
      <c r="P10" s="959">
        <f>'příl.1-CP'!L6</f>
        <v>99000</v>
      </c>
      <c r="R10" s="948">
        <f t="shared" si="3"/>
        <v>5190.9766574009045</v>
      </c>
      <c r="S10" s="925">
        <f t="shared" si="4"/>
        <v>2548.3500659226397</v>
      </c>
      <c r="T10" s="925">
        <f t="shared" si="5"/>
        <v>970.0309915345124</v>
      </c>
      <c r="U10" s="925">
        <f t="shared" si="6"/>
        <v>899.9790237134255</v>
      </c>
      <c r="V10" s="925">
        <f t="shared" si="7"/>
        <v>9609</v>
      </c>
      <c r="W10" s="939">
        <f t="shared" si="8"/>
        <v>110110</v>
      </c>
      <c r="X10" s="470">
        <f t="shared" si="9"/>
        <v>112379</v>
      </c>
      <c r="Y10" s="959">
        <f t="shared" si="10"/>
        <v>133203</v>
      </c>
      <c r="AA10" s="472">
        <v>16620.13216399868</v>
      </c>
      <c r="AB10" s="470">
        <v>11254.824496329738</v>
      </c>
      <c r="AC10" s="470">
        <f t="shared" si="11"/>
        <v>27874.95666032842</v>
      </c>
      <c r="AD10" s="470">
        <v>66471.25428881726</v>
      </c>
      <c r="AE10" s="470">
        <f t="shared" si="12"/>
        <v>38596.29762848884</v>
      </c>
      <c r="AF10" s="470">
        <v>18215.695394173552</v>
      </c>
      <c r="AG10" s="470">
        <v>15672.63979551748</v>
      </c>
      <c r="AH10" s="470">
        <f t="shared" si="13"/>
        <v>33888.33518969103</v>
      </c>
      <c r="AI10" s="470">
        <v>77249.99712111002</v>
      </c>
      <c r="AJ10" s="470">
        <f t="shared" si="14"/>
        <v>43361.66193141899</v>
      </c>
      <c r="AK10" s="470">
        <v>25670.531407292696</v>
      </c>
      <c r="AL10" s="470">
        <v>94599.74642888148</v>
      </c>
      <c r="AM10" s="470">
        <v>62261.322729023435</v>
      </c>
      <c r="AN10" s="470">
        <v>34429</v>
      </c>
      <c r="AO10" s="470">
        <v>105262</v>
      </c>
      <c r="AP10" s="470">
        <v>70833</v>
      </c>
      <c r="AQ10" s="470">
        <v>36740</v>
      </c>
      <c r="AR10" s="470">
        <v>120537</v>
      </c>
      <c r="AS10" s="470">
        <v>83797</v>
      </c>
      <c r="AT10" s="470">
        <v>38572</v>
      </c>
      <c r="AU10" s="470">
        <v>120595.32348249879</v>
      </c>
      <c r="AV10" s="470">
        <f t="shared" si="15"/>
        <v>82023.32348249879</v>
      </c>
      <c r="AW10" s="470">
        <f t="shared" si="16"/>
        <v>37850.150934892416</v>
      </c>
      <c r="AX10" s="1194">
        <f t="shared" si="17"/>
        <v>121988</v>
      </c>
      <c r="AY10" s="470">
        <f t="shared" si="18"/>
        <v>84137.84906510758</v>
      </c>
      <c r="AZ10" s="956">
        <f t="shared" si="19"/>
        <v>1.0257795647973222</v>
      </c>
    </row>
    <row r="11" spans="1:52" ht="12.75" customHeight="1">
      <c r="A11" s="924" t="s">
        <v>14</v>
      </c>
      <c r="B11" s="925">
        <v>3877</v>
      </c>
      <c r="C11" s="1208">
        <v>119.45</v>
      </c>
      <c r="D11" s="925">
        <v>13025</v>
      </c>
      <c r="E11" s="925">
        <f>'příl.4-odhad odpisu08'!X9</f>
        <v>7116</v>
      </c>
      <c r="F11" s="925">
        <f>'příl.4-odhad odpisu08'!Z9</f>
        <v>1570</v>
      </c>
      <c r="G11" s="1211">
        <f t="shared" si="0"/>
        <v>7.813531056161442</v>
      </c>
      <c r="H11" s="1211">
        <f t="shared" si="1"/>
        <v>3.7641433082778355</v>
      </c>
      <c r="I11" s="925">
        <f>'str1-3'!G25</f>
        <v>136446</v>
      </c>
      <c r="J11" s="925">
        <f>'str1-3'!K59</f>
        <v>9326</v>
      </c>
      <c r="K11" s="1186">
        <f t="shared" si="2"/>
        <v>145772</v>
      </c>
      <c r="L11" s="471">
        <f>197051+2605</f>
        <v>199656</v>
      </c>
      <c r="M11" s="467"/>
      <c r="N11" s="996" t="s">
        <v>164</v>
      </c>
      <c r="O11" s="470">
        <v>21905</v>
      </c>
      <c r="P11" s="959">
        <f>'příl.1-CP'!L10</f>
        <v>17164</v>
      </c>
      <c r="R11" s="948">
        <f t="shared" si="3"/>
        <v>7257.160711355033</v>
      </c>
      <c r="S11" s="925">
        <f t="shared" si="4"/>
        <v>3562.6794720461203</v>
      </c>
      <c r="T11" s="925">
        <f t="shared" si="5"/>
        <v>1356.1360925259403</v>
      </c>
      <c r="U11" s="925">
        <f t="shared" si="6"/>
        <v>1258.2010752494725</v>
      </c>
      <c r="V11" s="925">
        <f t="shared" si="7"/>
        <v>13434</v>
      </c>
      <c r="W11" s="939">
        <f t="shared" si="8"/>
        <v>123012</v>
      </c>
      <c r="X11" s="470">
        <f t="shared" si="9"/>
        <v>132338</v>
      </c>
      <c r="Y11" s="959">
        <f t="shared" si="10"/>
        <v>186222</v>
      </c>
      <c r="AA11" s="472">
        <v>8920.814511917933</v>
      </c>
      <c r="AB11" s="470">
        <v>4806.820542686555</v>
      </c>
      <c r="AC11" s="470">
        <f t="shared" si="11"/>
        <v>13727.635054604489</v>
      </c>
      <c r="AD11" s="470">
        <v>55775.41107024762</v>
      </c>
      <c r="AE11" s="470">
        <f t="shared" si="12"/>
        <v>42047.77601564313</v>
      </c>
      <c r="AF11" s="470">
        <v>10580.122370113882</v>
      </c>
      <c r="AG11" s="470">
        <v>6806.154245980332</v>
      </c>
      <c r="AH11" s="470">
        <f t="shared" si="13"/>
        <v>17386.276616094216</v>
      </c>
      <c r="AI11" s="470">
        <v>56507.99155334817</v>
      </c>
      <c r="AJ11" s="470">
        <f t="shared" si="14"/>
        <v>39121.71493725396</v>
      </c>
      <c r="AK11" s="470">
        <v>13614.929431360433</v>
      </c>
      <c r="AL11" s="470">
        <v>72886.95670118563</v>
      </c>
      <c r="AM11" s="470">
        <v>54134.567655366845</v>
      </c>
      <c r="AN11" s="470">
        <v>28191</v>
      </c>
      <c r="AO11" s="470">
        <v>96439</v>
      </c>
      <c r="AP11" s="470">
        <v>68248</v>
      </c>
      <c r="AQ11" s="470">
        <v>40271</v>
      </c>
      <c r="AR11" s="470">
        <v>123564</v>
      </c>
      <c r="AS11" s="470">
        <v>83293</v>
      </c>
      <c r="AT11" s="470">
        <v>44677</v>
      </c>
      <c r="AU11" s="470">
        <v>139934.9563040681</v>
      </c>
      <c r="AV11" s="470">
        <f t="shared" si="15"/>
        <v>95257.9563040681</v>
      </c>
      <c r="AW11" s="470">
        <f t="shared" si="16"/>
        <v>43028.743453869305</v>
      </c>
      <c r="AX11" s="1194">
        <f t="shared" si="17"/>
        <v>145772</v>
      </c>
      <c r="AY11" s="470">
        <f t="shared" si="18"/>
        <v>102743.2565461307</v>
      </c>
      <c r="AZ11" s="956">
        <f t="shared" si="19"/>
        <v>1.0785792655279014</v>
      </c>
    </row>
    <row r="12" spans="1:52" ht="12.75" customHeight="1">
      <c r="A12" s="924" t="s">
        <v>15</v>
      </c>
      <c r="B12" s="925">
        <v>3111</v>
      </c>
      <c r="C12" s="1208">
        <v>369.14</v>
      </c>
      <c r="D12" s="925">
        <v>43994</v>
      </c>
      <c r="E12" s="925">
        <f>'příl.4-odhad odpisu08'!X10</f>
        <v>89997</v>
      </c>
      <c r="F12" s="925">
        <f>'příl.4-odhad odpisu08'!Z10</f>
        <v>19648</v>
      </c>
      <c r="G12" s="1211">
        <f t="shared" si="0"/>
        <v>26.391438409579</v>
      </c>
      <c r="H12" s="1211">
        <f t="shared" si="1"/>
        <v>47.60562188238904</v>
      </c>
      <c r="I12" s="925">
        <f>'str1-3'!G26</f>
        <v>273041</v>
      </c>
      <c r="J12" s="1231">
        <f>'str1-3'!K60</f>
        <v>50477</v>
      </c>
      <c r="K12" s="1186">
        <f t="shared" si="2"/>
        <v>323518</v>
      </c>
      <c r="L12" s="471">
        <f>649040+49057</f>
        <v>698097</v>
      </c>
      <c r="M12" s="467"/>
      <c r="N12" s="996" t="s">
        <v>165</v>
      </c>
      <c r="O12" s="470">
        <v>23181</v>
      </c>
      <c r="P12" s="959">
        <f>'příl.1-CP'!L22</f>
        <v>18500</v>
      </c>
      <c r="R12" s="948">
        <f t="shared" si="3"/>
        <v>25374.655012195046</v>
      </c>
      <c r="S12" s="925">
        <f t="shared" si="4"/>
        <v>12456.905133815064</v>
      </c>
      <c r="T12" s="925">
        <f t="shared" si="5"/>
        <v>4741.728461874832</v>
      </c>
      <c r="U12" s="925">
        <f t="shared" si="6"/>
        <v>4399.298774033492</v>
      </c>
      <c r="V12" s="925">
        <f t="shared" si="7"/>
        <v>46973</v>
      </c>
      <c r="W12" s="939">
        <f t="shared" si="8"/>
        <v>226068</v>
      </c>
      <c r="X12" s="470">
        <f t="shared" si="9"/>
        <v>276545</v>
      </c>
      <c r="Y12" s="959">
        <f t="shared" si="10"/>
        <v>651124</v>
      </c>
      <c r="AA12" s="472">
        <v>30124.11003790563</v>
      </c>
      <c r="AB12" s="470">
        <v>41104.42494919906</v>
      </c>
      <c r="AC12" s="470">
        <f t="shared" si="11"/>
        <v>71228.5349871047</v>
      </c>
      <c r="AD12" s="470">
        <v>219282.83560015395</v>
      </c>
      <c r="AE12" s="470">
        <f t="shared" si="12"/>
        <v>148054.30061304924</v>
      </c>
      <c r="AF12" s="470">
        <v>34814.67684000304</v>
      </c>
      <c r="AG12" s="470">
        <v>33908.17785771076</v>
      </c>
      <c r="AH12" s="470">
        <f t="shared" si="13"/>
        <v>68722.8546977138</v>
      </c>
      <c r="AI12" s="470">
        <v>230417.99504949283</v>
      </c>
      <c r="AJ12" s="470">
        <f t="shared" si="14"/>
        <v>161695.14035177903</v>
      </c>
      <c r="AK12" s="470">
        <v>57223.98915803962</v>
      </c>
      <c r="AL12" s="470">
        <v>246618.74843878503</v>
      </c>
      <c r="AM12" s="470">
        <v>172011.76076337264</v>
      </c>
      <c r="AN12" s="470">
        <v>83198</v>
      </c>
      <c r="AO12" s="470">
        <v>258544</v>
      </c>
      <c r="AP12" s="470">
        <v>175346</v>
      </c>
      <c r="AQ12" s="470">
        <v>102801</v>
      </c>
      <c r="AR12" s="470">
        <v>299885</v>
      </c>
      <c r="AS12" s="470">
        <v>197084</v>
      </c>
      <c r="AT12" s="470">
        <v>109883</v>
      </c>
      <c r="AU12" s="470">
        <v>308859.0899060897</v>
      </c>
      <c r="AV12" s="470">
        <f t="shared" si="15"/>
        <v>198976.0899060897</v>
      </c>
      <c r="AW12" s="470">
        <f t="shared" si="16"/>
        <v>123076.30429381633</v>
      </c>
      <c r="AX12" s="1194">
        <f t="shared" si="17"/>
        <v>323518</v>
      </c>
      <c r="AY12" s="470">
        <f t="shared" si="18"/>
        <v>200441.69570618367</v>
      </c>
      <c r="AZ12" s="956">
        <f t="shared" si="19"/>
        <v>1.0073657382692849</v>
      </c>
    </row>
    <row r="13" spans="1:52" ht="12.75" customHeight="1">
      <c r="A13" s="924" t="s">
        <v>16</v>
      </c>
      <c r="B13" s="925">
        <v>2193</v>
      </c>
      <c r="C13" s="1208">
        <v>87.22</v>
      </c>
      <c r="D13" s="925">
        <v>8818</v>
      </c>
      <c r="E13" s="925">
        <f>'příl.4-odhad odpisu08'!X11</f>
        <v>16476</v>
      </c>
      <c r="F13" s="925">
        <f>'příl.4-odhad odpisu08'!Z11</f>
        <v>2023</v>
      </c>
      <c r="G13" s="1211">
        <f t="shared" si="0"/>
        <v>5.289805516562886</v>
      </c>
      <c r="H13" s="1211">
        <f t="shared" si="1"/>
        <v>8.715293022370098</v>
      </c>
      <c r="I13" s="925">
        <f>'str1-3'!G27</f>
        <v>118781</v>
      </c>
      <c r="J13" s="925">
        <f>'str1-3'!K61</f>
        <v>7239</v>
      </c>
      <c r="K13" s="1186">
        <f t="shared" si="2"/>
        <v>126020</v>
      </c>
      <c r="L13" s="471">
        <f>191229+7717</f>
        <v>198946</v>
      </c>
      <c r="M13" s="467"/>
      <c r="N13" s="996" t="s">
        <v>166</v>
      </c>
      <c r="O13" s="470">
        <v>16000</v>
      </c>
      <c r="P13" s="959">
        <f>'příl.1-CP'!L65</f>
        <v>16000</v>
      </c>
      <c r="R13" s="948">
        <f t="shared" si="3"/>
        <v>7231.353402258075</v>
      </c>
      <c r="S13" s="925">
        <f t="shared" si="4"/>
        <v>3550.010168718634</v>
      </c>
      <c r="T13" s="925">
        <f t="shared" si="5"/>
        <v>1351.3135145633778</v>
      </c>
      <c r="U13" s="925">
        <f t="shared" si="6"/>
        <v>1253.726765619774</v>
      </c>
      <c r="V13" s="925">
        <f t="shared" si="7"/>
        <v>13386</v>
      </c>
      <c r="W13" s="939">
        <f t="shared" si="8"/>
        <v>105395</v>
      </c>
      <c r="X13" s="470">
        <f t="shared" si="9"/>
        <v>112634</v>
      </c>
      <c r="Y13" s="959">
        <f t="shared" si="10"/>
        <v>185560</v>
      </c>
      <c r="AA13" s="472">
        <v>10398.097679203709</v>
      </c>
      <c r="AB13" s="470">
        <v>12418.427781475253</v>
      </c>
      <c r="AC13" s="470">
        <f t="shared" si="11"/>
        <v>22816.52546067896</v>
      </c>
      <c r="AD13" s="470">
        <v>62247.372315865934</v>
      </c>
      <c r="AE13" s="470">
        <f t="shared" si="12"/>
        <v>39430.846855186974</v>
      </c>
      <c r="AF13" s="470">
        <v>11785.076922076427</v>
      </c>
      <c r="AG13" s="470">
        <v>10852.261415793084</v>
      </c>
      <c r="AH13" s="470">
        <f t="shared" si="13"/>
        <v>22637.33833786951</v>
      </c>
      <c r="AI13" s="470">
        <v>76803.76011384015</v>
      </c>
      <c r="AJ13" s="470">
        <f t="shared" si="14"/>
        <v>54166.42177597064</v>
      </c>
      <c r="AK13" s="470">
        <v>19074.859596729344</v>
      </c>
      <c r="AL13" s="470">
        <v>92308.776775473</v>
      </c>
      <c r="AM13" s="470">
        <v>66727.50458851503</v>
      </c>
      <c r="AN13" s="470">
        <v>28373.755994622974</v>
      </c>
      <c r="AO13" s="470">
        <v>97788.75599462297</v>
      </c>
      <c r="AP13" s="470">
        <v>69415</v>
      </c>
      <c r="AQ13" s="470">
        <v>29437</v>
      </c>
      <c r="AR13" s="470">
        <v>114888</v>
      </c>
      <c r="AS13" s="470">
        <v>85451</v>
      </c>
      <c r="AT13" s="470">
        <v>30989</v>
      </c>
      <c r="AU13" s="470">
        <v>113338.41442572129</v>
      </c>
      <c r="AV13" s="470">
        <f t="shared" si="15"/>
        <v>82349.41442572129</v>
      </c>
      <c r="AW13" s="470">
        <f t="shared" si="16"/>
        <v>33018.15458304019</v>
      </c>
      <c r="AX13" s="1194">
        <f t="shared" si="17"/>
        <v>126020</v>
      </c>
      <c r="AY13" s="470">
        <f t="shared" si="18"/>
        <v>93001.84541695981</v>
      </c>
      <c r="AZ13" s="956">
        <f t="shared" si="19"/>
        <v>1.129356487420405</v>
      </c>
    </row>
    <row r="14" spans="1:52" ht="12.75" customHeight="1">
      <c r="A14" s="924" t="s">
        <v>17</v>
      </c>
      <c r="B14" s="925">
        <v>6167</v>
      </c>
      <c r="C14" s="1208">
        <v>267.51</v>
      </c>
      <c r="D14" s="925">
        <v>17030</v>
      </c>
      <c r="E14" s="925">
        <f>'příl.4-odhad odpisu08'!X12</f>
        <v>9541</v>
      </c>
      <c r="F14" s="925">
        <f>'příl.4-odhad odpisu08'!Z12</f>
        <v>1622</v>
      </c>
      <c r="G14" s="1211">
        <f t="shared" si="0"/>
        <v>10.21607937707711</v>
      </c>
      <c r="H14" s="1211">
        <f t="shared" si="1"/>
        <v>5.046893100657508</v>
      </c>
      <c r="I14" s="925">
        <f>'str1-3'!G28</f>
        <v>262887</v>
      </c>
      <c r="J14" s="925">
        <f>'str1-3'!K62</f>
        <v>4869</v>
      </c>
      <c r="K14" s="1186">
        <f t="shared" si="2"/>
        <v>267756</v>
      </c>
      <c r="L14" s="471">
        <f>265605+2846</f>
        <v>268451</v>
      </c>
      <c r="M14" s="467"/>
      <c r="N14" s="996" t="s">
        <v>66</v>
      </c>
      <c r="O14" s="470">
        <v>16000</v>
      </c>
      <c r="P14" s="959">
        <f>'příl.1-CP'!L120</f>
        <v>16000</v>
      </c>
      <c r="R14" s="948">
        <f t="shared" si="3"/>
        <v>9757.743569559492</v>
      </c>
      <c r="S14" s="925">
        <f t="shared" si="4"/>
        <v>4790.263588122837</v>
      </c>
      <c r="T14" s="925">
        <f t="shared" si="5"/>
        <v>1823.4167276449555</v>
      </c>
      <c r="U14" s="925">
        <f t="shared" si="6"/>
        <v>1691.736470989082</v>
      </c>
      <c r="V14" s="925">
        <f t="shared" si="7"/>
        <v>18063</v>
      </c>
      <c r="W14" s="939">
        <f t="shared" si="8"/>
        <v>244824</v>
      </c>
      <c r="X14" s="470">
        <f t="shared" si="9"/>
        <v>249693</v>
      </c>
      <c r="Y14" s="959">
        <f t="shared" si="10"/>
        <v>250388</v>
      </c>
      <c r="AA14" s="472">
        <v>26136.84836162955</v>
      </c>
      <c r="AB14" s="470">
        <v>15455.846521744312</v>
      </c>
      <c r="AC14" s="470">
        <f t="shared" si="11"/>
        <v>41592.69488337386</v>
      </c>
      <c r="AD14" s="470">
        <v>123954.6850479735</v>
      </c>
      <c r="AE14" s="470">
        <f t="shared" si="12"/>
        <v>82361.99016459964</v>
      </c>
      <c r="AF14" s="470">
        <v>28165.321183047992</v>
      </c>
      <c r="AG14" s="470">
        <v>21760.06946853046</v>
      </c>
      <c r="AH14" s="470">
        <f t="shared" si="13"/>
        <v>49925.39065157845</v>
      </c>
      <c r="AI14" s="470">
        <v>135360.91399379508</v>
      </c>
      <c r="AJ14" s="470">
        <f t="shared" si="14"/>
        <v>85435.52334221663</v>
      </c>
      <c r="AK14" s="470">
        <v>40507.62533677509</v>
      </c>
      <c r="AL14" s="470">
        <v>179579.69795653987</v>
      </c>
      <c r="AM14" s="470">
        <v>126414.34224407267</v>
      </c>
      <c r="AN14" s="470">
        <v>62066</v>
      </c>
      <c r="AO14" s="470">
        <v>208613</v>
      </c>
      <c r="AP14" s="470">
        <v>146547</v>
      </c>
      <c r="AQ14" s="470">
        <v>62675</v>
      </c>
      <c r="AR14" s="470">
        <v>224996</v>
      </c>
      <c r="AS14" s="470">
        <v>162321</v>
      </c>
      <c r="AT14" s="470">
        <v>69308</v>
      </c>
      <c r="AU14" s="470">
        <v>247364.11479303328</v>
      </c>
      <c r="AV14" s="470">
        <f t="shared" si="15"/>
        <v>178056.11479303328</v>
      </c>
      <c r="AW14" s="470">
        <f t="shared" si="16"/>
        <v>68001.65336869254</v>
      </c>
      <c r="AX14" s="1194">
        <f t="shared" si="17"/>
        <v>267756</v>
      </c>
      <c r="AY14" s="470">
        <f t="shared" si="18"/>
        <v>199754.34663130745</v>
      </c>
      <c r="AZ14" s="956">
        <f t="shared" si="19"/>
        <v>1.121861761745703</v>
      </c>
    </row>
    <row r="15" spans="1:52" ht="12.75" customHeight="1">
      <c r="A15" s="924" t="s">
        <v>18</v>
      </c>
      <c r="B15" s="925">
        <v>1148</v>
      </c>
      <c r="C15" s="1208">
        <v>86.68</v>
      </c>
      <c r="D15" s="925">
        <v>5238</v>
      </c>
      <c r="E15" s="925">
        <f>'příl.4-odhad odpisu08'!X13</f>
        <v>1635</v>
      </c>
      <c r="F15" s="925">
        <f>'příl.4-odhad odpisu08'!Z13</f>
        <v>1292</v>
      </c>
      <c r="G15" s="1211">
        <f t="shared" si="0"/>
        <v>3.142209264658244</v>
      </c>
      <c r="H15" s="1211">
        <f t="shared" si="1"/>
        <v>0.8648642930065011</v>
      </c>
      <c r="I15" s="925">
        <f>'str1-3'!G29</f>
        <v>58702</v>
      </c>
      <c r="J15" s="925">
        <f>'str1-3'!K63</f>
        <v>80</v>
      </c>
      <c r="K15" s="1186">
        <f t="shared" si="2"/>
        <v>58782</v>
      </c>
      <c r="L15" s="471">
        <f>83763+1768</f>
        <v>85531</v>
      </c>
      <c r="M15" s="467"/>
      <c r="N15" s="996" t="s">
        <v>167</v>
      </c>
      <c r="O15" s="470">
        <v>213701</v>
      </c>
      <c r="P15" s="959">
        <f>'příl.1-CP'!L136</f>
        <v>227354.34999999998</v>
      </c>
      <c r="R15" s="948">
        <f t="shared" si="3"/>
        <v>3108.908386439212</v>
      </c>
      <c r="S15" s="925">
        <f t="shared" si="4"/>
        <v>1526.2227928215366</v>
      </c>
      <c r="T15" s="925">
        <f t="shared" si="5"/>
        <v>580.9576277689436</v>
      </c>
      <c r="U15" s="925">
        <f t="shared" si="6"/>
        <v>539.0030661095215</v>
      </c>
      <c r="V15" s="925">
        <f t="shared" si="7"/>
        <v>5755</v>
      </c>
      <c r="W15" s="939">
        <f t="shared" si="8"/>
        <v>52947</v>
      </c>
      <c r="X15" s="470">
        <f t="shared" si="9"/>
        <v>53027</v>
      </c>
      <c r="Y15" s="959">
        <f t="shared" si="10"/>
        <v>79776</v>
      </c>
      <c r="AA15" s="472">
        <v>3664.245052779</v>
      </c>
      <c r="AB15" s="470">
        <v>891.5786669425036</v>
      </c>
      <c r="AC15" s="470">
        <f t="shared" si="11"/>
        <v>4555.823719721504</v>
      </c>
      <c r="AD15" s="470">
        <v>29269.344102107836</v>
      </c>
      <c r="AE15" s="470">
        <f t="shared" si="12"/>
        <v>24713.520382386334</v>
      </c>
      <c r="AF15" s="470">
        <v>5855.02509704023</v>
      </c>
      <c r="AG15" s="470">
        <v>3651.638663778179</v>
      </c>
      <c r="AH15" s="470">
        <f t="shared" si="13"/>
        <v>9506.66376081841</v>
      </c>
      <c r="AI15" s="470">
        <v>39178.775500394026</v>
      </c>
      <c r="AJ15" s="470">
        <f t="shared" si="14"/>
        <v>29672.111739575616</v>
      </c>
      <c r="AK15" s="470">
        <v>9027.558068386312</v>
      </c>
      <c r="AL15" s="470">
        <v>56952.21840907884</v>
      </c>
      <c r="AM15" s="470">
        <v>43910.365667504535</v>
      </c>
      <c r="AN15" s="470">
        <v>21417</v>
      </c>
      <c r="AO15" s="470">
        <v>66563</v>
      </c>
      <c r="AP15" s="470">
        <v>45146</v>
      </c>
      <c r="AQ15" s="470">
        <v>17190</v>
      </c>
      <c r="AR15" s="470">
        <v>58492</v>
      </c>
      <c r="AS15" s="470">
        <v>41302</v>
      </c>
      <c r="AT15" s="470">
        <v>18295</v>
      </c>
      <c r="AU15" s="470">
        <v>58679.72386757594</v>
      </c>
      <c r="AV15" s="470">
        <f t="shared" si="15"/>
        <v>40384.72386757594</v>
      </c>
      <c r="AW15" s="470">
        <f t="shared" si="16"/>
        <v>19884.567098632153</v>
      </c>
      <c r="AX15" s="1194">
        <f t="shared" si="17"/>
        <v>58782</v>
      </c>
      <c r="AY15" s="470">
        <f t="shared" si="18"/>
        <v>38897.43290136785</v>
      </c>
      <c r="AZ15" s="956">
        <f t="shared" si="19"/>
        <v>0.9631719416706918</v>
      </c>
    </row>
    <row r="16" spans="1:52" ht="12.75" customHeight="1" thickBot="1">
      <c r="A16" s="979" t="s">
        <v>19</v>
      </c>
      <c r="B16" s="952">
        <v>4065</v>
      </c>
      <c r="C16" s="1209">
        <v>130.22</v>
      </c>
      <c r="D16" s="952">
        <v>11144</v>
      </c>
      <c r="E16" s="952">
        <f>'příl.4-odhad odpisu08'!X14</f>
        <v>6691</v>
      </c>
      <c r="F16" s="1025">
        <f>'příl.4-odhad odpisu08'!Z14</f>
        <v>1923</v>
      </c>
      <c r="G16" s="1212">
        <f t="shared" si="0"/>
        <v>6.685143193079702</v>
      </c>
      <c r="H16" s="1212">
        <f t="shared" si="1"/>
        <v>3.5393314889948</v>
      </c>
      <c r="I16" s="952">
        <f>'str1-3'!G30</f>
        <v>137657</v>
      </c>
      <c r="J16" s="952">
        <f>'str1-3'!K64</f>
        <v>5307</v>
      </c>
      <c r="K16" s="1187">
        <f t="shared" si="2"/>
        <v>142964</v>
      </c>
      <c r="L16" s="985">
        <f>153911+4745</f>
        <v>158656</v>
      </c>
      <c r="M16" s="467"/>
      <c r="N16" s="997"/>
      <c r="O16" s="984"/>
      <c r="P16" s="1003"/>
      <c r="R16" s="1189">
        <f t="shared" si="3"/>
        <v>5766.879481812438</v>
      </c>
      <c r="S16" s="1025">
        <f t="shared" si="4"/>
        <v>2831.0718151067304</v>
      </c>
      <c r="T16" s="1025">
        <f t="shared" si="5"/>
        <v>1077.6491960962637</v>
      </c>
      <c r="U16" s="1025">
        <f t="shared" si="6"/>
        <v>999.8254487457442</v>
      </c>
      <c r="V16" s="952">
        <f t="shared" si="7"/>
        <v>10675</v>
      </c>
      <c r="W16" s="1201">
        <f t="shared" si="8"/>
        <v>126982</v>
      </c>
      <c r="X16" s="469">
        <f t="shared" si="9"/>
        <v>132289</v>
      </c>
      <c r="Y16" s="961">
        <f t="shared" si="10"/>
        <v>147981</v>
      </c>
      <c r="AA16" s="474">
        <v>16059.298376074785</v>
      </c>
      <c r="AB16" s="465">
        <v>13081.27947079331</v>
      </c>
      <c r="AC16" s="465">
        <f t="shared" si="11"/>
        <v>29140.577846868095</v>
      </c>
      <c r="AD16" s="465">
        <v>71559.79205514488</v>
      </c>
      <c r="AE16" s="465">
        <f t="shared" si="12"/>
        <v>42419.21420827678</v>
      </c>
      <c r="AF16" s="465">
        <v>18680.20258680406</v>
      </c>
      <c r="AG16" s="465">
        <v>15580.553478137634</v>
      </c>
      <c r="AH16" s="465">
        <f t="shared" si="13"/>
        <v>34260.75606494169</v>
      </c>
      <c r="AI16" s="465">
        <v>85707.11346677151</v>
      </c>
      <c r="AJ16" s="465">
        <f t="shared" si="14"/>
        <v>51446.35740182982</v>
      </c>
      <c r="AK16" s="465">
        <v>26326.89875056012</v>
      </c>
      <c r="AL16" s="465">
        <v>103325.99168960557</v>
      </c>
      <c r="AM16" s="465">
        <v>69716.12855893746</v>
      </c>
      <c r="AN16" s="469">
        <v>36569</v>
      </c>
      <c r="AO16" s="469">
        <v>114970</v>
      </c>
      <c r="AP16" s="465">
        <v>78401</v>
      </c>
      <c r="AQ16" s="469">
        <v>37169</v>
      </c>
      <c r="AR16" s="469">
        <v>125809</v>
      </c>
      <c r="AS16" s="465">
        <v>88640</v>
      </c>
      <c r="AT16" s="469">
        <v>39746</v>
      </c>
      <c r="AU16" s="469">
        <v>130044.25733253288</v>
      </c>
      <c r="AV16" s="469">
        <f t="shared" si="15"/>
        <v>90298.25733253288</v>
      </c>
      <c r="AW16" s="469">
        <f t="shared" si="16"/>
        <v>39822.690364698945</v>
      </c>
      <c r="AX16" s="1195">
        <f t="shared" si="17"/>
        <v>142964</v>
      </c>
      <c r="AY16" s="469">
        <f t="shared" si="18"/>
        <v>103141.30963530106</v>
      </c>
      <c r="AZ16" s="956">
        <f t="shared" si="19"/>
        <v>1.1422292376637158</v>
      </c>
    </row>
    <row r="17" spans="1:52" ht="12.75" customHeight="1" thickBot="1">
      <c r="A17" s="977" t="s">
        <v>158</v>
      </c>
      <c r="B17" s="942">
        <f aca="true" t="shared" si="20" ref="B17:L17">SUM(B8:B16)</f>
        <v>35794</v>
      </c>
      <c r="C17" s="978">
        <f t="shared" si="20"/>
        <v>1888.23</v>
      </c>
      <c r="D17" s="942">
        <f t="shared" si="20"/>
        <v>166698</v>
      </c>
      <c r="E17" s="942">
        <f t="shared" si="20"/>
        <v>189047</v>
      </c>
      <c r="F17" s="942">
        <f t="shared" si="20"/>
        <v>48601</v>
      </c>
      <c r="G17" s="978">
        <f t="shared" si="20"/>
        <v>100.00000000000001</v>
      </c>
      <c r="H17" s="978">
        <f t="shared" si="20"/>
        <v>100.00000000000001</v>
      </c>
      <c r="I17" s="942">
        <f t="shared" si="20"/>
        <v>1786179</v>
      </c>
      <c r="J17" s="942">
        <f t="shared" si="20"/>
        <v>121970</v>
      </c>
      <c r="K17" s="943">
        <f t="shared" si="20"/>
        <v>1908149</v>
      </c>
      <c r="L17" s="1232">
        <f t="shared" si="20"/>
        <v>2723647</v>
      </c>
      <c r="M17" s="467"/>
      <c r="N17" s="998"/>
      <c r="O17" s="1008">
        <f>SUM(O8:O16)</f>
        <v>543277</v>
      </c>
      <c r="P17" s="1004">
        <f>SUM(P8:P16)</f>
        <v>561611.35</v>
      </c>
      <c r="R17" s="941">
        <v>99000</v>
      </c>
      <c r="S17" s="942">
        <f>P9</f>
        <v>48601</v>
      </c>
      <c r="T17" s="942">
        <f>P12</f>
        <v>18500</v>
      </c>
      <c r="U17" s="943">
        <f>P11</f>
        <v>17164</v>
      </c>
      <c r="V17" s="943">
        <f>SUM(V8:V16)</f>
        <v>183264</v>
      </c>
      <c r="W17" s="943">
        <f>SUM(W8:W16)</f>
        <v>1602915</v>
      </c>
      <c r="X17" s="942">
        <f>SUM(X8:X16)</f>
        <v>1724885</v>
      </c>
      <c r="Y17" s="982">
        <f>SUM(Y8:Y16)</f>
        <v>2540383</v>
      </c>
      <c r="AA17" s="957">
        <f>SUM(AA8:AA16)</f>
        <v>166774.15155926286</v>
      </c>
      <c r="AB17" s="958">
        <f aca="true" t="shared" si="21" ref="AB17:AI17">SUM(AB8:AB16)</f>
        <v>138978.45963271905</v>
      </c>
      <c r="AC17" s="958">
        <f t="shared" si="21"/>
        <v>305752.6111919819</v>
      </c>
      <c r="AD17" s="958">
        <f t="shared" si="21"/>
        <v>926523.0642181269</v>
      </c>
      <c r="AE17" s="958">
        <f t="shared" si="12"/>
        <v>620770.453026145</v>
      </c>
      <c r="AF17" s="958">
        <f t="shared" si="21"/>
        <v>190491.2999999999</v>
      </c>
      <c r="AG17" s="958">
        <f t="shared" si="21"/>
        <v>158742.74999999994</v>
      </c>
      <c r="AH17" s="958">
        <f t="shared" si="21"/>
        <v>349234.04999999993</v>
      </c>
      <c r="AI17" s="958">
        <f t="shared" si="21"/>
        <v>1058284.9999999998</v>
      </c>
      <c r="AJ17" s="958">
        <f t="shared" si="14"/>
        <v>709050.9499999998</v>
      </c>
      <c r="AK17" s="958">
        <v>279893.67</v>
      </c>
      <c r="AL17" s="958">
        <v>1309209</v>
      </c>
      <c r="AM17" s="958">
        <v>937034.6384040066</v>
      </c>
      <c r="AN17" s="958">
        <f>SUM(AN8:AN16)</f>
        <v>448943.75599462294</v>
      </c>
      <c r="AO17" s="958">
        <f>SUM(AO8:AO16)</f>
        <v>1479001.755994623</v>
      </c>
      <c r="AP17" s="958">
        <f>SUM(AP8:AP16)</f>
        <v>1030058</v>
      </c>
      <c r="AQ17" s="958">
        <v>497794</v>
      </c>
      <c r="AR17" s="958">
        <v>1683608</v>
      </c>
      <c r="AS17" s="958">
        <v>1185814</v>
      </c>
      <c r="AT17" s="958">
        <f aca="true" t="shared" si="22" ref="AT17:AY17">SUM(AT8:AT16)</f>
        <v>543277</v>
      </c>
      <c r="AU17" s="958">
        <f t="shared" si="22"/>
        <v>1804816.000000001</v>
      </c>
      <c r="AV17" s="1196">
        <f t="shared" si="22"/>
        <v>1261539.000000001</v>
      </c>
      <c r="AW17" s="958">
        <f t="shared" si="22"/>
        <v>561611.3500000001</v>
      </c>
      <c r="AX17" s="1197">
        <f t="shared" si="22"/>
        <v>1908149</v>
      </c>
      <c r="AY17" s="958">
        <f t="shared" si="22"/>
        <v>1346537.65</v>
      </c>
      <c r="AZ17" s="956">
        <f t="shared" si="19"/>
        <v>1.0673769499000816</v>
      </c>
    </row>
    <row r="18" spans="1:52" ht="12.75" customHeight="1" thickBot="1">
      <c r="A18" s="920" t="s">
        <v>145</v>
      </c>
      <c r="B18" s="921"/>
      <c r="C18" s="980"/>
      <c r="D18" s="921"/>
      <c r="E18" s="921">
        <f>'příl.4-odhad odpisu08'!AA27</f>
        <v>92332</v>
      </c>
      <c r="F18" s="921">
        <f>'příl.4-odhad odpisu08'!Z27</f>
        <v>17164</v>
      </c>
      <c r="G18" s="921"/>
      <c r="H18" s="921"/>
      <c r="I18" s="921"/>
      <c r="J18" s="921"/>
      <c r="K18" s="1188"/>
      <c r="L18" s="940"/>
      <c r="M18" s="468"/>
      <c r="N18" s="999" t="s">
        <v>168</v>
      </c>
      <c r="O18" s="1009">
        <v>185234</v>
      </c>
      <c r="P18" s="1005">
        <f>V17</f>
        <v>183264</v>
      </c>
      <c r="R18" s="954"/>
      <c r="S18" s="953"/>
      <c r="T18" s="922"/>
      <c r="U18" s="944"/>
      <c r="V18" s="944"/>
      <c r="W18" s="1202"/>
      <c r="X18" s="917"/>
      <c r="Y18" s="1204"/>
      <c r="AA18" s="474"/>
      <c r="AB18" s="465"/>
      <c r="AC18" s="465"/>
      <c r="AD18" s="465"/>
      <c r="AE18" s="465"/>
      <c r="AF18" s="465"/>
      <c r="AG18" s="465"/>
      <c r="AH18" s="465"/>
      <c r="AI18" s="475"/>
      <c r="AJ18" s="475"/>
      <c r="AK18" s="465"/>
      <c r="AL18" s="475"/>
      <c r="AM18" s="475"/>
      <c r="AN18" s="465"/>
      <c r="AO18" s="475"/>
      <c r="AP18" s="475"/>
      <c r="AQ18" s="465"/>
      <c r="AR18" s="475"/>
      <c r="AS18" s="475"/>
      <c r="AT18" s="465"/>
      <c r="AU18" s="475"/>
      <c r="AV18" s="476"/>
      <c r="AW18" s="465"/>
      <c r="AX18" s="1198"/>
      <c r="AY18" s="475"/>
      <c r="AZ18" s="956"/>
    </row>
    <row r="19" spans="1:52" ht="12.75" customHeight="1" thickBot="1">
      <c r="A19" s="941" t="s">
        <v>161</v>
      </c>
      <c r="B19" s="942"/>
      <c r="C19" s="942"/>
      <c r="D19" s="942"/>
      <c r="E19" s="942">
        <f>SUM(E17:E18)</f>
        <v>281379</v>
      </c>
      <c r="F19" s="942">
        <f>SUM(F17:F18)</f>
        <v>65765</v>
      </c>
      <c r="G19" s="942"/>
      <c r="H19" s="942"/>
      <c r="I19" s="942">
        <f>SUM(I17:I18)</f>
        <v>1786179</v>
      </c>
      <c r="J19" s="942">
        <f>SUM(J17:J18)</f>
        <v>121970</v>
      </c>
      <c r="K19" s="943">
        <f>SUM(K17:K18)</f>
        <v>1908149</v>
      </c>
      <c r="L19" s="923"/>
      <c r="M19" s="467"/>
      <c r="N19" s="998" t="s">
        <v>169</v>
      </c>
      <c r="O19" s="1008">
        <v>358043</v>
      </c>
      <c r="P19" s="1006">
        <f>P17-P18</f>
        <v>378347.35</v>
      </c>
      <c r="R19" s="945">
        <f>SUM(R8:R16)</f>
        <v>99000</v>
      </c>
      <c r="S19" s="946">
        <f>SUM(S8:S16)</f>
        <v>48600.999999999985</v>
      </c>
      <c r="T19" s="946">
        <f>SUM(T8:T16)</f>
        <v>18500</v>
      </c>
      <c r="U19" s="946">
        <f>SUM(U8:U16)</f>
        <v>17164</v>
      </c>
      <c r="V19" s="947"/>
      <c r="W19" s="947">
        <f>W17</f>
        <v>1602915</v>
      </c>
      <c r="X19" s="946"/>
      <c r="Y19" s="1205"/>
      <c r="AA19" s="957"/>
      <c r="AB19" s="958"/>
      <c r="AC19" s="958"/>
      <c r="AD19" s="958"/>
      <c r="AE19" s="958">
        <f>AD17-AC17</f>
        <v>620770.453026145</v>
      </c>
      <c r="AF19" s="958"/>
      <c r="AG19" s="958"/>
      <c r="AH19" s="958"/>
      <c r="AI19" s="958"/>
      <c r="AJ19" s="958">
        <f>AI17-AH17</f>
        <v>709050.9499999998</v>
      </c>
      <c r="AK19" s="958"/>
      <c r="AL19" s="958"/>
      <c r="AM19" s="958">
        <f>AL17-AK17</f>
        <v>1029315.3300000001</v>
      </c>
      <c r="AN19" s="958"/>
      <c r="AO19" s="958"/>
      <c r="AP19" s="958"/>
      <c r="AQ19" s="958"/>
      <c r="AR19" s="958"/>
      <c r="AS19" s="958">
        <v>1185814</v>
      </c>
      <c r="AT19" s="958"/>
      <c r="AU19" s="958"/>
      <c r="AV19" s="1196">
        <f>AU17-AT17</f>
        <v>1261539.000000001</v>
      </c>
      <c r="AW19" s="958"/>
      <c r="AX19" s="1197"/>
      <c r="AY19" s="958">
        <f>AX17-AW17</f>
        <v>1346537.65</v>
      </c>
      <c r="AZ19" s="956">
        <f>SUM(AZ8:AZ16)/9</f>
        <v>1.0666835502462573</v>
      </c>
    </row>
    <row r="20" spans="1:25" ht="11.25">
      <c r="A20" s="1030" t="s">
        <v>377</v>
      </c>
      <c r="B20" s="1031"/>
      <c r="C20" s="1032"/>
      <c r="D20" s="1031"/>
      <c r="E20" s="1033"/>
      <c r="F20" s="1031"/>
      <c r="G20" s="1032"/>
      <c r="H20" s="400"/>
      <c r="I20" s="1034"/>
      <c r="J20" s="1035"/>
      <c r="K20" s="1031"/>
      <c r="L20" s="1031"/>
      <c r="M20" s="468"/>
      <c r="N20" s="476"/>
      <c r="O20" s="468"/>
      <c r="P20" s="476"/>
      <c r="Q20" s="476"/>
      <c r="W20" s="477"/>
      <c r="X20" s="477"/>
      <c r="Y20" s="477"/>
    </row>
    <row r="21" spans="1:26" ht="11.25">
      <c r="A21" s="1030" t="s">
        <v>496</v>
      </c>
      <c r="B21" s="400"/>
      <c r="C21" s="1036"/>
      <c r="D21" s="1034"/>
      <c r="E21" s="1037"/>
      <c r="F21" s="400"/>
      <c r="G21" s="400"/>
      <c r="H21" s="1035"/>
      <c r="I21" s="1035"/>
      <c r="J21" s="1031"/>
      <c r="K21" s="1035"/>
      <c r="L21" s="1035"/>
      <c r="M21" s="476"/>
      <c r="N21" s="468"/>
      <c r="O21" s="468"/>
      <c r="P21" s="1245">
        <f>P19/W19</f>
        <v>0.23603706372452687</v>
      </c>
      <c r="Q21" s="468"/>
      <c r="R21" s="476"/>
      <c r="S21" s="462"/>
      <c r="T21" s="462"/>
      <c r="U21" s="462"/>
      <c r="V21" s="462"/>
      <c r="W21" s="462"/>
      <c r="X21" s="462"/>
      <c r="Y21" s="462"/>
      <c r="Z21" s="462"/>
    </row>
    <row r="22" spans="7:17" ht="11.25">
      <c r="G22" s="480"/>
      <c r="H22" s="480"/>
      <c r="I22" s="480"/>
      <c r="J22" s="480"/>
      <c r="P22" s="1246">
        <f>P19/Y17</f>
        <v>0.14893319235721542</v>
      </c>
      <c r="Q22" s="477"/>
    </row>
    <row r="23" spans="1:26" ht="12" thickBot="1">
      <c r="A23" s="918"/>
      <c r="B23" s="918"/>
      <c r="C23" s="1041">
        <f>P22</f>
        <v>0.14893319235721542</v>
      </c>
      <c r="D23" s="918"/>
      <c r="E23" s="918"/>
      <c r="F23" s="918"/>
      <c r="G23" s="918"/>
      <c r="H23" s="919"/>
      <c r="I23" s="1213" t="s">
        <v>480</v>
      </c>
      <c r="J23" s="918"/>
      <c r="K23" s="918"/>
      <c r="L23" s="918"/>
      <c r="M23" s="480"/>
      <c r="N23" s="480"/>
      <c r="O23" s="480"/>
      <c r="T23" s="481"/>
      <c r="Z23" s="477"/>
    </row>
    <row r="24" spans="1:28" ht="11.25">
      <c r="A24" s="928" t="s">
        <v>10</v>
      </c>
      <c r="B24" s="962" t="s">
        <v>216</v>
      </c>
      <c r="C24" s="962" t="s">
        <v>49</v>
      </c>
      <c r="D24" s="962" t="s">
        <v>49</v>
      </c>
      <c r="E24" s="962" t="s">
        <v>50</v>
      </c>
      <c r="F24" s="962" t="s">
        <v>217</v>
      </c>
      <c r="G24" s="962" t="s">
        <v>148</v>
      </c>
      <c r="H24" s="962" t="s">
        <v>157</v>
      </c>
      <c r="I24" s="1038" t="s">
        <v>381</v>
      </c>
      <c r="J24" s="962" t="s">
        <v>157</v>
      </c>
      <c r="K24" s="986" t="s">
        <v>354</v>
      </c>
      <c r="L24" s="478"/>
      <c r="W24" s="481"/>
      <c r="X24" s="481"/>
      <c r="Y24" s="481"/>
      <c r="AB24" s="477"/>
    </row>
    <row r="25" spans="1:25" ht="11.25">
      <c r="A25" s="930"/>
      <c r="B25" s="931" t="s">
        <v>359</v>
      </c>
      <c r="C25" s="932" t="s">
        <v>45</v>
      </c>
      <c r="D25" s="932" t="s">
        <v>46</v>
      </c>
      <c r="E25" s="932"/>
      <c r="F25" s="933" t="s">
        <v>380</v>
      </c>
      <c r="G25" s="933" t="s">
        <v>355</v>
      </c>
      <c r="H25" s="933" t="s">
        <v>21</v>
      </c>
      <c r="I25" s="934">
        <v>2008</v>
      </c>
      <c r="J25" s="934" t="s">
        <v>478</v>
      </c>
      <c r="K25" s="935" t="s">
        <v>381</v>
      </c>
      <c r="L25" s="478"/>
      <c r="W25" s="481"/>
      <c r="X25" s="481"/>
      <c r="Y25" s="481"/>
    </row>
    <row r="26" spans="1:26" ht="12" thickBot="1">
      <c r="A26" s="968" t="s">
        <v>146</v>
      </c>
      <c r="B26" s="969"/>
      <c r="C26" s="1042">
        <v>0.2</v>
      </c>
      <c r="D26" s="1042">
        <v>0.4</v>
      </c>
      <c r="E26" s="1042">
        <v>0.4</v>
      </c>
      <c r="F26" s="936"/>
      <c r="G26" s="970" t="s">
        <v>356</v>
      </c>
      <c r="H26" s="936"/>
      <c r="I26" s="970" t="s">
        <v>21</v>
      </c>
      <c r="J26" s="971" t="s">
        <v>479</v>
      </c>
      <c r="K26" s="972" t="s">
        <v>476</v>
      </c>
      <c r="L26" s="478"/>
      <c r="T26" s="477"/>
      <c r="Z26" s="481"/>
    </row>
    <row r="27" spans="1:26" ht="11.25">
      <c r="A27" s="929" t="s">
        <v>11</v>
      </c>
      <c r="B27" s="465">
        <f>V8</f>
        <v>40107</v>
      </c>
      <c r="C27" s="465">
        <f>$C$23*$C$26*$G$36*B8/$B$17</f>
        <v>7213.05893836956</v>
      </c>
      <c r="D27" s="465">
        <f aca="true" t="shared" si="23" ref="D27:D35">$C$23*$D$26*$G$36*C8/$C$17</f>
        <v>33082.12499240029</v>
      </c>
      <c r="E27" s="465">
        <f aca="true" t="shared" si="24" ref="E27:E35">$C$23*$E$26*$G$36*D8/$D$17</f>
        <v>29995.79225665575</v>
      </c>
      <c r="F27" s="465">
        <f>SUM(C27:E27)</f>
        <v>70290.97618742561</v>
      </c>
      <c r="G27" s="465">
        <f>Y8</f>
        <v>555952</v>
      </c>
      <c r="H27" s="465">
        <f>B27+F27</f>
        <v>110397.97618742561</v>
      </c>
      <c r="I27" s="465">
        <f aca="true" t="shared" si="25" ref="I27:I35">K8-H27</f>
        <v>275231.0238125744</v>
      </c>
      <c r="J27" s="987">
        <f>H27/(H27+I27)*100</f>
        <v>28.628027505043864</v>
      </c>
      <c r="K27" s="466">
        <f>I27-AV8</f>
        <v>4453.051373921626</v>
      </c>
      <c r="L27" s="468"/>
      <c r="N27" s="1253"/>
      <c r="O27" s="468"/>
      <c r="P27" s="1244"/>
      <c r="Z27" s="481"/>
    </row>
    <row r="28" spans="1:26" ht="11.25">
      <c r="A28" s="938" t="s">
        <v>12</v>
      </c>
      <c r="B28" s="470">
        <f aca="true" t="shared" si="26" ref="B28:B35">V9</f>
        <v>25262</v>
      </c>
      <c r="C28" s="470">
        <f aca="true" t="shared" si="27" ref="C28:C35">$C$23*$C$26*$G$36*B9/$B$17</f>
        <v>17504.140682796</v>
      </c>
      <c r="D28" s="470">
        <f t="shared" si="23"/>
        <v>24264.98047642501</v>
      </c>
      <c r="E28" s="470">
        <f t="shared" si="24"/>
        <v>19499.988555711527</v>
      </c>
      <c r="F28" s="470">
        <f aca="true" t="shared" si="28" ref="F28:F35">SUM(C28:E28)</f>
        <v>61269.10971493254</v>
      </c>
      <c r="G28" s="470">
        <f aca="true" t="shared" si="29" ref="G28:G35">Y9</f>
        <v>350177</v>
      </c>
      <c r="H28" s="470">
        <f aca="true" t="shared" si="30" ref="H28:H35">B28+F28</f>
        <v>86531.10971493254</v>
      </c>
      <c r="I28" s="470">
        <f t="shared" si="25"/>
        <v>249188.89028506746</v>
      </c>
      <c r="J28" s="988">
        <f aca="true" t="shared" si="31" ref="J28:J36">H28/(H28+I28)*100</f>
        <v>25.774785450653088</v>
      </c>
      <c r="K28" s="471">
        <f aca="true" t="shared" si="32" ref="K28:K35">I28-AV9</f>
        <v>25773.742835239245</v>
      </c>
      <c r="L28" s="468"/>
      <c r="N28" s="1253"/>
      <c r="O28" s="468"/>
      <c r="P28" s="1244"/>
      <c r="Z28" s="481"/>
    </row>
    <row r="29" spans="1:26" ht="11.25">
      <c r="A29" s="938" t="s">
        <v>13</v>
      </c>
      <c r="B29" s="470">
        <f t="shared" si="26"/>
        <v>9609</v>
      </c>
      <c r="C29" s="470">
        <f t="shared" si="27"/>
        <v>7485.768376543555</v>
      </c>
      <c r="D29" s="470">
        <f t="shared" si="23"/>
        <v>9016.71446275083</v>
      </c>
      <c r="E29" s="470">
        <f t="shared" si="24"/>
        <v>11738.668095598028</v>
      </c>
      <c r="F29" s="470">
        <f t="shared" si="28"/>
        <v>28241.150934892416</v>
      </c>
      <c r="G29" s="470">
        <f t="shared" si="29"/>
        <v>133203</v>
      </c>
      <c r="H29" s="470">
        <f t="shared" si="30"/>
        <v>37850.150934892416</v>
      </c>
      <c r="I29" s="470">
        <f t="shared" si="25"/>
        <v>84137.84906510758</v>
      </c>
      <c r="J29" s="988">
        <f t="shared" si="31"/>
        <v>31.02776579244878</v>
      </c>
      <c r="K29" s="471">
        <f t="shared" si="32"/>
        <v>2114.525582608796</v>
      </c>
      <c r="L29" s="468"/>
      <c r="N29" s="1253"/>
      <c r="O29" s="468"/>
      <c r="P29" s="1244"/>
      <c r="Z29" s="481"/>
    </row>
    <row r="30" spans="1:26" ht="11.25">
      <c r="A30" s="938" t="s">
        <v>14</v>
      </c>
      <c r="B30" s="470">
        <f t="shared" si="26"/>
        <v>13434</v>
      </c>
      <c r="C30" s="470">
        <f t="shared" si="27"/>
        <v>8196.08133178745</v>
      </c>
      <c r="D30" s="470">
        <f t="shared" si="23"/>
        <v>9573.747045116326</v>
      </c>
      <c r="E30" s="470">
        <f t="shared" si="24"/>
        <v>11824.91507696553</v>
      </c>
      <c r="F30" s="470">
        <f t="shared" si="28"/>
        <v>29594.743453869305</v>
      </c>
      <c r="G30" s="470">
        <f t="shared" si="29"/>
        <v>186222</v>
      </c>
      <c r="H30" s="470">
        <f t="shared" si="30"/>
        <v>43028.743453869305</v>
      </c>
      <c r="I30" s="470">
        <f t="shared" si="25"/>
        <v>102743.2565461307</v>
      </c>
      <c r="J30" s="988">
        <f t="shared" si="31"/>
        <v>29.517838442135186</v>
      </c>
      <c r="K30" s="471">
        <f t="shared" si="32"/>
        <v>7485.3002420626</v>
      </c>
      <c r="L30" s="468"/>
      <c r="N30" s="1253"/>
      <c r="O30" s="468"/>
      <c r="P30" s="1244"/>
      <c r="Z30" s="481"/>
    </row>
    <row r="31" spans="1:26" ht="11.25">
      <c r="A31" s="938" t="s">
        <v>15</v>
      </c>
      <c r="B31" s="470">
        <f t="shared" si="26"/>
        <v>46973</v>
      </c>
      <c r="C31" s="470">
        <f t="shared" si="27"/>
        <v>6576.73691596357</v>
      </c>
      <c r="D31" s="470">
        <f t="shared" si="23"/>
        <v>29586.044238043036</v>
      </c>
      <c r="E31" s="470">
        <f t="shared" si="24"/>
        <v>39940.52313980972</v>
      </c>
      <c r="F31" s="470">
        <f t="shared" si="28"/>
        <v>76103.30429381633</v>
      </c>
      <c r="G31" s="470">
        <f t="shared" si="29"/>
        <v>651124</v>
      </c>
      <c r="H31" s="470">
        <f t="shared" si="30"/>
        <v>123076.30429381633</v>
      </c>
      <c r="I31" s="470">
        <f t="shared" si="25"/>
        <v>200441.69570618367</v>
      </c>
      <c r="J31" s="988">
        <f t="shared" si="31"/>
        <v>38.04310866592163</v>
      </c>
      <c r="K31" s="471">
        <f t="shared" si="32"/>
        <v>1465.6058000939665</v>
      </c>
      <c r="L31" s="468"/>
      <c r="N31" s="1253"/>
      <c r="O31" s="468"/>
      <c r="P31" s="1244"/>
      <c r="Z31" s="481"/>
    </row>
    <row r="32" spans="1:16" ht="11.25">
      <c r="A32" s="938" t="s">
        <v>16</v>
      </c>
      <c r="B32" s="470">
        <f t="shared" si="26"/>
        <v>13386</v>
      </c>
      <c r="C32" s="470">
        <f t="shared" si="27"/>
        <v>4636.060448957926</v>
      </c>
      <c r="D32" s="470">
        <f t="shared" si="23"/>
        <v>6990.558537254466</v>
      </c>
      <c r="E32" s="470">
        <f t="shared" si="24"/>
        <v>8005.535596827797</v>
      </c>
      <c r="F32" s="470">
        <f t="shared" si="28"/>
        <v>19632.15458304019</v>
      </c>
      <c r="G32" s="470">
        <f t="shared" si="29"/>
        <v>185560</v>
      </c>
      <c r="H32" s="470">
        <f t="shared" si="30"/>
        <v>33018.15458304019</v>
      </c>
      <c r="I32" s="470">
        <f t="shared" si="25"/>
        <v>93001.84541695981</v>
      </c>
      <c r="J32" s="988">
        <f t="shared" si="31"/>
        <v>26.200725744358188</v>
      </c>
      <c r="K32" s="471">
        <f t="shared" si="32"/>
        <v>10652.430991238522</v>
      </c>
      <c r="L32" s="468"/>
      <c r="N32" s="1253"/>
      <c r="O32" s="468"/>
      <c r="P32" s="1244"/>
    </row>
    <row r="33" spans="1:16" ht="11.25">
      <c r="A33" s="938" t="s">
        <v>17</v>
      </c>
      <c r="B33" s="470">
        <f t="shared" si="26"/>
        <v>18063</v>
      </c>
      <c r="C33" s="470">
        <f t="shared" si="27"/>
        <v>13037.202366039</v>
      </c>
      <c r="D33" s="470">
        <f t="shared" si="23"/>
        <v>21440.54476382644</v>
      </c>
      <c r="E33" s="470">
        <f t="shared" si="24"/>
        <v>15460.9062388271</v>
      </c>
      <c r="F33" s="470">
        <f t="shared" si="28"/>
        <v>49938.65336869254</v>
      </c>
      <c r="G33" s="470">
        <f t="shared" si="29"/>
        <v>250388</v>
      </c>
      <c r="H33" s="470">
        <f t="shared" si="30"/>
        <v>68001.65336869254</v>
      </c>
      <c r="I33" s="470">
        <f t="shared" si="25"/>
        <v>199754.34663130745</v>
      </c>
      <c r="J33" s="988">
        <f t="shared" si="31"/>
        <v>25.396873783852662</v>
      </c>
      <c r="K33" s="471">
        <f t="shared" si="32"/>
        <v>21698.231838274165</v>
      </c>
      <c r="L33" s="468"/>
      <c r="N33" s="1253"/>
      <c r="O33" s="468"/>
      <c r="P33" s="1244"/>
    </row>
    <row r="34" spans="1:16" ht="11.25">
      <c r="A34" s="938" t="s">
        <v>18</v>
      </c>
      <c r="B34" s="470">
        <f t="shared" si="26"/>
        <v>5755</v>
      </c>
      <c r="C34" s="470">
        <f t="shared" si="27"/>
        <v>2426.90259708331</v>
      </c>
      <c r="D34" s="470">
        <f t="shared" si="23"/>
        <v>6947.278307833262</v>
      </c>
      <c r="E34" s="470">
        <f t="shared" si="24"/>
        <v>4755.386193715582</v>
      </c>
      <c r="F34" s="470">
        <f t="shared" si="28"/>
        <v>14129.567098632153</v>
      </c>
      <c r="G34" s="470">
        <f t="shared" si="29"/>
        <v>79776</v>
      </c>
      <c r="H34" s="470">
        <f t="shared" si="30"/>
        <v>19884.567098632153</v>
      </c>
      <c r="I34" s="470">
        <f t="shared" si="25"/>
        <v>38897.43290136785</v>
      </c>
      <c r="J34" s="988">
        <f t="shared" si="31"/>
        <v>33.82764638602319</v>
      </c>
      <c r="K34" s="471">
        <f t="shared" si="32"/>
        <v>-1487.2909662080929</v>
      </c>
      <c r="L34" s="468"/>
      <c r="N34" s="1253"/>
      <c r="O34" s="468"/>
      <c r="P34" s="1244"/>
    </row>
    <row r="35" spans="1:16" ht="11.25">
      <c r="A35" s="983" t="s">
        <v>19</v>
      </c>
      <c r="B35" s="984">
        <f t="shared" si="26"/>
        <v>10675</v>
      </c>
      <c r="C35" s="984">
        <f t="shared" si="27"/>
        <v>8593.51834245963</v>
      </c>
      <c r="D35" s="984">
        <f t="shared" si="23"/>
        <v>10436.947176350339</v>
      </c>
      <c r="E35" s="984">
        <f t="shared" si="24"/>
        <v>10117.224845888974</v>
      </c>
      <c r="F35" s="984">
        <f t="shared" si="28"/>
        <v>29147.690364698945</v>
      </c>
      <c r="G35" s="984">
        <f t="shared" si="29"/>
        <v>147981</v>
      </c>
      <c r="H35" s="984">
        <f t="shared" si="30"/>
        <v>39822.690364698945</v>
      </c>
      <c r="I35" s="984">
        <f t="shared" si="25"/>
        <v>103141.30963530106</v>
      </c>
      <c r="J35" s="989">
        <f t="shared" si="31"/>
        <v>27.8550476796249</v>
      </c>
      <c r="K35" s="985">
        <f t="shared" si="32"/>
        <v>12843.052302768177</v>
      </c>
      <c r="L35" s="468"/>
      <c r="N35" s="1253"/>
      <c r="O35" s="468"/>
      <c r="P35" s="1244"/>
    </row>
    <row r="36" spans="1:16" ht="12" thickBot="1">
      <c r="A36" s="977" t="s">
        <v>158</v>
      </c>
      <c r="B36" s="981">
        <f>SUM(B27:B35)</f>
        <v>183264</v>
      </c>
      <c r="C36" s="981">
        <f aca="true" t="shared" si="33" ref="C36:K36">SUM(C27:C35)</f>
        <v>75669.47</v>
      </c>
      <c r="D36" s="981">
        <f t="shared" si="33"/>
        <v>151338.94</v>
      </c>
      <c r="E36" s="981">
        <f t="shared" si="33"/>
        <v>151338.94</v>
      </c>
      <c r="F36" s="981">
        <f t="shared" si="33"/>
        <v>378347.35000000003</v>
      </c>
      <c r="G36" s="981">
        <f t="shared" si="33"/>
        <v>2540383</v>
      </c>
      <c r="H36" s="981">
        <f t="shared" si="33"/>
        <v>561611.3500000001</v>
      </c>
      <c r="I36" s="981">
        <f t="shared" si="33"/>
        <v>1346537.65</v>
      </c>
      <c r="J36" s="990">
        <f t="shared" si="31"/>
        <v>29.432258696778923</v>
      </c>
      <c r="K36" s="982">
        <f t="shared" si="33"/>
        <v>84998.649999999</v>
      </c>
      <c r="L36" s="1182"/>
      <c r="N36" s="1254"/>
      <c r="O36" s="468"/>
      <c r="P36" s="1243"/>
    </row>
    <row r="37" spans="1:14" ht="11.25">
      <c r="A37" s="938" t="s">
        <v>357</v>
      </c>
      <c r="B37" s="487"/>
      <c r="C37" s="470"/>
      <c r="D37" s="470"/>
      <c r="E37" s="470"/>
      <c r="F37" s="470"/>
      <c r="G37" s="470"/>
      <c r="H37" s="470"/>
      <c r="I37" s="939">
        <f>P17</f>
        <v>561611.35</v>
      </c>
      <c r="J37" s="488"/>
      <c r="K37" s="471"/>
      <c r="L37" s="468"/>
      <c r="N37" s="477"/>
    </row>
    <row r="38" spans="1:14" ht="12" thickBot="1">
      <c r="A38" s="973" t="s">
        <v>358</v>
      </c>
      <c r="B38" s="974"/>
      <c r="C38" s="473"/>
      <c r="D38" s="473"/>
      <c r="E38" s="473"/>
      <c r="F38" s="1179"/>
      <c r="G38" s="1179"/>
      <c r="H38" s="1179"/>
      <c r="I38" s="1215">
        <f>SUM(I36:I37)</f>
        <v>1908149</v>
      </c>
      <c r="J38" s="975"/>
      <c r="K38" s="976"/>
      <c r="L38" s="468"/>
      <c r="N38" s="477"/>
    </row>
    <row r="39" spans="4:9" ht="11.25">
      <c r="D39" s="482"/>
      <c r="F39" s="1180"/>
      <c r="G39" s="1180"/>
      <c r="H39" s="1180"/>
      <c r="I39" s="1181"/>
    </row>
    <row r="40" ht="11.25">
      <c r="D40" s="482"/>
    </row>
    <row r="41" ht="11.25">
      <c r="D41" s="482"/>
    </row>
    <row r="42" ht="11.25">
      <c r="D42" s="482"/>
    </row>
    <row r="43" ht="11.25">
      <c r="D43" s="482"/>
    </row>
    <row r="44" spans="4:27" ht="15.75">
      <c r="D44" s="482"/>
      <c r="T44" s="454"/>
      <c r="U44" s="454"/>
      <c r="V44" s="454"/>
      <c r="W44" s="454"/>
      <c r="X44" s="454"/>
      <c r="Y44" s="454"/>
      <c r="Z44" s="454"/>
      <c r="AA44" s="454"/>
    </row>
    <row r="45" ht="11.25">
      <c r="D45" s="482"/>
    </row>
    <row r="46" spans="1:29" ht="15.75">
      <c r="A46" s="483"/>
      <c r="B46" s="454"/>
      <c r="C46" s="454"/>
      <c r="D46" s="455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AB46" s="454"/>
      <c r="AC46" s="454"/>
    </row>
    <row r="47" ht="11.25">
      <c r="D47" s="482"/>
    </row>
    <row r="48" ht="11.25">
      <c r="D48" s="482"/>
    </row>
    <row r="49" ht="11.25">
      <c r="D49" s="482"/>
    </row>
    <row r="50" ht="11.25">
      <c r="D50" s="482"/>
    </row>
    <row r="51" ht="11.25">
      <c r="D51" s="482"/>
    </row>
    <row r="52" ht="11.25">
      <c r="D52" s="482"/>
    </row>
    <row r="53" ht="11.25">
      <c r="D53" s="482"/>
    </row>
    <row r="54" ht="11.25">
      <c r="D54" s="482"/>
    </row>
    <row r="55" ht="11.25">
      <c r="D55" s="482"/>
    </row>
    <row r="56" ht="11.25">
      <c r="D56" s="482"/>
    </row>
    <row r="57" ht="11.25">
      <c r="D57" s="482"/>
    </row>
    <row r="58" ht="11.25">
      <c r="D58" s="482"/>
    </row>
    <row r="59" ht="11.25">
      <c r="D59" s="482"/>
    </row>
    <row r="60" ht="11.25">
      <c r="D60" s="482"/>
    </row>
    <row r="61" ht="11.25">
      <c r="D61" s="482"/>
    </row>
    <row r="62" ht="11.25">
      <c r="D62" s="482"/>
    </row>
    <row r="63" ht="11.25">
      <c r="D63" s="482"/>
    </row>
    <row r="64" ht="11.25">
      <c r="D64" s="482"/>
    </row>
    <row r="65" ht="11.25">
      <c r="D65" s="482"/>
    </row>
    <row r="66" ht="11.25">
      <c r="D66" s="482"/>
    </row>
    <row r="67" spans="1:4" ht="12.75">
      <c r="A67" s="484"/>
      <c r="B67" s="478"/>
      <c r="C67" s="478"/>
      <c r="D67" s="482"/>
    </row>
    <row r="68" spans="1:10" ht="11.25">
      <c r="A68" s="476"/>
      <c r="B68" s="485"/>
      <c r="C68" s="485"/>
      <c r="D68" s="482"/>
      <c r="J68" s="482"/>
    </row>
    <row r="69" spans="1:4" ht="11.25">
      <c r="A69" s="476"/>
      <c r="B69" s="485"/>
      <c r="D69" s="482"/>
    </row>
    <row r="70" spans="1:4" ht="11.25">
      <c r="A70" s="478"/>
      <c r="B70" s="485"/>
      <c r="D70" s="482"/>
    </row>
    <row r="71" spans="1:9" ht="11.25">
      <c r="A71" s="486"/>
      <c r="B71" s="479"/>
      <c r="C71" s="479"/>
      <c r="D71" s="482"/>
      <c r="G71" s="477"/>
      <c r="H71" s="479"/>
      <c r="I71" s="479"/>
    </row>
    <row r="72" spans="1:9" ht="11.25">
      <c r="A72" s="486"/>
      <c r="B72" s="479"/>
      <c r="C72" s="479"/>
      <c r="D72" s="482"/>
      <c r="G72" s="477"/>
      <c r="H72" s="479"/>
      <c r="I72" s="479"/>
    </row>
    <row r="73" spans="1:9" ht="11.25">
      <c r="A73" s="486"/>
      <c r="B73" s="479"/>
      <c r="C73" s="479"/>
      <c r="D73" s="482"/>
      <c r="G73" s="477"/>
      <c r="H73" s="479"/>
      <c r="I73" s="479"/>
    </row>
    <row r="74" spans="1:9" ht="11.25">
      <c r="A74" s="486"/>
      <c r="B74" s="479"/>
      <c r="C74" s="479"/>
      <c r="D74" s="482"/>
      <c r="G74" s="477"/>
      <c r="H74" s="479"/>
      <c r="I74" s="479"/>
    </row>
    <row r="75" spans="1:9" ht="11.25">
      <c r="A75" s="486"/>
      <c r="B75" s="479"/>
      <c r="C75" s="479"/>
      <c r="D75" s="482"/>
      <c r="G75" s="477"/>
      <c r="H75" s="479"/>
      <c r="I75" s="479"/>
    </row>
    <row r="76" spans="1:9" ht="11.25">
      <c r="A76" s="486"/>
      <c r="B76" s="479"/>
      <c r="C76" s="479"/>
      <c r="D76" s="482"/>
      <c r="G76" s="477"/>
      <c r="H76" s="479"/>
      <c r="I76" s="479"/>
    </row>
    <row r="77" spans="1:9" ht="11.25">
      <c r="A77" s="486"/>
      <c r="B77" s="479"/>
      <c r="C77" s="479"/>
      <c r="D77" s="482"/>
      <c r="G77" s="477"/>
      <c r="H77" s="479"/>
      <c r="I77" s="479"/>
    </row>
    <row r="78" spans="1:9" ht="11.25">
      <c r="A78" s="486"/>
      <c r="B78" s="479"/>
      <c r="C78" s="479"/>
      <c r="D78" s="482"/>
      <c r="E78" s="476"/>
      <c r="F78" s="476"/>
      <c r="G78" s="477"/>
      <c r="H78" s="479"/>
      <c r="I78" s="479"/>
    </row>
    <row r="79" spans="1:9" ht="11.25">
      <c r="A79" s="486"/>
      <c r="B79" s="479"/>
      <c r="C79" s="479"/>
      <c r="D79" s="482"/>
      <c r="G79" s="477"/>
      <c r="H79" s="479"/>
      <c r="I79" s="479"/>
    </row>
    <row r="80" spans="1:9" ht="11.25">
      <c r="A80" s="486"/>
      <c r="B80" s="479"/>
      <c r="C80" s="479"/>
      <c r="D80" s="482"/>
      <c r="G80" s="477"/>
      <c r="H80" s="479"/>
      <c r="I80" s="479"/>
    </row>
    <row r="81" spans="2:4" ht="11.25">
      <c r="B81" s="479"/>
      <c r="C81" s="479"/>
      <c r="D81" s="482"/>
    </row>
    <row r="82" ht="11.25">
      <c r="D82" s="482"/>
    </row>
    <row r="83" ht="11.25">
      <c r="D83" s="482"/>
    </row>
    <row r="84" ht="11.25">
      <c r="D84" s="482"/>
    </row>
    <row r="85" ht="11.25">
      <c r="D85" s="482"/>
    </row>
    <row r="86" ht="11.25">
      <c r="D86" s="482"/>
    </row>
    <row r="87" ht="11.25">
      <c r="D87" s="482"/>
    </row>
    <row r="88" ht="11.25">
      <c r="D88" s="482"/>
    </row>
    <row r="89" ht="11.25">
      <c r="D89" s="482"/>
    </row>
    <row r="90" ht="11.25">
      <c r="D90" s="482"/>
    </row>
    <row r="91" ht="11.25">
      <c r="D91" s="482"/>
    </row>
    <row r="92" ht="11.25">
      <c r="D92" s="482"/>
    </row>
    <row r="93" ht="11.25">
      <c r="D93" s="482"/>
    </row>
    <row r="94" ht="11.25">
      <c r="D94" s="482"/>
    </row>
    <row r="95" ht="11.25">
      <c r="D95" s="482"/>
    </row>
    <row r="96" ht="11.25">
      <c r="D96" s="482"/>
    </row>
    <row r="97" ht="11.25">
      <c r="D97" s="482"/>
    </row>
    <row r="98" ht="11.25">
      <c r="D98" s="482"/>
    </row>
    <row r="99" ht="11.25">
      <c r="D99" s="482"/>
    </row>
    <row r="100" ht="11.25">
      <c r="D100" s="482"/>
    </row>
    <row r="101" ht="11.25">
      <c r="D101" s="482"/>
    </row>
    <row r="102" ht="11.25">
      <c r="D102" s="482"/>
    </row>
    <row r="103" ht="11.25">
      <c r="D103" s="482"/>
    </row>
    <row r="104" ht="11.25">
      <c r="D104" s="482"/>
    </row>
    <row r="105" ht="11.25">
      <c r="D105" s="482"/>
    </row>
    <row r="106" ht="11.25">
      <c r="D106" s="482"/>
    </row>
    <row r="107" ht="11.25">
      <c r="D107" s="482"/>
    </row>
    <row r="108" ht="11.25">
      <c r="D108" s="482"/>
    </row>
    <row r="109" ht="11.25">
      <c r="D109" s="482"/>
    </row>
    <row r="110" ht="11.25">
      <c r="D110" s="482"/>
    </row>
    <row r="111" ht="11.25">
      <c r="D111" s="482"/>
    </row>
    <row r="112" ht="11.25">
      <c r="D112" s="482"/>
    </row>
    <row r="113" ht="11.25">
      <c r="D113" s="482"/>
    </row>
    <row r="114" ht="11.25">
      <c r="D114" s="482"/>
    </row>
    <row r="115" ht="11.25">
      <c r="D115" s="482"/>
    </row>
    <row r="116" ht="11.25">
      <c r="D116" s="482"/>
    </row>
    <row r="117" ht="11.25">
      <c r="D117" s="482"/>
    </row>
    <row r="118" ht="11.25">
      <c r="D118" s="482"/>
    </row>
    <row r="119" ht="11.25">
      <c r="D119" s="482"/>
    </row>
    <row r="120" ht="11.25">
      <c r="D120" s="482"/>
    </row>
    <row r="121" ht="11.25">
      <c r="D121" s="482"/>
    </row>
    <row r="122" ht="11.25">
      <c r="D122" s="482"/>
    </row>
    <row r="123" ht="11.25">
      <c r="D123" s="482"/>
    </row>
    <row r="124" ht="11.25">
      <c r="D124" s="482"/>
    </row>
    <row r="125" ht="11.25">
      <c r="D125" s="482"/>
    </row>
    <row r="126" ht="11.25">
      <c r="D126" s="482"/>
    </row>
    <row r="127" ht="11.25">
      <c r="D127" s="482"/>
    </row>
    <row r="128" ht="11.25">
      <c r="D128" s="482"/>
    </row>
    <row r="129" ht="11.25">
      <c r="D129" s="482"/>
    </row>
    <row r="130" ht="11.25">
      <c r="D130" s="482"/>
    </row>
    <row r="131" ht="11.25">
      <c r="D131" s="482"/>
    </row>
    <row r="132" ht="11.25">
      <c r="D132" s="482"/>
    </row>
    <row r="133" ht="11.25">
      <c r="D133" s="482"/>
    </row>
    <row r="134" ht="11.25">
      <c r="D134" s="482"/>
    </row>
    <row r="135" ht="11.25">
      <c r="D135" s="482"/>
    </row>
    <row r="136" ht="11.25">
      <c r="D136" s="482"/>
    </row>
    <row r="137" ht="11.25">
      <c r="D137" s="482"/>
    </row>
    <row r="138" ht="11.25">
      <c r="D138" s="482"/>
    </row>
    <row r="139" ht="11.25">
      <c r="D139" s="482"/>
    </row>
    <row r="140" ht="11.25">
      <c r="D140" s="482"/>
    </row>
    <row r="141" ht="11.25">
      <c r="D141" s="482"/>
    </row>
    <row r="142" ht="11.25">
      <c r="D142" s="482"/>
    </row>
    <row r="143" ht="11.25">
      <c r="D143" s="482"/>
    </row>
    <row r="144" ht="11.25">
      <c r="D144" s="482"/>
    </row>
    <row r="145" ht="11.25">
      <c r="D145" s="482"/>
    </row>
    <row r="146" ht="11.25">
      <c r="D146" s="482"/>
    </row>
    <row r="147" ht="11.25">
      <c r="D147" s="482"/>
    </row>
    <row r="148" ht="11.25">
      <c r="D148" s="482"/>
    </row>
    <row r="149" ht="11.25">
      <c r="D149" s="482"/>
    </row>
    <row r="150" ht="11.25">
      <c r="D150" s="482"/>
    </row>
    <row r="151" ht="11.25">
      <c r="D151" s="482"/>
    </row>
    <row r="152" ht="11.25">
      <c r="D152" s="482"/>
    </row>
    <row r="153" ht="11.25">
      <c r="D153" s="482"/>
    </row>
    <row r="154" ht="11.25">
      <c r="D154" s="482"/>
    </row>
    <row r="155" ht="11.25">
      <c r="D155" s="482"/>
    </row>
    <row r="156" ht="11.25">
      <c r="D156" s="482"/>
    </row>
    <row r="157" ht="11.25">
      <c r="D157" s="482"/>
    </row>
    <row r="158" ht="11.25">
      <c r="D158" s="482"/>
    </row>
    <row r="159" ht="11.25">
      <c r="D159" s="482"/>
    </row>
    <row r="160" ht="11.25">
      <c r="D160" s="482"/>
    </row>
    <row r="161" ht="11.25">
      <c r="D161" s="482"/>
    </row>
    <row r="162" ht="11.25">
      <c r="D162" s="482"/>
    </row>
    <row r="163" ht="11.25">
      <c r="D163" s="482"/>
    </row>
    <row r="164" ht="11.25">
      <c r="D164" s="482"/>
    </row>
    <row r="165" ht="11.25">
      <c r="D165" s="482"/>
    </row>
    <row r="166" ht="11.25">
      <c r="D166" s="482"/>
    </row>
    <row r="167" ht="11.25">
      <c r="D167" s="482"/>
    </row>
    <row r="168" ht="11.25">
      <c r="D168" s="482"/>
    </row>
    <row r="169" ht="11.25">
      <c r="D169" s="482"/>
    </row>
    <row r="170" ht="11.25">
      <c r="D170" s="482"/>
    </row>
    <row r="171" ht="11.25">
      <c r="D171" s="482"/>
    </row>
    <row r="172" ht="11.25">
      <c r="D172" s="482"/>
    </row>
    <row r="173" ht="11.25">
      <c r="D173" s="482"/>
    </row>
    <row r="174" ht="11.25">
      <c r="D174" s="482"/>
    </row>
    <row r="175" ht="11.25">
      <c r="D175" s="482"/>
    </row>
    <row r="176" ht="11.25">
      <c r="D176" s="482"/>
    </row>
    <row r="177" ht="11.25">
      <c r="D177" s="482"/>
    </row>
    <row r="178" ht="11.25">
      <c r="D178" s="482"/>
    </row>
  </sheetData>
  <mergeCells count="1">
    <mergeCell ref="AZ5:AZ6"/>
  </mergeCells>
  <printOptions horizontalCentered="1" verticalCentered="1"/>
  <pageMargins left="0.27" right="0.15748031496062992" top="0.5905511811023623" bottom="0.6692913385826772" header="0.3937007874015748" footer="0.35433070866141736"/>
  <pageSetup horizontalDpi="1200" verticalDpi="1200" orientation="landscape" paperSize="9" scale="77" r:id="rId1"/>
  <headerFooter alignWithMargins="0">
    <oddHeader>&amp;R
</oddHeader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41">
      <selection activeCell="A84" sqref="A84"/>
    </sheetView>
  </sheetViews>
  <sheetFormatPr defaultColWidth="9.00390625" defaultRowHeight="12.75"/>
  <cols>
    <col min="1" max="1" width="4.625" style="2" customWidth="1"/>
    <col min="2" max="2" width="5.00390625" style="2" customWidth="1"/>
    <col min="3" max="3" width="15.25390625" style="2" customWidth="1"/>
    <col min="4" max="4" width="11.25390625" style="2" customWidth="1"/>
    <col min="5" max="6" width="10.75390625" style="2" customWidth="1"/>
    <col min="7" max="7" width="10.00390625" style="2" customWidth="1"/>
    <col min="8" max="8" width="9.875" style="2" customWidth="1"/>
    <col min="9" max="9" width="9.25390625" style="2" customWidth="1"/>
    <col min="10" max="10" width="10.375" style="2" customWidth="1"/>
    <col min="11" max="11" width="9.625" style="2" customWidth="1"/>
    <col min="12" max="12" width="9.875" style="2" customWidth="1"/>
    <col min="13" max="13" width="4.75390625" style="1256" customWidth="1"/>
    <col min="14" max="16384" width="9.125" style="2" customWidth="1"/>
  </cols>
  <sheetData>
    <row r="1" spans="1:2" ht="12.75">
      <c r="A1" s="20" t="s">
        <v>470</v>
      </c>
      <c r="B1" s="20"/>
    </row>
    <row r="2" spans="1:3" ht="12.75">
      <c r="A2" s="20"/>
      <c r="B2" s="20"/>
      <c r="C2" s="401"/>
    </row>
    <row r="3" spans="1:2" ht="13.5" thickBot="1">
      <c r="A3" s="20" t="s">
        <v>488</v>
      </c>
      <c r="B3" s="20"/>
    </row>
    <row r="4" spans="1:9" ht="12.75">
      <c r="A4" s="402"/>
      <c r="B4" s="403"/>
      <c r="C4" s="3"/>
      <c r="D4" s="1301" t="s">
        <v>385</v>
      </c>
      <c r="E4" s="1302"/>
      <c r="F4" s="1302"/>
      <c r="G4" s="1305" t="s">
        <v>246</v>
      </c>
      <c r="H4" s="1306"/>
      <c r="I4" s="1307"/>
    </row>
    <row r="5" spans="1:9" ht="12.75">
      <c r="A5" s="404"/>
      <c r="B5" s="405"/>
      <c r="C5" s="7"/>
      <c r="D5" s="72"/>
      <c r="E5" s="1303" t="s">
        <v>64</v>
      </c>
      <c r="F5" s="1304"/>
      <c r="G5" s="75"/>
      <c r="H5" s="1308" t="s">
        <v>64</v>
      </c>
      <c r="I5" s="1309"/>
    </row>
    <row r="6" spans="1:9" ht="12.75">
      <c r="A6" s="404"/>
      <c r="B6" s="405" t="s">
        <v>70</v>
      </c>
      <c r="C6" s="7"/>
      <c r="D6" s="73" t="s">
        <v>362</v>
      </c>
      <c r="E6" s="118" t="s">
        <v>141</v>
      </c>
      <c r="F6" s="406" t="s">
        <v>106</v>
      </c>
      <c r="G6" s="76" t="s">
        <v>362</v>
      </c>
      <c r="H6" s="118" t="s">
        <v>141</v>
      </c>
      <c r="I6" s="407" t="s">
        <v>106</v>
      </c>
    </row>
    <row r="7" spans="1:9" ht="13.5" thickBot="1">
      <c r="A7" s="408" t="s">
        <v>67</v>
      </c>
      <c r="B7" s="409" t="s">
        <v>71</v>
      </c>
      <c r="C7" s="4"/>
      <c r="D7" s="74" t="s">
        <v>21</v>
      </c>
      <c r="E7" s="410" t="s">
        <v>48</v>
      </c>
      <c r="F7" s="411" t="s">
        <v>21</v>
      </c>
      <c r="G7" s="77" t="s">
        <v>21</v>
      </c>
      <c r="H7" s="410" t="s">
        <v>48</v>
      </c>
      <c r="I7" s="412" t="s">
        <v>21</v>
      </c>
    </row>
    <row r="8" spans="1:12" ht="12.75">
      <c r="A8" s="413">
        <v>16</v>
      </c>
      <c r="B8" s="414">
        <v>11</v>
      </c>
      <c r="C8" s="7" t="s">
        <v>11</v>
      </c>
      <c r="D8" s="1283">
        <v>275231</v>
      </c>
      <c r="E8" s="6">
        <f>'str1-3'!D70</f>
        <v>28673</v>
      </c>
      <c r="F8" s="96">
        <f>D8-E8</f>
        <v>246558</v>
      </c>
      <c r="G8" s="66">
        <f>SUM(H8:I8)</f>
        <v>270778</v>
      </c>
      <c r="H8" s="6">
        <v>27207</v>
      </c>
      <c r="I8" s="63">
        <v>243571</v>
      </c>
      <c r="J8" s="452"/>
      <c r="K8" s="453"/>
      <c r="L8" s="489"/>
    </row>
    <row r="9" spans="1:12" ht="12.75">
      <c r="A9" s="416">
        <v>17</v>
      </c>
      <c r="B9" s="417">
        <v>21</v>
      </c>
      <c r="C9" s="100" t="s">
        <v>12</v>
      </c>
      <c r="D9" s="1284">
        <v>249189</v>
      </c>
      <c r="E9" s="143">
        <f>'str1-3'!D71</f>
        <v>13730</v>
      </c>
      <c r="F9" s="144">
        <f aca="true" t="shared" si="0" ref="F9:F16">D9-E9</f>
        <v>235459</v>
      </c>
      <c r="G9" s="145">
        <f aca="true" t="shared" si="1" ref="G9:G16">SUM(H9:I9)</f>
        <v>223415</v>
      </c>
      <c r="H9" s="143">
        <v>13192</v>
      </c>
      <c r="I9" s="146">
        <v>210223</v>
      </c>
      <c r="J9" s="452"/>
      <c r="K9" s="453"/>
      <c r="L9" s="489"/>
    </row>
    <row r="10" spans="1:12" ht="12.75">
      <c r="A10" s="416">
        <v>18</v>
      </c>
      <c r="B10" s="417">
        <v>22</v>
      </c>
      <c r="C10" s="100" t="s">
        <v>13</v>
      </c>
      <c r="D10" s="1284">
        <v>84138</v>
      </c>
      <c r="E10" s="143">
        <f>'str1-3'!D72</f>
        <v>2269</v>
      </c>
      <c r="F10" s="144">
        <f t="shared" si="0"/>
        <v>81869</v>
      </c>
      <c r="G10" s="145">
        <f t="shared" si="1"/>
        <v>82023</v>
      </c>
      <c r="H10" s="143">
        <v>2089</v>
      </c>
      <c r="I10" s="146">
        <v>79934</v>
      </c>
      <c r="J10" s="452"/>
      <c r="K10" s="453"/>
      <c r="L10" s="489"/>
    </row>
    <row r="11" spans="1:12" ht="12.75">
      <c r="A11" s="416">
        <v>19</v>
      </c>
      <c r="B11" s="417">
        <v>23</v>
      </c>
      <c r="C11" s="100" t="s">
        <v>14</v>
      </c>
      <c r="D11" s="1284">
        <v>102744</v>
      </c>
      <c r="E11" s="143">
        <f>'str1-3'!D73</f>
        <v>9326</v>
      </c>
      <c r="F11" s="144">
        <f t="shared" si="0"/>
        <v>93418</v>
      </c>
      <c r="G11" s="145">
        <f t="shared" si="1"/>
        <v>95258</v>
      </c>
      <c r="H11" s="143">
        <v>9669</v>
      </c>
      <c r="I11" s="146">
        <v>85589</v>
      </c>
      <c r="J11" s="452"/>
      <c r="K11" s="489"/>
      <c r="L11" s="489"/>
    </row>
    <row r="12" spans="1:12" ht="12.75">
      <c r="A12" s="416">
        <v>20</v>
      </c>
      <c r="B12" s="417">
        <v>31</v>
      </c>
      <c r="C12" s="100" t="s">
        <v>15</v>
      </c>
      <c r="D12" s="1284">
        <v>200441</v>
      </c>
      <c r="E12" s="143">
        <f>'str1-3'!D74</f>
        <v>50477</v>
      </c>
      <c r="F12" s="144">
        <f t="shared" si="0"/>
        <v>149964</v>
      </c>
      <c r="G12" s="145">
        <f t="shared" si="1"/>
        <v>198976</v>
      </c>
      <c r="H12" s="143">
        <v>51472</v>
      </c>
      <c r="I12" s="146">
        <v>147504</v>
      </c>
      <c r="J12" s="452"/>
      <c r="K12" s="489"/>
      <c r="L12" s="489"/>
    </row>
    <row r="13" spans="1:12" ht="12.75">
      <c r="A13" s="416">
        <v>21</v>
      </c>
      <c r="B13" s="417">
        <v>33</v>
      </c>
      <c r="C13" s="100" t="s">
        <v>16</v>
      </c>
      <c r="D13" s="1284">
        <v>93002</v>
      </c>
      <c r="E13" s="143">
        <f>'str1-3'!D75</f>
        <v>7239</v>
      </c>
      <c r="F13" s="144">
        <f t="shared" si="0"/>
        <v>85763</v>
      </c>
      <c r="G13" s="145">
        <f t="shared" si="1"/>
        <v>82349</v>
      </c>
      <c r="H13" s="143">
        <v>7044</v>
      </c>
      <c r="I13" s="146">
        <v>75305</v>
      </c>
      <c r="J13" s="452"/>
      <c r="K13" s="453"/>
      <c r="L13" s="489"/>
    </row>
    <row r="14" spans="1:12" ht="12.75">
      <c r="A14" s="416">
        <v>22</v>
      </c>
      <c r="B14" s="417">
        <v>41</v>
      </c>
      <c r="C14" s="100" t="s">
        <v>17</v>
      </c>
      <c r="D14" s="1284">
        <v>199754</v>
      </c>
      <c r="E14" s="143">
        <f>'str1-3'!D76</f>
        <v>4869</v>
      </c>
      <c r="F14" s="144">
        <f t="shared" si="0"/>
        <v>194885</v>
      </c>
      <c r="G14" s="145">
        <f t="shared" si="1"/>
        <v>178057</v>
      </c>
      <c r="H14" s="143">
        <v>3766</v>
      </c>
      <c r="I14" s="146">
        <v>174291</v>
      </c>
      <c r="J14" s="452"/>
      <c r="K14" s="453"/>
      <c r="L14" s="489"/>
    </row>
    <row r="15" spans="1:12" ht="12.75">
      <c r="A15" s="416">
        <v>23</v>
      </c>
      <c r="B15" s="417">
        <v>51</v>
      </c>
      <c r="C15" s="100" t="s">
        <v>18</v>
      </c>
      <c r="D15" s="1284">
        <v>38898</v>
      </c>
      <c r="E15" s="143">
        <f>'str1-3'!D77</f>
        <v>80</v>
      </c>
      <c r="F15" s="144">
        <f t="shared" si="0"/>
        <v>38818</v>
      </c>
      <c r="G15" s="145">
        <f t="shared" si="1"/>
        <v>40385</v>
      </c>
      <c r="H15" s="143">
        <v>158</v>
      </c>
      <c r="I15" s="146">
        <v>40227</v>
      </c>
      <c r="J15" s="452"/>
      <c r="K15" s="453"/>
      <c r="L15" s="489"/>
    </row>
    <row r="16" spans="1:12" ht="12.75">
      <c r="A16" s="418">
        <v>24</v>
      </c>
      <c r="B16" s="419">
        <v>56</v>
      </c>
      <c r="C16" s="121" t="s">
        <v>19</v>
      </c>
      <c r="D16" s="1285">
        <v>103141</v>
      </c>
      <c r="E16" s="148">
        <f>'str1-3'!D78</f>
        <v>5307</v>
      </c>
      <c r="F16" s="149">
        <f t="shared" si="0"/>
        <v>97834</v>
      </c>
      <c r="G16" s="150">
        <f t="shared" si="1"/>
        <v>90298</v>
      </c>
      <c r="H16" s="148">
        <v>5362</v>
      </c>
      <c r="I16" s="151">
        <v>84936</v>
      </c>
      <c r="J16" s="452"/>
      <c r="K16" s="453"/>
      <c r="L16" s="489"/>
    </row>
    <row r="17" spans="1:13" s="20" customFormat="1" ht="12.75">
      <c r="A17" s="490">
        <v>25</v>
      </c>
      <c r="B17" s="491" t="s">
        <v>72</v>
      </c>
      <c r="C17" s="492"/>
      <c r="D17" s="493">
        <f aca="true" t="shared" si="2" ref="D17:I17">SUM(D8:D16)</f>
        <v>1346538</v>
      </c>
      <c r="E17" s="494">
        <f t="shared" si="2"/>
        <v>121970</v>
      </c>
      <c r="F17" s="495">
        <f t="shared" si="2"/>
        <v>1224568</v>
      </c>
      <c r="G17" s="78">
        <f t="shared" si="2"/>
        <v>1261539</v>
      </c>
      <c r="H17" s="496">
        <f t="shared" si="2"/>
        <v>119959</v>
      </c>
      <c r="I17" s="497">
        <f t="shared" si="2"/>
        <v>1141580</v>
      </c>
      <c r="J17" s="498"/>
      <c r="K17" s="499"/>
      <c r="L17" s="499"/>
      <c r="M17" s="1257"/>
    </row>
    <row r="18" spans="1:12" ht="12.75">
      <c r="A18" s="413">
        <v>26</v>
      </c>
      <c r="B18" s="414">
        <v>81</v>
      </c>
      <c r="C18" s="7" t="s">
        <v>147</v>
      </c>
      <c r="D18" s="438">
        <f>SUM(E18:F18)</f>
        <v>0</v>
      </c>
      <c r="E18" s="6"/>
      <c r="F18" s="146">
        <f>'příl.1-CP'!L125</f>
        <v>0</v>
      </c>
      <c r="G18" s="66">
        <f>SUM(H18:I18)</f>
        <v>0</v>
      </c>
      <c r="H18" s="6"/>
      <c r="I18" s="63">
        <v>0</v>
      </c>
      <c r="J18" s="415"/>
      <c r="K18" s="415"/>
      <c r="L18" s="415"/>
    </row>
    <row r="19" spans="1:9" ht="12.75">
      <c r="A19" s="416">
        <v>27</v>
      </c>
      <c r="B19" s="417">
        <v>82</v>
      </c>
      <c r="C19" s="100" t="s">
        <v>4</v>
      </c>
      <c r="D19" s="438">
        <f aca="true" t="shared" si="3" ref="D19:D27">SUM(E19:F19)</f>
        <v>0</v>
      </c>
      <c r="E19" s="143"/>
      <c r="F19" s="146">
        <f>'příl.1-CP'!L126</f>
        <v>0</v>
      </c>
      <c r="G19" s="145">
        <f>SUM(H19:I19)</f>
        <v>0</v>
      </c>
      <c r="H19" s="143"/>
      <c r="I19" s="146">
        <v>0</v>
      </c>
    </row>
    <row r="20" spans="1:9" ht="12.75">
      <c r="A20" s="416">
        <f>A19+1</f>
        <v>28</v>
      </c>
      <c r="B20" s="417">
        <v>83</v>
      </c>
      <c r="C20" s="100" t="s">
        <v>197</v>
      </c>
      <c r="D20" s="438">
        <f t="shared" si="3"/>
        <v>3932</v>
      </c>
      <c r="E20" s="143"/>
      <c r="F20" s="1286">
        <v>3932</v>
      </c>
      <c r="G20" s="145">
        <f aca="true" t="shared" si="4" ref="G20:G27">SUM(H20:I20)</f>
        <v>3675</v>
      </c>
      <c r="H20" s="143"/>
      <c r="I20" s="146">
        <v>3675</v>
      </c>
    </row>
    <row r="21" spans="1:9" ht="12.75">
      <c r="A21" s="416">
        <f aca="true" t="shared" si="5" ref="A21:A33">A20+1</f>
        <v>29</v>
      </c>
      <c r="B21" s="417">
        <v>84</v>
      </c>
      <c r="C21" s="100" t="s">
        <v>196</v>
      </c>
      <c r="D21" s="438">
        <f t="shared" si="3"/>
        <v>1922</v>
      </c>
      <c r="E21" s="143"/>
      <c r="F21" s="1286">
        <v>1922</v>
      </c>
      <c r="G21" s="145">
        <f t="shared" si="4"/>
        <v>1796</v>
      </c>
      <c r="H21" s="143"/>
      <c r="I21" s="146">
        <v>1796</v>
      </c>
    </row>
    <row r="22" spans="1:9" ht="12.75">
      <c r="A22" s="416">
        <f t="shared" si="5"/>
        <v>30</v>
      </c>
      <c r="B22" s="417">
        <v>85</v>
      </c>
      <c r="C22" s="100" t="s">
        <v>297</v>
      </c>
      <c r="D22" s="438">
        <f t="shared" si="3"/>
        <v>0</v>
      </c>
      <c r="E22" s="143"/>
      <c r="F22" s="146">
        <f>'příl.1-CP'!L129</f>
        <v>0</v>
      </c>
      <c r="G22" s="145">
        <f t="shared" si="4"/>
        <v>0</v>
      </c>
      <c r="H22" s="143"/>
      <c r="I22" s="146">
        <v>0</v>
      </c>
    </row>
    <row r="23" spans="1:9" ht="12.75">
      <c r="A23" s="416">
        <v>31</v>
      </c>
      <c r="B23" s="417">
        <v>87</v>
      </c>
      <c r="C23" s="100" t="s">
        <v>468</v>
      </c>
      <c r="D23" s="438"/>
      <c r="E23" s="143"/>
      <c r="F23" s="146"/>
      <c r="G23" s="145"/>
      <c r="H23" s="143"/>
      <c r="I23" s="146"/>
    </row>
    <row r="24" spans="1:9" ht="12.75">
      <c r="A24" s="416">
        <v>32</v>
      </c>
      <c r="B24" s="417">
        <v>92</v>
      </c>
      <c r="C24" s="100" t="s">
        <v>22</v>
      </c>
      <c r="D24" s="438">
        <f t="shared" si="3"/>
        <v>102528.3</v>
      </c>
      <c r="E24" s="143"/>
      <c r="F24" s="146">
        <f>'příl.1-CP'!L131</f>
        <v>102528.3</v>
      </c>
      <c r="G24" s="145">
        <f t="shared" si="4"/>
        <v>94555</v>
      </c>
      <c r="H24" s="143"/>
      <c r="I24" s="146">
        <v>94555</v>
      </c>
    </row>
    <row r="25" spans="1:9" ht="12.75">
      <c r="A25" s="416">
        <v>33</v>
      </c>
      <c r="B25" s="417">
        <v>96</v>
      </c>
      <c r="C25" s="100" t="s">
        <v>52</v>
      </c>
      <c r="D25" s="438">
        <f t="shared" si="3"/>
        <v>28471.63</v>
      </c>
      <c r="E25" s="143"/>
      <c r="F25" s="146">
        <f>'příl.1-CP'!L133</f>
        <v>28471.63</v>
      </c>
      <c r="G25" s="145">
        <f t="shared" si="4"/>
        <v>26609</v>
      </c>
      <c r="H25" s="143"/>
      <c r="I25" s="146">
        <v>26609</v>
      </c>
    </row>
    <row r="26" spans="1:9" ht="12.75">
      <c r="A26" s="416">
        <v>34</v>
      </c>
      <c r="B26" s="417">
        <v>97</v>
      </c>
      <c r="C26" s="100" t="s">
        <v>53</v>
      </c>
      <c r="D26" s="438">
        <f t="shared" si="3"/>
        <v>8291.43</v>
      </c>
      <c r="E26" s="143"/>
      <c r="F26" s="146">
        <f>'příl.1-CP'!L134</f>
        <v>8291.43</v>
      </c>
      <c r="G26" s="145">
        <f t="shared" si="4"/>
        <v>7749</v>
      </c>
      <c r="H26" s="143"/>
      <c r="I26" s="146">
        <v>7749</v>
      </c>
    </row>
    <row r="27" spans="1:9" ht="12.75">
      <c r="A27" s="418">
        <f t="shared" si="5"/>
        <v>35</v>
      </c>
      <c r="B27" s="419">
        <v>99</v>
      </c>
      <c r="C27" s="121" t="s">
        <v>213</v>
      </c>
      <c r="D27" s="438">
        <f t="shared" si="3"/>
        <v>82209.02</v>
      </c>
      <c r="E27" s="148"/>
      <c r="F27" s="146">
        <f>'příl.1-CP'!L135</f>
        <v>82209.02</v>
      </c>
      <c r="G27" s="150">
        <f t="shared" si="4"/>
        <v>79317</v>
      </c>
      <c r="H27" s="148"/>
      <c r="I27" s="151">
        <v>79317</v>
      </c>
    </row>
    <row r="28" spans="1:13" s="20" customFormat="1" ht="12.75">
      <c r="A28" s="500">
        <f t="shared" si="5"/>
        <v>36</v>
      </c>
      <c r="B28" s="501" t="s">
        <v>378</v>
      </c>
      <c r="C28" s="501"/>
      <c r="D28" s="502">
        <f>SUM(D18:D27)</f>
        <v>227354.38</v>
      </c>
      <c r="E28" s="503"/>
      <c r="F28" s="504">
        <f>SUM(F18:F27)</f>
        <v>227354.38</v>
      </c>
      <c r="G28" s="502">
        <f>SUM(G18:G27)</f>
        <v>213701</v>
      </c>
      <c r="H28" s="503"/>
      <c r="I28" s="505">
        <f>SUM(I18:I27)</f>
        <v>213701</v>
      </c>
      <c r="J28" s="498"/>
      <c r="K28" s="499"/>
      <c r="L28" s="2"/>
      <c r="M28" s="1257"/>
    </row>
    <row r="29" spans="1:9" ht="12.75">
      <c r="A29" s="439">
        <f t="shared" si="5"/>
        <v>37</v>
      </c>
      <c r="B29" s="440" t="s">
        <v>212</v>
      </c>
      <c r="C29" s="440"/>
      <c r="D29" s="438">
        <f>SUM(E29:F29)</f>
        <v>183265</v>
      </c>
      <c r="E29" s="441"/>
      <c r="F29" s="442">
        <f>'příl.1-CP'!L5</f>
        <v>183265</v>
      </c>
      <c r="G29" s="443">
        <f>SUM(H29:I29)</f>
        <v>185234</v>
      </c>
      <c r="H29" s="441"/>
      <c r="I29" s="444">
        <v>185234</v>
      </c>
    </row>
    <row r="30" spans="1:9" ht="12.75">
      <c r="A30" s="137">
        <f t="shared" si="5"/>
        <v>38</v>
      </c>
      <c r="B30" s="445" t="s">
        <v>210</v>
      </c>
      <c r="C30" s="445"/>
      <c r="D30" s="142">
        <f>SUM(E30:F30)</f>
        <v>134992</v>
      </c>
      <c r="E30" s="143"/>
      <c r="F30" s="144">
        <f>'příl.1-CP'!L26</f>
        <v>134992</v>
      </c>
      <c r="G30" s="145">
        <f>SUM(H30:I30)</f>
        <v>128342</v>
      </c>
      <c r="H30" s="143"/>
      <c r="I30" s="146">
        <v>128342</v>
      </c>
    </row>
    <row r="31" spans="1:10" ht="12.75">
      <c r="A31" s="420">
        <f t="shared" si="5"/>
        <v>39</v>
      </c>
      <c r="B31" s="421" t="s">
        <v>211</v>
      </c>
      <c r="C31" s="421"/>
      <c r="D31" s="70">
        <f>SUM(E31:F31)</f>
        <v>16000</v>
      </c>
      <c r="E31" s="22"/>
      <c r="F31" s="97">
        <f>'příl.1-CP'!L120</f>
        <v>16000</v>
      </c>
      <c r="G31" s="67">
        <f>SUM(H31:I31)</f>
        <v>16000</v>
      </c>
      <c r="H31" s="22"/>
      <c r="I31" s="64">
        <v>16000</v>
      </c>
      <c r="J31" s="94"/>
    </row>
    <row r="32" spans="1:11" ht="13.5" thickBot="1">
      <c r="A32" s="35">
        <f t="shared" si="5"/>
        <v>40</v>
      </c>
      <c r="B32" s="36" t="s">
        <v>2</v>
      </c>
      <c r="C32" s="36"/>
      <c r="D32" s="71">
        <f>SUM(D28:D31)</f>
        <v>561611.38</v>
      </c>
      <c r="E32" s="37"/>
      <c r="F32" s="98">
        <f>SUM(F28:F31)</f>
        <v>561611.38</v>
      </c>
      <c r="G32" s="68">
        <f>SUM(G28:G31)</f>
        <v>543277</v>
      </c>
      <c r="H32" s="37"/>
      <c r="I32" s="65">
        <f>SUM(I28:I31)</f>
        <v>543277</v>
      </c>
      <c r="K32" s="415"/>
    </row>
    <row r="33" spans="1:11" ht="13.5" thickBot="1">
      <c r="A33" s="26">
        <f t="shared" si="5"/>
        <v>41</v>
      </c>
      <c r="B33" s="27" t="s">
        <v>68</v>
      </c>
      <c r="C33" s="27"/>
      <c r="D33" s="79">
        <f aca="true" t="shared" si="6" ref="D33:I33">D17+D32</f>
        <v>1908149.38</v>
      </c>
      <c r="E33" s="23">
        <f t="shared" si="6"/>
        <v>121970</v>
      </c>
      <c r="F33" s="422">
        <f t="shared" si="6"/>
        <v>1786179.38</v>
      </c>
      <c r="G33" s="90">
        <f t="shared" si="6"/>
        <v>1804816</v>
      </c>
      <c r="H33" s="88">
        <f t="shared" si="6"/>
        <v>119959</v>
      </c>
      <c r="I33" s="423">
        <f t="shared" si="6"/>
        <v>1684857</v>
      </c>
      <c r="K33" s="415"/>
    </row>
    <row r="34" spans="4:10" ht="12.75">
      <c r="D34" s="452"/>
      <c r="E34" s="452"/>
      <c r="F34" s="452"/>
      <c r="G34" s="452"/>
      <c r="H34" s="452"/>
      <c r="I34" s="452"/>
      <c r="J34" s="415"/>
    </row>
    <row r="35" spans="1:9" ht="14.25">
      <c r="A35" s="424"/>
      <c r="D35" s="415"/>
      <c r="E35" s="415"/>
      <c r="F35" s="415"/>
      <c r="G35" s="415"/>
      <c r="H35" s="415"/>
      <c r="I35" s="415"/>
    </row>
    <row r="36" spans="1:9" ht="14.25">
      <c r="A36" s="424"/>
      <c r="D36" s="415"/>
      <c r="E36" s="415"/>
      <c r="G36" s="415"/>
      <c r="H36" s="415"/>
      <c r="I36" s="415"/>
    </row>
    <row r="37" spans="1:9" ht="14.25">
      <c r="A37" s="424"/>
      <c r="D37" s="415"/>
      <c r="E37" s="415"/>
      <c r="G37" s="415"/>
      <c r="H37" s="415"/>
      <c r="I37" s="415"/>
    </row>
    <row r="39" ht="11.25" customHeight="1"/>
    <row r="40" ht="17.25" customHeight="1" thickBot="1">
      <c r="A40" s="20" t="s">
        <v>489</v>
      </c>
    </row>
    <row r="41" spans="1:12" ht="12.75" customHeight="1">
      <c r="A41" s="402"/>
      <c r="B41" s="403"/>
      <c r="C41" s="3"/>
      <c r="D41" s="1301" t="s">
        <v>385</v>
      </c>
      <c r="E41" s="1302"/>
      <c r="F41" s="1302"/>
      <c r="G41" s="403"/>
      <c r="H41" s="3"/>
      <c r="I41" s="32"/>
      <c r="J41" s="1305" t="s">
        <v>246</v>
      </c>
      <c r="K41" s="1306"/>
      <c r="L41" s="1307"/>
    </row>
    <row r="42" spans="1:12" ht="13.5" customHeight="1">
      <c r="A42" s="404"/>
      <c r="B42" s="405"/>
      <c r="C42" s="7"/>
      <c r="D42" s="72" t="s">
        <v>498</v>
      </c>
      <c r="E42" s="1304" t="s">
        <v>64</v>
      </c>
      <c r="F42" s="1304"/>
      <c r="G42" s="405"/>
      <c r="H42" s="7"/>
      <c r="I42" s="347"/>
      <c r="J42" s="75" t="s">
        <v>498</v>
      </c>
      <c r="K42" s="1304" t="s">
        <v>64</v>
      </c>
      <c r="L42" s="1310"/>
    </row>
    <row r="43" spans="1:12" ht="13.5" customHeight="1">
      <c r="A43" s="404"/>
      <c r="B43" s="405" t="s">
        <v>70</v>
      </c>
      <c r="C43" s="7"/>
      <c r="D43" s="73" t="s">
        <v>499</v>
      </c>
      <c r="E43" s="118" t="s">
        <v>135</v>
      </c>
      <c r="F43" s="425" t="s">
        <v>106</v>
      </c>
      <c r="G43" s="1311" t="s">
        <v>107</v>
      </c>
      <c r="H43" s="1312"/>
      <c r="I43" s="1313"/>
      <c r="J43" s="76" t="s">
        <v>499</v>
      </c>
      <c r="K43" s="118" t="s">
        <v>135</v>
      </c>
      <c r="L43" s="426" t="s">
        <v>106</v>
      </c>
    </row>
    <row r="44" spans="1:12" ht="15" customHeight="1" thickBot="1">
      <c r="A44" s="408" t="s">
        <v>67</v>
      </c>
      <c r="B44" s="409" t="s">
        <v>71</v>
      </c>
      <c r="C44" s="4"/>
      <c r="D44" s="74" t="s">
        <v>21</v>
      </c>
      <c r="E44" s="410" t="s">
        <v>48</v>
      </c>
      <c r="F44" s="427" t="s">
        <v>21</v>
      </c>
      <c r="G44" s="14" t="s">
        <v>65</v>
      </c>
      <c r="H44" s="85" t="s">
        <v>481</v>
      </c>
      <c r="I44" s="13" t="s">
        <v>66</v>
      </c>
      <c r="J44" s="77" t="s">
        <v>21</v>
      </c>
      <c r="K44" s="410" t="s">
        <v>48</v>
      </c>
      <c r="L44" s="428" t="s">
        <v>21</v>
      </c>
    </row>
    <row r="45" spans="1:13" ht="12.75">
      <c r="A45" s="33">
        <v>42</v>
      </c>
      <c r="B45" s="118">
        <v>11</v>
      </c>
      <c r="C45" s="7" t="s">
        <v>11</v>
      </c>
      <c r="D45" s="69">
        <f>SUM(E45:F45)</f>
        <v>291381</v>
      </c>
      <c r="E45" s="6">
        <f aca="true" t="shared" si="7" ref="E45:E53">E8</f>
        <v>28673</v>
      </c>
      <c r="F45" s="429">
        <f>SUM(G45:I45)</f>
        <v>262708</v>
      </c>
      <c r="G45" s="82">
        <f>F8</f>
        <v>246558</v>
      </c>
      <c r="H45" s="1282">
        <v>16150</v>
      </c>
      <c r="I45" s="81">
        <v>0</v>
      </c>
      <c r="J45" s="66">
        <f>SUM(K45:L45)</f>
        <v>282341</v>
      </c>
      <c r="K45" s="6">
        <f>H8</f>
        <v>27207</v>
      </c>
      <c r="L45" s="430">
        <v>255134</v>
      </c>
      <c r="M45" s="1258">
        <f>D45/J45</f>
        <v>1.0320180207621281</v>
      </c>
    </row>
    <row r="46" spans="1:13" ht="12.75">
      <c r="A46" s="137">
        <v>43</v>
      </c>
      <c r="B46" s="119">
        <v>21</v>
      </c>
      <c r="C46" s="100" t="s">
        <v>12</v>
      </c>
      <c r="D46" s="142">
        <f aca="true" t="shared" si="8" ref="D46:D53">SUM(E46:F46)</f>
        <v>252237</v>
      </c>
      <c r="E46" s="143">
        <f t="shared" si="7"/>
        <v>13730</v>
      </c>
      <c r="F46" s="431">
        <f aca="true" t="shared" si="9" ref="F46:F53">SUM(G46:I46)</f>
        <v>238507</v>
      </c>
      <c r="G46" s="156">
        <f>F9</f>
        <v>235459</v>
      </c>
      <c r="H46" s="157">
        <f>'příl.4-odhad odpisu08'!Z7</f>
        <v>3048</v>
      </c>
      <c r="I46" s="158">
        <v>0</v>
      </c>
      <c r="J46" s="145">
        <f aca="true" t="shared" si="10" ref="J46:J53">SUM(K46:L46)</f>
        <v>225859</v>
      </c>
      <c r="K46" s="1012">
        <f aca="true" t="shared" si="11" ref="K46:K53">H9</f>
        <v>13192</v>
      </c>
      <c r="L46" s="432">
        <v>212667</v>
      </c>
      <c r="M46" s="1258">
        <f aca="true" t="shared" si="12" ref="M46:M67">D46/J46</f>
        <v>1.1167896785162423</v>
      </c>
    </row>
    <row r="47" spans="1:13" ht="12.75">
      <c r="A47" s="137">
        <v>44</v>
      </c>
      <c r="B47" s="119">
        <v>22</v>
      </c>
      <c r="C47" s="100" t="s">
        <v>13</v>
      </c>
      <c r="D47" s="142">
        <f t="shared" si="8"/>
        <v>85463</v>
      </c>
      <c r="E47" s="143">
        <f t="shared" si="7"/>
        <v>2269</v>
      </c>
      <c r="F47" s="431">
        <f t="shared" si="9"/>
        <v>83194</v>
      </c>
      <c r="G47" s="156">
        <f aca="true" t="shared" si="13" ref="G47:G53">F10</f>
        <v>81869</v>
      </c>
      <c r="H47" s="157">
        <f>'příl.4-odhad odpisu08'!Z8</f>
        <v>1325</v>
      </c>
      <c r="I47" s="158">
        <v>0</v>
      </c>
      <c r="J47" s="145">
        <f t="shared" si="10"/>
        <v>83294</v>
      </c>
      <c r="K47" s="1012">
        <f t="shared" si="11"/>
        <v>2089</v>
      </c>
      <c r="L47" s="432">
        <v>81205</v>
      </c>
      <c r="M47" s="1258">
        <f t="shared" si="12"/>
        <v>1.0260402910173603</v>
      </c>
    </row>
    <row r="48" spans="1:13" ht="12.75">
      <c r="A48" s="137">
        <v>45</v>
      </c>
      <c r="B48" s="119">
        <v>23</v>
      </c>
      <c r="C48" s="100" t="s">
        <v>14</v>
      </c>
      <c r="D48" s="142">
        <f t="shared" si="8"/>
        <v>104314</v>
      </c>
      <c r="E48" s="143">
        <f t="shared" si="7"/>
        <v>9326</v>
      </c>
      <c r="F48" s="431">
        <f t="shared" si="9"/>
        <v>94988</v>
      </c>
      <c r="G48" s="156">
        <f t="shared" si="13"/>
        <v>93418</v>
      </c>
      <c r="H48" s="157">
        <f>'příl.4-odhad odpisu08'!Z9</f>
        <v>1570</v>
      </c>
      <c r="I48" s="158">
        <v>0</v>
      </c>
      <c r="J48" s="145">
        <f t="shared" si="10"/>
        <v>97028</v>
      </c>
      <c r="K48" s="1012">
        <f t="shared" si="11"/>
        <v>9669</v>
      </c>
      <c r="L48" s="432">
        <v>87359</v>
      </c>
      <c r="M48" s="1258">
        <f t="shared" si="12"/>
        <v>1.0750917260996826</v>
      </c>
    </row>
    <row r="49" spans="1:13" ht="12.75">
      <c r="A49" s="137">
        <v>46</v>
      </c>
      <c r="B49" s="119">
        <v>31</v>
      </c>
      <c r="C49" s="100" t="s">
        <v>15</v>
      </c>
      <c r="D49" s="142">
        <f t="shared" si="8"/>
        <v>220089</v>
      </c>
      <c r="E49" s="143">
        <f t="shared" si="7"/>
        <v>50477</v>
      </c>
      <c r="F49" s="431">
        <f t="shared" si="9"/>
        <v>169612</v>
      </c>
      <c r="G49" s="156">
        <f t="shared" si="13"/>
        <v>149964</v>
      </c>
      <c r="H49" s="157">
        <f>'příl.4-odhad odpisu08'!Z10</f>
        <v>19648</v>
      </c>
      <c r="I49" s="158">
        <v>0</v>
      </c>
      <c r="J49" s="145">
        <f t="shared" si="10"/>
        <v>216683</v>
      </c>
      <c r="K49" s="1012">
        <f t="shared" si="11"/>
        <v>51472</v>
      </c>
      <c r="L49" s="432">
        <v>165211</v>
      </c>
      <c r="M49" s="1258">
        <f t="shared" si="12"/>
        <v>1.0157188150431737</v>
      </c>
    </row>
    <row r="50" spans="1:13" ht="12.75">
      <c r="A50" s="137">
        <v>47</v>
      </c>
      <c r="B50" s="119">
        <v>33</v>
      </c>
      <c r="C50" s="100" t="s">
        <v>16</v>
      </c>
      <c r="D50" s="142">
        <f t="shared" si="8"/>
        <v>102585</v>
      </c>
      <c r="E50" s="143">
        <f t="shared" si="7"/>
        <v>7239</v>
      </c>
      <c r="F50" s="431">
        <f t="shared" si="9"/>
        <v>95346</v>
      </c>
      <c r="G50" s="156">
        <f t="shared" si="13"/>
        <v>85763</v>
      </c>
      <c r="H50" s="157">
        <f>'příl.1-CP'!L85+'příl.4-odhad odpisu08'!Z11</f>
        <v>9583</v>
      </c>
      <c r="I50" s="158">
        <v>0</v>
      </c>
      <c r="J50" s="145">
        <f t="shared" si="10"/>
        <v>92010</v>
      </c>
      <c r="K50" s="1012">
        <f t="shared" si="11"/>
        <v>7044</v>
      </c>
      <c r="L50" s="432">
        <v>84966</v>
      </c>
      <c r="M50" s="1258">
        <f t="shared" si="12"/>
        <v>1.1149331594391914</v>
      </c>
    </row>
    <row r="51" spans="1:13" ht="12.75">
      <c r="A51" s="137">
        <v>48</v>
      </c>
      <c r="B51" s="119">
        <v>41</v>
      </c>
      <c r="C51" s="100" t="s">
        <v>17</v>
      </c>
      <c r="D51" s="142">
        <f t="shared" si="8"/>
        <v>201376</v>
      </c>
      <c r="E51" s="143">
        <f t="shared" si="7"/>
        <v>4869</v>
      </c>
      <c r="F51" s="431">
        <f t="shared" si="9"/>
        <v>196507</v>
      </c>
      <c r="G51" s="156">
        <f t="shared" si="13"/>
        <v>194885</v>
      </c>
      <c r="H51" s="157">
        <f>'příl.4-odhad odpisu08'!Z12</f>
        <v>1622</v>
      </c>
      <c r="I51" s="158">
        <v>0</v>
      </c>
      <c r="J51" s="145">
        <f t="shared" si="10"/>
        <v>179655</v>
      </c>
      <c r="K51" s="1012">
        <f t="shared" si="11"/>
        <v>3766</v>
      </c>
      <c r="L51" s="432">
        <v>175889</v>
      </c>
      <c r="M51" s="1258">
        <f t="shared" si="12"/>
        <v>1.12090395480226</v>
      </c>
    </row>
    <row r="52" spans="1:13" ht="12.75">
      <c r="A52" s="137">
        <v>49</v>
      </c>
      <c r="B52" s="119">
        <v>51</v>
      </c>
      <c r="C52" s="100" t="s">
        <v>18</v>
      </c>
      <c r="D52" s="142">
        <f t="shared" si="8"/>
        <v>66490</v>
      </c>
      <c r="E52" s="143">
        <f t="shared" si="7"/>
        <v>80</v>
      </c>
      <c r="F52" s="431">
        <f t="shared" si="9"/>
        <v>66410</v>
      </c>
      <c r="G52" s="156">
        <f t="shared" si="13"/>
        <v>38818</v>
      </c>
      <c r="H52" s="157">
        <f>'příl.1-CP'!L115+'příl.4-odhad odpisu08'!Z13</f>
        <v>27592</v>
      </c>
      <c r="I52" s="158">
        <v>0</v>
      </c>
      <c r="J52" s="145">
        <f t="shared" si="10"/>
        <v>61623</v>
      </c>
      <c r="K52" s="1012">
        <f t="shared" si="11"/>
        <v>158</v>
      </c>
      <c r="L52" s="432">
        <v>61465</v>
      </c>
      <c r="M52" s="1258">
        <f t="shared" si="12"/>
        <v>1.0789802508803532</v>
      </c>
    </row>
    <row r="53" spans="1:13" ht="12.75">
      <c r="A53" s="433">
        <v>50</v>
      </c>
      <c r="B53" s="120">
        <v>56</v>
      </c>
      <c r="C53" s="121" t="s">
        <v>19</v>
      </c>
      <c r="D53" s="147">
        <f t="shared" si="8"/>
        <v>105064</v>
      </c>
      <c r="E53" s="148">
        <f t="shared" si="7"/>
        <v>5307</v>
      </c>
      <c r="F53" s="434">
        <f t="shared" si="9"/>
        <v>99757</v>
      </c>
      <c r="G53" s="159">
        <f t="shared" si="13"/>
        <v>97834</v>
      </c>
      <c r="H53" s="160">
        <f>'příl.4-odhad odpisu08'!Z14</f>
        <v>1923</v>
      </c>
      <c r="I53" s="161">
        <v>0</v>
      </c>
      <c r="J53" s="150">
        <f t="shared" si="10"/>
        <v>92068</v>
      </c>
      <c r="K53" s="1013">
        <f t="shared" si="11"/>
        <v>5362</v>
      </c>
      <c r="L53" s="435">
        <v>86706</v>
      </c>
      <c r="M53" s="1258">
        <f t="shared" si="12"/>
        <v>1.1411565364730416</v>
      </c>
    </row>
    <row r="54" spans="1:13" ht="12.75">
      <c r="A54" s="420">
        <v>51</v>
      </c>
      <c r="B54" s="38" t="s">
        <v>72</v>
      </c>
      <c r="C54" s="39"/>
      <c r="D54" s="78">
        <f aca="true" t="shared" si="14" ref="D54:I54">SUM(D45:D53)</f>
        <v>1428999</v>
      </c>
      <c r="E54" s="40">
        <f t="shared" si="14"/>
        <v>121970</v>
      </c>
      <c r="F54" s="91">
        <f t="shared" si="14"/>
        <v>1307029</v>
      </c>
      <c r="G54" s="41">
        <f t="shared" si="14"/>
        <v>1224568</v>
      </c>
      <c r="H54" s="42">
        <f t="shared" si="14"/>
        <v>82461</v>
      </c>
      <c r="I54" s="43">
        <f t="shared" si="14"/>
        <v>0</v>
      </c>
      <c r="J54" s="89">
        <f>SUM(J45:J53)</f>
        <v>1330561</v>
      </c>
      <c r="K54" s="40">
        <f>SUM(K45:K53)</f>
        <v>119959</v>
      </c>
      <c r="L54" s="92">
        <f>SUM(L45:L53)</f>
        <v>1210602</v>
      </c>
      <c r="M54" s="1258">
        <f t="shared" si="12"/>
        <v>1.0739823277549845</v>
      </c>
    </row>
    <row r="55" spans="1:13" ht="12.75">
      <c r="A55" s="413">
        <v>52</v>
      </c>
      <c r="B55" s="414">
        <v>81</v>
      </c>
      <c r="C55" s="7" t="s">
        <v>147</v>
      </c>
      <c r="D55" s="69">
        <f aca="true" t="shared" si="15" ref="D55:D64">SUM(E55:F55)</f>
        <v>0</v>
      </c>
      <c r="E55" s="37">
        <v>0</v>
      </c>
      <c r="F55" s="127">
        <f>SUM(G55:I55)</f>
        <v>0</v>
      </c>
      <c r="G55" s="82">
        <f>F18</f>
        <v>0</v>
      </c>
      <c r="H55" s="80">
        <f>'příl.1-CP'!L125</f>
        <v>0</v>
      </c>
      <c r="I55" s="81">
        <v>0</v>
      </c>
      <c r="J55" s="66">
        <f>SUM(K55:L55)</f>
        <v>0</v>
      </c>
      <c r="K55" s="37"/>
      <c r="L55" s="436">
        <f>I18</f>
        <v>0</v>
      </c>
      <c r="M55" s="1258"/>
    </row>
    <row r="56" spans="1:13" ht="12.75">
      <c r="A56" s="416">
        <v>53</v>
      </c>
      <c r="B56" s="417">
        <v>82</v>
      </c>
      <c r="C56" s="100" t="s">
        <v>4</v>
      </c>
      <c r="D56" s="142">
        <f t="shared" si="15"/>
        <v>0</v>
      </c>
      <c r="E56" s="448"/>
      <c r="F56" s="450">
        <f aca="true" t="shared" si="16" ref="F56:F64">SUM(G56:I56)</f>
        <v>0</v>
      </c>
      <c r="G56" s="1015">
        <f>F19</f>
        <v>0</v>
      </c>
      <c r="H56" s="157">
        <f>'příl.1-CP'!L126</f>
        <v>0</v>
      </c>
      <c r="I56" s="158"/>
      <c r="J56" s="145">
        <f>SUM(K56:L56)</f>
        <v>0</v>
      </c>
      <c r="K56" s="448"/>
      <c r="L56" s="449">
        <f>I19</f>
        <v>0</v>
      </c>
      <c r="M56" s="1258"/>
    </row>
    <row r="57" spans="1:13" ht="12.75">
      <c r="A57" s="416">
        <v>54</v>
      </c>
      <c r="B57" s="417">
        <v>83</v>
      </c>
      <c r="C57" s="100" t="s">
        <v>197</v>
      </c>
      <c r="D57" s="142">
        <f t="shared" si="15"/>
        <v>4372.25</v>
      </c>
      <c r="E57" s="448"/>
      <c r="F57" s="450">
        <f t="shared" si="16"/>
        <v>4372.25</v>
      </c>
      <c r="G57" s="1015">
        <f>'příl.1-CP'!L127</f>
        <v>3932.2500000000005</v>
      </c>
      <c r="H57" s="157">
        <f>'příl.1-CP'!L13</f>
        <v>440</v>
      </c>
      <c r="I57" s="158"/>
      <c r="J57" s="145">
        <f>SUM(K57:L57)</f>
        <v>4071</v>
      </c>
      <c r="K57" s="448"/>
      <c r="L57" s="449">
        <v>4071</v>
      </c>
      <c r="M57" s="1258">
        <f t="shared" si="12"/>
        <v>1.0739990174404324</v>
      </c>
    </row>
    <row r="58" spans="1:13" ht="12.75">
      <c r="A58" s="416">
        <v>55</v>
      </c>
      <c r="B58" s="417">
        <v>84</v>
      </c>
      <c r="C58" s="100" t="s">
        <v>196</v>
      </c>
      <c r="D58" s="142">
        <f t="shared" si="15"/>
        <v>3294.7200000000003</v>
      </c>
      <c r="E58" s="448"/>
      <c r="F58" s="450">
        <f t="shared" si="16"/>
        <v>3294.7200000000003</v>
      </c>
      <c r="G58" s="1015">
        <f>'příl.1-CP'!L128</f>
        <v>1921.72</v>
      </c>
      <c r="H58" s="157">
        <f>'příl.1-CP'!L14+'příl.1-CP'!L117</f>
        <v>1373</v>
      </c>
      <c r="I58" s="158"/>
      <c r="J58" s="145">
        <f>SUM(K58:L58)</f>
        <v>3110</v>
      </c>
      <c r="K58" s="448"/>
      <c r="L58" s="449">
        <v>3110</v>
      </c>
      <c r="M58" s="1258">
        <f t="shared" si="12"/>
        <v>1.059395498392283</v>
      </c>
    </row>
    <row r="59" spans="1:13" ht="12.75">
      <c r="A59" s="416">
        <v>56</v>
      </c>
      <c r="B59" s="417">
        <v>85</v>
      </c>
      <c r="C59" s="100" t="s">
        <v>297</v>
      </c>
      <c r="D59" s="142">
        <f t="shared" si="15"/>
        <v>0</v>
      </c>
      <c r="E59" s="143">
        <f>E22</f>
        <v>0</v>
      </c>
      <c r="F59" s="431">
        <f t="shared" si="16"/>
        <v>0</v>
      </c>
      <c r="G59" s="1015">
        <f>F22</f>
        <v>0</v>
      </c>
      <c r="H59" s="157">
        <f>'příl.1-CP'!L129</f>
        <v>0</v>
      </c>
      <c r="I59" s="158">
        <v>0</v>
      </c>
      <c r="J59" s="145">
        <v>0</v>
      </c>
      <c r="K59" s="143"/>
      <c r="L59" s="449">
        <v>0</v>
      </c>
      <c r="M59" s="1258"/>
    </row>
    <row r="60" spans="1:13" ht="12.75">
      <c r="A60" s="416">
        <v>57</v>
      </c>
      <c r="B60" s="417">
        <v>87</v>
      </c>
      <c r="C60" s="100" t="s">
        <v>468</v>
      </c>
      <c r="D60" s="142">
        <f t="shared" si="15"/>
        <v>4460</v>
      </c>
      <c r="E60" s="143"/>
      <c r="F60" s="431">
        <f t="shared" si="16"/>
        <v>4460</v>
      </c>
      <c r="G60" s="1015"/>
      <c r="H60" s="157">
        <f>'příl.1-CP'!L130+'příl.1-CP'!L82</f>
        <v>4460</v>
      </c>
      <c r="I60" s="158"/>
      <c r="J60" s="145">
        <v>0</v>
      </c>
      <c r="K60" s="143"/>
      <c r="L60" s="449"/>
      <c r="M60" s="1258"/>
    </row>
    <row r="61" spans="1:13" ht="12.75">
      <c r="A61" s="416">
        <v>58</v>
      </c>
      <c r="B61" s="417">
        <v>92</v>
      </c>
      <c r="C61" s="100" t="s">
        <v>22</v>
      </c>
      <c r="D61" s="142">
        <f t="shared" si="15"/>
        <v>134823.3</v>
      </c>
      <c r="E61" s="143">
        <f>E24</f>
        <v>0</v>
      </c>
      <c r="F61" s="431">
        <f t="shared" si="16"/>
        <v>134823.3</v>
      </c>
      <c r="G61" s="1015">
        <f>F24</f>
        <v>102528.3</v>
      </c>
      <c r="H61" s="157">
        <f>'příl.1-CP'!L111+'příl.1-CP'!L17</f>
        <v>32295</v>
      </c>
      <c r="I61" s="158">
        <v>0</v>
      </c>
      <c r="J61" s="145">
        <f>SUM(K61:L61)</f>
        <v>128545</v>
      </c>
      <c r="K61" s="143"/>
      <c r="L61" s="449">
        <v>128545</v>
      </c>
      <c r="M61" s="1258">
        <f t="shared" si="12"/>
        <v>1.0488412618149285</v>
      </c>
    </row>
    <row r="62" spans="1:13" ht="12.75">
      <c r="A62" s="416">
        <v>59</v>
      </c>
      <c r="B62" s="417">
        <v>96</v>
      </c>
      <c r="C62" s="100" t="s">
        <v>52</v>
      </c>
      <c r="D62" s="142">
        <f t="shared" si="15"/>
        <v>28603.63</v>
      </c>
      <c r="E62" s="143">
        <f>E25</f>
        <v>0</v>
      </c>
      <c r="F62" s="431">
        <f t="shared" si="16"/>
        <v>28603.63</v>
      </c>
      <c r="G62" s="1015">
        <f>F25</f>
        <v>28471.63</v>
      </c>
      <c r="H62" s="157">
        <f>'příl.1-CP'!L19</f>
        <v>132</v>
      </c>
      <c r="I62" s="158">
        <v>0</v>
      </c>
      <c r="J62" s="145">
        <f>SUM(K62:L62)</f>
        <v>26667</v>
      </c>
      <c r="K62" s="143"/>
      <c r="L62" s="449">
        <v>26667</v>
      </c>
      <c r="M62" s="1258">
        <f t="shared" si="12"/>
        <v>1.0726227172160347</v>
      </c>
    </row>
    <row r="63" spans="1:13" ht="12.75">
      <c r="A63" s="416">
        <v>60</v>
      </c>
      <c r="B63" s="417">
        <v>97</v>
      </c>
      <c r="C63" s="100" t="s">
        <v>53</v>
      </c>
      <c r="D63" s="142">
        <f t="shared" si="15"/>
        <v>8365.43</v>
      </c>
      <c r="E63" s="143">
        <f>E26</f>
        <v>0</v>
      </c>
      <c r="F63" s="431">
        <f t="shared" si="16"/>
        <v>8365.43</v>
      </c>
      <c r="G63" s="1015">
        <f>F26</f>
        <v>8291.43</v>
      </c>
      <c r="H63" s="157">
        <f>'příl.1-CP'!L20</f>
        <v>74</v>
      </c>
      <c r="I63" s="158">
        <v>0</v>
      </c>
      <c r="J63" s="145">
        <f>SUM(K63:L63)</f>
        <v>7820</v>
      </c>
      <c r="K63" s="143"/>
      <c r="L63" s="449">
        <v>7820</v>
      </c>
      <c r="M63" s="1258">
        <f t="shared" si="12"/>
        <v>1.0697480818414322</v>
      </c>
    </row>
    <row r="64" spans="1:13" ht="12.75">
      <c r="A64" s="418">
        <v>61</v>
      </c>
      <c r="B64" s="419">
        <v>99</v>
      </c>
      <c r="C64" s="121" t="s">
        <v>213</v>
      </c>
      <c r="D64" s="70">
        <f t="shared" si="15"/>
        <v>196231.02000000002</v>
      </c>
      <c r="E64" s="22">
        <f>E27</f>
        <v>0</v>
      </c>
      <c r="F64" s="446">
        <f t="shared" si="16"/>
        <v>196231.02000000002</v>
      </c>
      <c r="G64" s="1014">
        <f>F27</f>
        <v>82209.02</v>
      </c>
      <c r="H64" s="447">
        <f>'příl.1-CP'!L79+'příl.1-CP'!L21+'příl.1-CP'!L22</f>
        <v>98022</v>
      </c>
      <c r="I64" s="43">
        <f>'příl.1-CP'!L120</f>
        <v>16000</v>
      </c>
      <c r="J64" s="67">
        <f>SUM(K64:L64)</f>
        <v>205042</v>
      </c>
      <c r="K64" s="22"/>
      <c r="L64" s="449">
        <v>205042</v>
      </c>
      <c r="M64" s="1258">
        <f t="shared" si="12"/>
        <v>0.9570284136908537</v>
      </c>
    </row>
    <row r="65" spans="1:13" ht="12.75">
      <c r="A65" s="33">
        <v>62</v>
      </c>
      <c r="B65" s="36" t="s">
        <v>214</v>
      </c>
      <c r="C65" s="36"/>
      <c r="D65" s="71">
        <f aca="true" t="shared" si="17" ref="D65:I65">SUM(D55:D64)</f>
        <v>380150.35</v>
      </c>
      <c r="E65" s="126">
        <f t="shared" si="17"/>
        <v>0</v>
      </c>
      <c r="F65" s="127">
        <f>SUM(F55:F64)</f>
        <v>380150.35</v>
      </c>
      <c r="G65" s="126">
        <f t="shared" si="17"/>
        <v>227354.34999999998</v>
      </c>
      <c r="H65" s="128">
        <f t="shared" si="17"/>
        <v>136796</v>
      </c>
      <c r="I65" s="129">
        <f t="shared" si="17"/>
        <v>16000</v>
      </c>
      <c r="J65" s="130">
        <f>SUM(J55:J64)</f>
        <v>375255</v>
      </c>
      <c r="K65" s="131">
        <f>SUM(K59:K64)</f>
        <v>0</v>
      </c>
      <c r="L65" s="132">
        <f>SUM(L55:L64)</f>
        <v>375255</v>
      </c>
      <c r="M65" s="1258">
        <f t="shared" si="12"/>
        <v>1.0130453957975243</v>
      </c>
    </row>
    <row r="66" spans="1:13" ht="13.5" thickBot="1">
      <c r="A66" s="437">
        <v>63</v>
      </c>
      <c r="B66" s="152" t="s">
        <v>209</v>
      </c>
      <c r="C66" s="152"/>
      <c r="D66" s="153">
        <f>SUM(E66:F66)</f>
        <v>99000</v>
      </c>
      <c r="E66" s="154">
        <v>0</v>
      </c>
      <c r="F66" s="162">
        <f>SUM(G66:I66)</f>
        <v>99000</v>
      </c>
      <c r="G66" s="163"/>
      <c r="H66" s="164">
        <f>'příl.1-CP'!L6</f>
        <v>99000</v>
      </c>
      <c r="I66" s="165">
        <v>0</v>
      </c>
      <c r="J66" s="155">
        <f>SUM(K66:L66)</f>
        <v>99000</v>
      </c>
      <c r="K66" s="154">
        <v>0</v>
      </c>
      <c r="L66" s="166">
        <v>99000</v>
      </c>
      <c r="M66" s="1258">
        <f t="shared" si="12"/>
        <v>1</v>
      </c>
    </row>
    <row r="67" spans="1:13" ht="14.25" customHeight="1" thickBot="1">
      <c r="A67" s="87">
        <v>64</v>
      </c>
      <c r="B67" s="27" t="s">
        <v>68</v>
      </c>
      <c r="C67" s="28"/>
      <c r="D67" s="79">
        <f>D54+D65+D66</f>
        <v>1908149.35</v>
      </c>
      <c r="E67" s="23">
        <f>E54+E65</f>
        <v>121970</v>
      </c>
      <c r="F67" s="29">
        <f>F54+F65+F66</f>
        <v>1786179.35</v>
      </c>
      <c r="G67" s="83">
        <f>G54+G65+G66</f>
        <v>1451922.35</v>
      </c>
      <c r="H67" s="86">
        <f>H54+H65+H66</f>
        <v>318257</v>
      </c>
      <c r="I67" s="84">
        <f>I54+I65+G66</f>
        <v>16000</v>
      </c>
      <c r="J67" s="90">
        <f>J54+SUM(J65:J66)</f>
        <v>1804816</v>
      </c>
      <c r="K67" s="88">
        <f>SUM(K65:K66)+K54</f>
        <v>119959</v>
      </c>
      <c r="L67" s="93">
        <f>SUM(L65:L66)+L54</f>
        <v>1684857</v>
      </c>
      <c r="M67" s="1258">
        <f t="shared" si="12"/>
        <v>1.0572542297940621</v>
      </c>
    </row>
    <row r="68" spans="1:13" s="1017" customFormat="1" ht="13.5">
      <c r="A68" s="1016" t="s">
        <v>482</v>
      </c>
      <c r="D68" s="1018"/>
      <c r="E68" s="1018"/>
      <c r="G68" s="1018"/>
      <c r="H68" s="1018"/>
      <c r="I68" s="1018"/>
      <c r="L68" s="1018"/>
      <c r="M68" s="1259"/>
    </row>
    <row r="69" spans="1:13" s="1" customFormat="1" ht="14.25">
      <c r="A69" s="506"/>
      <c r="D69" s="1214"/>
      <c r="E69" s="507"/>
      <c r="G69" s="507"/>
      <c r="H69" s="507"/>
      <c r="I69" s="1178"/>
      <c r="M69" s="1260"/>
    </row>
    <row r="70" spans="1:13" s="15" customFormat="1" ht="11.25">
      <c r="A70" s="1234" t="s">
        <v>73</v>
      </c>
      <c r="D70" s="1235"/>
      <c r="H70" s="1235"/>
      <c r="I70" s="1178"/>
      <c r="M70" s="1261"/>
    </row>
    <row r="71" spans="1:13" s="15" customFormat="1" ht="11.25">
      <c r="A71" s="15" t="s">
        <v>74</v>
      </c>
      <c r="C71" s="15" t="s">
        <v>391</v>
      </c>
      <c r="M71" s="1261"/>
    </row>
    <row r="72" spans="1:13" s="15" customFormat="1" ht="11.25">
      <c r="A72" s="15" t="s">
        <v>75</v>
      </c>
      <c r="C72" s="15" t="s">
        <v>392</v>
      </c>
      <c r="M72" s="1261"/>
    </row>
    <row r="73" spans="1:13" s="15" customFormat="1" ht="11.25">
      <c r="A73" s="15" t="s">
        <v>153</v>
      </c>
      <c r="C73" s="15" t="s">
        <v>393</v>
      </c>
      <c r="M73" s="1261"/>
    </row>
    <row r="74" spans="1:13" s="15" customFormat="1" ht="11.25">
      <c r="A74" s="15" t="s">
        <v>371</v>
      </c>
      <c r="C74" s="1236" t="s">
        <v>394</v>
      </c>
      <c r="M74" s="1261"/>
    </row>
    <row r="75" spans="3:13" s="15" customFormat="1" ht="11.25">
      <c r="C75" s="955"/>
      <c r="M75" s="1261"/>
    </row>
    <row r="76" spans="1:13" s="15" customFormat="1" ht="11.25">
      <c r="A76" s="1237" t="s">
        <v>502</v>
      </c>
      <c r="B76" s="1237"/>
      <c r="C76" s="1237"/>
      <c r="D76" s="15" t="s">
        <v>490</v>
      </c>
      <c r="E76" s="15" t="s">
        <v>491</v>
      </c>
      <c r="H76" s="1238"/>
      <c r="I76" s="1238"/>
      <c r="J76" s="1238"/>
      <c r="K76" s="1238"/>
      <c r="L76" s="1238"/>
      <c r="M76" s="1261"/>
    </row>
    <row r="77" spans="1:13" s="15" customFormat="1" ht="11.25">
      <c r="A77" s="1237"/>
      <c r="E77" s="918" t="s">
        <v>492</v>
      </c>
      <c r="G77" s="918"/>
      <c r="J77" s="15" t="s">
        <v>494</v>
      </c>
      <c r="M77" s="1261"/>
    </row>
    <row r="78" spans="5:7" ht="12.75">
      <c r="E78" s="1255"/>
      <c r="G78" s="1255"/>
    </row>
    <row r="79" spans="5:13" s="15" customFormat="1" ht="11.25">
      <c r="E79" s="918" t="s">
        <v>493</v>
      </c>
      <c r="G79" s="918"/>
      <c r="H79" s="1238"/>
      <c r="I79" s="1238"/>
      <c r="J79" s="1238"/>
      <c r="K79" s="1238"/>
      <c r="L79" s="1238"/>
      <c r="M79" s="1261"/>
    </row>
    <row r="80" spans="5:13" s="15" customFormat="1" ht="11.25">
      <c r="E80" s="918" t="s">
        <v>497</v>
      </c>
      <c r="G80" s="918"/>
      <c r="J80" s="15" t="s">
        <v>494</v>
      </c>
      <c r="M80" s="1261"/>
    </row>
    <row r="81" spans="6:7" ht="12.75">
      <c r="F81" s="1255"/>
      <c r="G81" s="1255"/>
    </row>
    <row r="82" spans="6:7" ht="12.75">
      <c r="F82" s="1255"/>
      <c r="G82" s="1255"/>
    </row>
  </sheetData>
  <mergeCells count="9">
    <mergeCell ref="J41:L41"/>
    <mergeCell ref="E42:F42"/>
    <mergeCell ref="K42:L42"/>
    <mergeCell ref="G43:I43"/>
    <mergeCell ref="D41:F41"/>
    <mergeCell ref="D4:F4"/>
    <mergeCell ref="E5:F5"/>
    <mergeCell ref="G4:I4"/>
    <mergeCell ref="H5:I5"/>
  </mergeCells>
  <printOptions/>
  <pageMargins left="0.57" right="0.3" top="0.68" bottom="0.34" header="0.4921259845" footer="0.19"/>
  <pageSetup horizontalDpi="1200" verticalDpi="1200" orientation="landscape" paperSize="9" r:id="rId1"/>
  <headerFooter alignWithMargins="0">
    <oddFooter>&amp;C&amp;P+4
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8"/>
  <sheetViews>
    <sheetView workbookViewId="0" topLeftCell="A102">
      <selection activeCell="M139" sqref="M139"/>
    </sheetView>
  </sheetViews>
  <sheetFormatPr defaultColWidth="9.00390625" defaultRowHeight="12.75"/>
  <cols>
    <col min="1" max="1" width="4.375" style="314" customWidth="1"/>
    <col min="2" max="2" width="3.875" style="313" customWidth="1"/>
    <col min="3" max="3" width="52.625" style="314" bestFit="1" customWidth="1"/>
    <col min="4" max="6" width="6.625" style="315" hidden="1" customWidth="1"/>
    <col min="7" max="7" width="6.625" style="324" hidden="1" customWidth="1"/>
    <col min="8" max="8" width="7.375" style="324" hidden="1" customWidth="1"/>
    <col min="9" max="9" width="8.00390625" style="315" hidden="1" customWidth="1"/>
    <col min="10" max="10" width="9.375" style="324" customWidth="1"/>
    <col min="11" max="11" width="9.00390625" style="315" hidden="1" customWidth="1"/>
    <col min="12" max="12" width="10.75390625" style="315" customWidth="1"/>
    <col min="13" max="16384" width="9.125" style="314" customWidth="1"/>
  </cols>
  <sheetData>
    <row r="1" spans="1:12" ht="15.75">
      <c r="A1" s="312" t="s">
        <v>466</v>
      </c>
      <c r="G1" s="315"/>
      <c r="H1" s="315"/>
      <c r="I1" s="325"/>
      <c r="J1" s="1097"/>
      <c r="K1" s="569"/>
      <c r="L1" s="569"/>
    </row>
    <row r="2" spans="2:12" s="316" customFormat="1" ht="23.25" thickBot="1">
      <c r="B2" s="317"/>
      <c r="D2" s="315"/>
      <c r="E2" s="315"/>
      <c r="F2" s="315"/>
      <c r="G2" s="315"/>
      <c r="I2" s="325"/>
      <c r="J2" s="570"/>
      <c r="K2" s="1098" t="s">
        <v>435</v>
      </c>
      <c r="L2" s="1099"/>
    </row>
    <row r="3" spans="1:12" ht="12.75" customHeight="1">
      <c r="A3" s="318"/>
      <c r="B3" s="319"/>
      <c r="C3" s="320"/>
      <c r="D3" s="571" t="s">
        <v>54</v>
      </c>
      <c r="E3" s="571" t="s">
        <v>54</v>
      </c>
      <c r="F3" s="571" t="s">
        <v>54</v>
      </c>
      <c r="G3" s="571" t="s">
        <v>54</v>
      </c>
      <c r="H3" s="572" t="s">
        <v>54</v>
      </c>
      <c r="I3" s="798" t="s">
        <v>251</v>
      </c>
      <c r="J3" s="1100" t="s">
        <v>252</v>
      </c>
      <c r="K3" s="513" t="s">
        <v>54</v>
      </c>
      <c r="L3" s="513" t="s">
        <v>54</v>
      </c>
    </row>
    <row r="4" spans="1:12" ht="12.75" customHeight="1" thickBot="1">
      <c r="A4" s="321"/>
      <c r="B4" s="322" t="s">
        <v>55</v>
      </c>
      <c r="C4" s="323" t="s">
        <v>56</v>
      </c>
      <c r="D4" s="573">
        <v>2002</v>
      </c>
      <c r="E4" s="573">
        <v>2003</v>
      </c>
      <c r="F4" s="573">
        <v>2004</v>
      </c>
      <c r="G4" s="573">
        <v>2005</v>
      </c>
      <c r="H4" s="574">
        <v>2006</v>
      </c>
      <c r="I4" s="799" t="s">
        <v>253</v>
      </c>
      <c r="J4" s="1101">
        <v>2007</v>
      </c>
      <c r="K4" s="514">
        <v>2008</v>
      </c>
      <c r="L4" s="514">
        <v>2008</v>
      </c>
    </row>
    <row r="5" spans="1:12" ht="12.75" customHeight="1" thickBot="1">
      <c r="A5" s="515"/>
      <c r="B5" s="516"/>
      <c r="C5" s="517" t="s">
        <v>244</v>
      </c>
      <c r="D5" s="575">
        <f>D6+D9+D10+D22</f>
        <v>96800</v>
      </c>
      <c r="E5" s="576">
        <f>E6+E9+E10+E22</f>
        <v>135000</v>
      </c>
      <c r="F5" s="575">
        <f>F6+F9+F10+F22</f>
        <v>149727</v>
      </c>
      <c r="G5" s="576">
        <f>G6+G9+G10+G22</f>
        <v>208145</v>
      </c>
      <c r="H5" s="577">
        <f>H6+H9+H10+H22</f>
        <v>169333</v>
      </c>
      <c r="I5" s="812">
        <f>I6+SUM(I9:I10)+I22</f>
        <v>0</v>
      </c>
      <c r="J5" s="1102">
        <f>J6+SUM(J9:J10)+J22</f>
        <v>185234</v>
      </c>
      <c r="K5" s="824">
        <f>K6+SUM(K9:K10)+K22</f>
        <v>180553</v>
      </c>
      <c r="L5" s="824">
        <f>L6+SUM(L9:L10)+L22</f>
        <v>183265</v>
      </c>
    </row>
    <row r="6" spans="1:12" s="325" customFormat="1" ht="12.75" customHeight="1">
      <c r="A6" s="518"/>
      <c r="B6" s="578">
        <v>1</v>
      </c>
      <c r="C6" s="579" t="s">
        <v>219</v>
      </c>
      <c r="D6" s="580">
        <v>88000</v>
      </c>
      <c r="E6" s="580">
        <v>89000</v>
      </c>
      <c r="F6" s="581"/>
      <c r="G6" s="581">
        <v>88000</v>
      </c>
      <c r="H6" s="582">
        <v>99000</v>
      </c>
      <c r="I6" s="813">
        <f>SUM(I7:I8)</f>
        <v>0</v>
      </c>
      <c r="J6" s="1103">
        <f>SUM(J7:J8)</f>
        <v>99000</v>
      </c>
      <c r="K6" s="825">
        <f>SUM(K7:K8)</f>
        <v>99000</v>
      </c>
      <c r="L6" s="825">
        <f>SUM(L7:L8)</f>
        <v>99000</v>
      </c>
    </row>
    <row r="7" spans="1:12" s="325" customFormat="1" ht="12.75" customHeight="1">
      <c r="A7" s="329"/>
      <c r="B7" s="519"/>
      <c r="C7" s="536" t="s">
        <v>254</v>
      </c>
      <c r="D7" s="583"/>
      <c r="E7" s="583"/>
      <c r="F7" s="584"/>
      <c r="G7" s="584"/>
      <c r="H7" s="537"/>
      <c r="I7" s="814"/>
      <c r="J7" s="1104">
        <v>23960</v>
      </c>
      <c r="K7" s="826">
        <v>40093</v>
      </c>
      <c r="L7" s="826">
        <v>40093</v>
      </c>
    </row>
    <row r="8" spans="1:12" s="325" customFormat="1" ht="12.75" customHeight="1">
      <c r="A8" s="329"/>
      <c r="B8" s="519"/>
      <c r="C8" s="585" t="s">
        <v>255</v>
      </c>
      <c r="D8" s="586"/>
      <c r="E8" s="586"/>
      <c r="F8" s="587"/>
      <c r="G8" s="587"/>
      <c r="H8" s="588"/>
      <c r="I8" s="815"/>
      <c r="J8" s="1105">
        <v>75040</v>
      </c>
      <c r="K8" s="827">
        <f>56716+2191</f>
        <v>58907</v>
      </c>
      <c r="L8" s="827">
        <f>99000-L7</f>
        <v>58907</v>
      </c>
    </row>
    <row r="9" spans="1:12" s="325" customFormat="1" ht="12.75" customHeight="1">
      <c r="A9" s="329"/>
      <c r="B9" s="589">
        <v>2</v>
      </c>
      <c r="C9" s="590" t="s">
        <v>256</v>
      </c>
      <c r="D9" s="591"/>
      <c r="E9" s="591"/>
      <c r="F9" s="592">
        <v>92280</v>
      </c>
      <c r="G9" s="592">
        <v>21517</v>
      </c>
      <c r="H9" s="593">
        <v>38176</v>
      </c>
      <c r="I9" s="816">
        <v>0</v>
      </c>
      <c r="J9" s="1106">
        <v>41148</v>
      </c>
      <c r="K9" s="1107">
        <f>J9</f>
        <v>41148</v>
      </c>
      <c r="L9" s="1247">
        <f>'příl.4-odhad odpisu08'!Z26</f>
        <v>48601</v>
      </c>
    </row>
    <row r="10" spans="1:12" s="326" customFormat="1" ht="12.75" customHeight="1">
      <c r="A10" s="329"/>
      <c r="B10" s="589">
        <v>3</v>
      </c>
      <c r="C10" s="590" t="s">
        <v>220</v>
      </c>
      <c r="D10" s="591">
        <f aca="true" t="shared" si="0" ref="D10:L10">SUM(D11:D21)</f>
        <v>0</v>
      </c>
      <c r="E10" s="591">
        <f t="shared" si="0"/>
        <v>13000</v>
      </c>
      <c r="F10" s="591">
        <f t="shared" si="0"/>
        <v>37547</v>
      </c>
      <c r="G10" s="591">
        <f t="shared" si="0"/>
        <v>19628</v>
      </c>
      <c r="H10" s="594">
        <f t="shared" si="0"/>
        <v>22520</v>
      </c>
      <c r="I10" s="817">
        <f t="shared" si="0"/>
        <v>0</v>
      </c>
      <c r="J10" s="1108">
        <f t="shared" si="0"/>
        <v>21905</v>
      </c>
      <c r="K10" s="795">
        <f t="shared" si="0"/>
        <v>21905</v>
      </c>
      <c r="L10" s="795">
        <f t="shared" si="0"/>
        <v>17164</v>
      </c>
    </row>
    <row r="11" spans="1:12" s="326" customFormat="1" ht="12.75" customHeight="1">
      <c r="A11" s="338"/>
      <c r="B11" s="520"/>
      <c r="C11" s="521" t="s">
        <v>61</v>
      </c>
      <c r="D11" s="595"/>
      <c r="E11" s="596"/>
      <c r="F11" s="596">
        <v>7078</v>
      </c>
      <c r="G11" s="596"/>
      <c r="H11" s="522">
        <v>0</v>
      </c>
      <c r="I11" s="803"/>
      <c r="J11" s="1109">
        <v>0</v>
      </c>
      <c r="K11" s="1110">
        <f aca="true" t="shared" si="1" ref="K11:K21">J11</f>
        <v>0</v>
      </c>
      <c r="L11" s="1248">
        <v>0</v>
      </c>
    </row>
    <row r="12" spans="1:12" s="326" customFormat="1" ht="12.75" customHeight="1">
      <c r="A12" s="338"/>
      <c r="B12" s="520"/>
      <c r="C12" s="523" t="s">
        <v>177</v>
      </c>
      <c r="D12" s="597"/>
      <c r="E12" s="598"/>
      <c r="F12" s="598"/>
      <c r="G12" s="598"/>
      <c r="H12" s="524">
        <v>0</v>
      </c>
      <c r="I12" s="811"/>
      <c r="J12" s="1111">
        <v>0</v>
      </c>
      <c r="K12" s="1110">
        <f t="shared" si="1"/>
        <v>0</v>
      </c>
      <c r="L12" s="1248">
        <v>0</v>
      </c>
    </row>
    <row r="13" spans="1:12" s="326" customFormat="1" ht="12.75" customHeight="1">
      <c r="A13" s="338"/>
      <c r="B13" s="520"/>
      <c r="C13" s="523" t="s">
        <v>205</v>
      </c>
      <c r="D13" s="597"/>
      <c r="E13" s="598"/>
      <c r="F13" s="598"/>
      <c r="G13" s="598">
        <v>300</v>
      </c>
      <c r="H13" s="524">
        <v>395</v>
      </c>
      <c r="I13" s="811"/>
      <c r="J13" s="1111">
        <v>396</v>
      </c>
      <c r="K13" s="1110">
        <f t="shared" si="1"/>
        <v>396</v>
      </c>
      <c r="L13" s="1248">
        <f>'příl.4-odhad odpisu08'!Z17</f>
        <v>440</v>
      </c>
    </row>
    <row r="14" spans="1:12" s="326" customFormat="1" ht="12.75" customHeight="1">
      <c r="A14" s="338"/>
      <c r="B14" s="520"/>
      <c r="C14" s="523" t="s">
        <v>193</v>
      </c>
      <c r="D14" s="597"/>
      <c r="E14" s="598"/>
      <c r="F14" s="598"/>
      <c r="G14" s="598">
        <v>114</v>
      </c>
      <c r="H14" s="524">
        <v>30</v>
      </c>
      <c r="I14" s="811"/>
      <c r="J14" s="1111">
        <v>64</v>
      </c>
      <c r="K14" s="1110">
        <f t="shared" si="1"/>
        <v>64</v>
      </c>
      <c r="L14" s="1248">
        <f>'příl.4-odhad odpisu08'!Z18</f>
        <v>123</v>
      </c>
    </row>
    <row r="15" spans="1:12" s="326" customFormat="1" ht="12.75" customHeight="1">
      <c r="A15" s="338"/>
      <c r="B15" s="520"/>
      <c r="C15" s="523" t="s">
        <v>257</v>
      </c>
      <c r="D15" s="597"/>
      <c r="E15" s="598"/>
      <c r="F15" s="598"/>
      <c r="G15" s="598"/>
      <c r="H15" s="524">
        <v>0</v>
      </c>
      <c r="I15" s="811"/>
      <c r="J15" s="1111">
        <v>0</v>
      </c>
      <c r="K15" s="1110">
        <f t="shared" si="1"/>
        <v>0</v>
      </c>
      <c r="L15" s="1248">
        <v>0</v>
      </c>
    </row>
    <row r="16" spans="1:12" s="326" customFormat="1" ht="12.75" customHeight="1" hidden="1">
      <c r="A16" s="338"/>
      <c r="B16" s="520"/>
      <c r="C16" s="523" t="s">
        <v>221</v>
      </c>
      <c r="D16" s="597"/>
      <c r="E16" s="598"/>
      <c r="F16" s="598">
        <v>381</v>
      </c>
      <c r="G16" s="598"/>
      <c r="H16" s="524"/>
      <c r="I16" s="811"/>
      <c r="J16" s="1111">
        <v>0</v>
      </c>
      <c r="K16" s="1110">
        <f t="shared" si="1"/>
        <v>0</v>
      </c>
      <c r="L16" s="1248">
        <v>0</v>
      </c>
    </row>
    <row r="17" spans="1:12" s="326" customFormat="1" ht="12.75" customHeight="1">
      <c r="A17" s="338"/>
      <c r="B17" s="520"/>
      <c r="C17" s="523" t="s">
        <v>222</v>
      </c>
      <c r="D17" s="597"/>
      <c r="E17" s="598">
        <v>13000</v>
      </c>
      <c r="F17" s="598">
        <f>9708+17263</f>
        <v>26971</v>
      </c>
      <c r="G17" s="598">
        <v>18314</v>
      </c>
      <c r="H17" s="524">
        <v>20182</v>
      </c>
      <c r="I17" s="811"/>
      <c r="J17" s="1111">
        <v>19690</v>
      </c>
      <c r="K17" s="1110">
        <f t="shared" si="1"/>
        <v>19690</v>
      </c>
      <c r="L17" s="1248">
        <f>'příl.4-odhad odpisu08'!Z20</f>
        <v>14235</v>
      </c>
    </row>
    <row r="18" spans="1:12" s="326" customFormat="1" ht="12.75" customHeight="1">
      <c r="A18" s="338"/>
      <c r="B18" s="520"/>
      <c r="C18" s="523" t="s">
        <v>151</v>
      </c>
      <c r="D18" s="597"/>
      <c r="E18" s="598"/>
      <c r="F18" s="598"/>
      <c r="G18" s="598"/>
      <c r="H18" s="524">
        <v>0</v>
      </c>
      <c r="I18" s="811"/>
      <c r="J18" s="1111">
        <v>0</v>
      </c>
      <c r="K18" s="1110">
        <f t="shared" si="1"/>
        <v>0</v>
      </c>
      <c r="L18" s="1248">
        <v>0</v>
      </c>
    </row>
    <row r="19" spans="1:12" s="327" customFormat="1" ht="12.75" customHeight="1">
      <c r="A19" s="338"/>
      <c r="B19" s="520"/>
      <c r="C19" s="523" t="s">
        <v>62</v>
      </c>
      <c r="D19" s="597"/>
      <c r="E19" s="598"/>
      <c r="F19" s="598">
        <v>68</v>
      </c>
      <c r="G19" s="598">
        <v>60</v>
      </c>
      <c r="H19" s="524">
        <v>42</v>
      </c>
      <c r="I19" s="811"/>
      <c r="J19" s="1111">
        <v>58</v>
      </c>
      <c r="K19" s="1110">
        <f t="shared" si="1"/>
        <v>58</v>
      </c>
      <c r="L19" s="1248">
        <f>'příl.4-odhad odpisu08'!Z22</f>
        <v>132</v>
      </c>
    </row>
    <row r="20" spans="1:12" s="325" customFormat="1" ht="12.75" customHeight="1">
      <c r="A20" s="338"/>
      <c r="B20" s="520"/>
      <c r="C20" s="523" t="s">
        <v>63</v>
      </c>
      <c r="D20" s="597"/>
      <c r="E20" s="598"/>
      <c r="F20" s="598">
        <v>74</v>
      </c>
      <c r="G20" s="598">
        <v>63</v>
      </c>
      <c r="H20" s="524">
        <v>64</v>
      </c>
      <c r="I20" s="811"/>
      <c r="J20" s="1111">
        <v>71</v>
      </c>
      <c r="K20" s="1110">
        <f t="shared" si="1"/>
        <v>71</v>
      </c>
      <c r="L20" s="1248">
        <f>'příl.4-odhad odpisu08'!Z23</f>
        <v>74</v>
      </c>
    </row>
    <row r="21" spans="1:12" s="327" customFormat="1" ht="12.75" customHeight="1">
      <c r="A21" s="525"/>
      <c r="B21" s="526"/>
      <c r="C21" s="527" t="s">
        <v>178</v>
      </c>
      <c r="D21" s="599"/>
      <c r="E21" s="600"/>
      <c r="F21" s="600">
        <v>2975</v>
      </c>
      <c r="G21" s="600">
        <v>777</v>
      </c>
      <c r="H21" s="528">
        <v>1807</v>
      </c>
      <c r="I21" s="818"/>
      <c r="J21" s="1111">
        <v>1626</v>
      </c>
      <c r="K21" s="1110">
        <f t="shared" si="1"/>
        <v>1626</v>
      </c>
      <c r="L21" s="1248">
        <f>'příl.4-odhad odpisu08'!Z24</f>
        <v>2160</v>
      </c>
    </row>
    <row r="22" spans="1:15" s="327" customFormat="1" ht="12.75">
      <c r="A22" s="329"/>
      <c r="B22" s="589">
        <v>4</v>
      </c>
      <c r="C22" s="601" t="s">
        <v>179</v>
      </c>
      <c r="D22" s="602">
        <f aca="true" t="shared" si="2" ref="D22:L22">SUM(D23:D24)</f>
        <v>8800</v>
      </c>
      <c r="E22" s="602">
        <f t="shared" si="2"/>
        <v>33000</v>
      </c>
      <c r="F22" s="591">
        <f t="shared" si="2"/>
        <v>19900</v>
      </c>
      <c r="G22" s="591">
        <f t="shared" si="2"/>
        <v>79000</v>
      </c>
      <c r="H22" s="594">
        <f t="shared" si="2"/>
        <v>9637</v>
      </c>
      <c r="I22" s="817">
        <f t="shared" si="2"/>
        <v>0</v>
      </c>
      <c r="J22" s="1108">
        <f t="shared" si="2"/>
        <v>23181</v>
      </c>
      <c r="K22" s="795">
        <f t="shared" si="2"/>
        <v>18500</v>
      </c>
      <c r="L22" s="795">
        <f t="shared" si="2"/>
        <v>18500</v>
      </c>
      <c r="M22" s="1112"/>
      <c r="N22" s="1112"/>
      <c r="O22" s="1112"/>
    </row>
    <row r="23" spans="1:12" ht="13.5">
      <c r="A23" s="525"/>
      <c r="B23" s="603"/>
      <c r="C23" s="521" t="s">
        <v>372</v>
      </c>
      <c r="D23" s="604"/>
      <c r="E23" s="605">
        <v>13000</v>
      </c>
      <c r="F23" s="605">
        <v>10000</v>
      </c>
      <c r="G23" s="605">
        <v>41000</v>
      </c>
      <c r="H23" s="529">
        <v>0</v>
      </c>
      <c r="I23" s="802"/>
      <c r="J23" s="1113">
        <v>19681</v>
      </c>
      <c r="K23" s="907">
        <f>12384+6116</f>
        <v>18500</v>
      </c>
      <c r="L23" s="907">
        <v>18500</v>
      </c>
    </row>
    <row r="24" spans="1:12" ht="12.75" thickBot="1">
      <c r="A24" s="908"/>
      <c r="B24" s="909"/>
      <c r="C24" s="910" t="s">
        <v>180</v>
      </c>
      <c r="D24" s="911">
        <v>8800</v>
      </c>
      <c r="E24" s="911">
        <v>20000</v>
      </c>
      <c r="F24" s="911">
        <v>9900</v>
      </c>
      <c r="G24" s="911">
        <v>38000</v>
      </c>
      <c r="H24" s="912">
        <v>9637</v>
      </c>
      <c r="I24" s="913"/>
      <c r="J24" s="1114">
        <v>3500</v>
      </c>
      <c r="K24" s="914"/>
      <c r="L24" s="914"/>
    </row>
    <row r="25" spans="1:12" ht="12.75" customHeight="1" hidden="1" thickBot="1">
      <c r="A25" s="525"/>
      <c r="B25" s="606"/>
      <c r="C25" s="521" t="s">
        <v>258</v>
      </c>
      <c r="D25" s="607"/>
      <c r="E25" s="608"/>
      <c r="F25" s="607"/>
      <c r="G25" s="608"/>
      <c r="H25" s="609"/>
      <c r="I25" s="819"/>
      <c r="J25" s="1115">
        <v>75750</v>
      </c>
      <c r="K25" s="829"/>
      <c r="L25" s="829"/>
    </row>
    <row r="26" spans="1:12" ht="12.75" thickBot="1">
      <c r="A26" s="515"/>
      <c r="B26" s="516"/>
      <c r="C26" s="517" t="s">
        <v>181</v>
      </c>
      <c r="D26" s="575">
        <f>D79+D85+D111</f>
        <v>75279</v>
      </c>
      <c r="E26" s="576">
        <f>E79+E85+E111</f>
        <v>59485</v>
      </c>
      <c r="F26" s="575">
        <f>F79+F85+F111</f>
        <v>69200</v>
      </c>
      <c r="G26" s="576">
        <f>G79+G85+G111</f>
        <v>71185</v>
      </c>
      <c r="H26" s="610">
        <f>H79+H85+H111+H115+H119</f>
        <v>113878</v>
      </c>
      <c r="I26" s="812">
        <f>I79+I85+I111+I115+I119</f>
        <v>56069</v>
      </c>
      <c r="J26" s="1102">
        <f>J79+J85+J111+J115+J117+J119</f>
        <v>126313</v>
      </c>
      <c r="K26" s="824">
        <f>K79+K85+K111+K115+K117+K119</f>
        <v>138196</v>
      </c>
      <c r="L26" s="824">
        <f>L79+L82+L85+L111+L115+L117+L119</f>
        <v>134992</v>
      </c>
    </row>
    <row r="27" spans="1:12" ht="12.75" customHeight="1">
      <c r="A27" s="329"/>
      <c r="B27" s="331">
        <v>5</v>
      </c>
      <c r="C27" s="530" t="s">
        <v>223</v>
      </c>
      <c r="D27" s="611">
        <v>1300</v>
      </c>
      <c r="E27" s="611">
        <f>D27</f>
        <v>1300</v>
      </c>
      <c r="F27" s="611">
        <v>1100</v>
      </c>
      <c r="G27" s="611">
        <v>1700</v>
      </c>
      <c r="H27" s="531">
        <v>2500</v>
      </c>
      <c r="I27" s="800"/>
      <c r="J27" s="1116">
        <v>1639</v>
      </c>
      <c r="K27" s="830">
        <v>1940</v>
      </c>
      <c r="L27" s="830">
        <v>1940</v>
      </c>
    </row>
    <row r="28" spans="1:12" ht="12.75" customHeight="1">
      <c r="A28" s="329"/>
      <c r="B28" s="331">
        <v>6</v>
      </c>
      <c r="C28" s="332" t="s">
        <v>218</v>
      </c>
      <c r="D28" s="611">
        <v>350</v>
      </c>
      <c r="E28" s="611">
        <f>D28</f>
        <v>350</v>
      </c>
      <c r="F28" s="611">
        <v>360</v>
      </c>
      <c r="G28" s="611">
        <v>400</v>
      </c>
      <c r="H28" s="531">
        <v>490</v>
      </c>
      <c r="I28" s="800"/>
      <c r="J28" s="1116">
        <v>800</v>
      </c>
      <c r="K28" s="830">
        <v>800</v>
      </c>
      <c r="L28" s="830">
        <v>800</v>
      </c>
    </row>
    <row r="29" spans="1:12" ht="12.75" customHeight="1">
      <c r="A29" s="329"/>
      <c r="B29" s="331">
        <v>7</v>
      </c>
      <c r="C29" s="846" t="s">
        <v>303</v>
      </c>
      <c r="D29" s="611">
        <v>400</v>
      </c>
      <c r="E29" s="611">
        <f>D29</f>
        <v>400</v>
      </c>
      <c r="F29" s="611">
        <v>2000</v>
      </c>
      <c r="G29" s="611">
        <v>2100</v>
      </c>
      <c r="H29" s="531">
        <v>120</v>
      </c>
      <c r="I29" s="800"/>
      <c r="J29" s="1116">
        <v>1500</v>
      </c>
      <c r="K29" s="830">
        <v>1500</v>
      </c>
      <c r="L29" s="830">
        <v>1500</v>
      </c>
    </row>
    <row r="30" spans="1:12" ht="12.75" customHeight="1">
      <c r="A30" s="329"/>
      <c r="B30" s="331">
        <v>8</v>
      </c>
      <c r="C30" s="332" t="s">
        <v>183</v>
      </c>
      <c r="D30" s="611"/>
      <c r="E30" s="611"/>
      <c r="F30" s="611"/>
      <c r="G30" s="611">
        <v>1050</v>
      </c>
      <c r="H30" s="531">
        <v>1000</v>
      </c>
      <c r="I30" s="800"/>
      <c r="J30" s="1116">
        <v>850</v>
      </c>
      <c r="K30" s="830">
        <v>1000</v>
      </c>
      <c r="L30" s="830">
        <v>1000</v>
      </c>
    </row>
    <row r="31" spans="1:12" ht="12.75" customHeight="1">
      <c r="A31" s="329"/>
      <c r="B31" s="331">
        <v>9</v>
      </c>
      <c r="C31" s="332" t="s">
        <v>436</v>
      </c>
      <c r="D31" s="611"/>
      <c r="E31" s="611"/>
      <c r="F31" s="611"/>
      <c r="G31" s="611"/>
      <c r="H31" s="531"/>
      <c r="I31" s="800"/>
      <c r="J31" s="1116"/>
      <c r="K31" s="1117">
        <v>250</v>
      </c>
      <c r="L31" s="830">
        <v>250</v>
      </c>
    </row>
    <row r="32" spans="1:12" ht="12.75" customHeight="1">
      <c r="A32" s="329"/>
      <c r="B32" s="331">
        <v>10</v>
      </c>
      <c r="C32" s="332" t="s">
        <v>57</v>
      </c>
      <c r="D32" s="611">
        <v>20000</v>
      </c>
      <c r="E32" s="611">
        <v>16900</v>
      </c>
      <c r="F32" s="611">
        <v>16304</v>
      </c>
      <c r="G32" s="611">
        <v>15500</v>
      </c>
      <c r="H32" s="531">
        <v>17540</v>
      </c>
      <c r="I32" s="800"/>
      <c r="J32" s="1116">
        <v>17762</v>
      </c>
      <c r="K32" s="830">
        <v>15300</v>
      </c>
      <c r="L32" s="830">
        <v>15300</v>
      </c>
    </row>
    <row r="33" spans="1:12" ht="12.75" customHeight="1" hidden="1">
      <c r="A33" s="329"/>
      <c r="B33" s="331">
        <v>11</v>
      </c>
      <c r="C33" s="332" t="s">
        <v>224</v>
      </c>
      <c r="D33" s="611">
        <v>48757</v>
      </c>
      <c r="E33" s="611">
        <v>10000</v>
      </c>
      <c r="F33" s="611">
        <v>7800</v>
      </c>
      <c r="G33" s="611">
        <v>6000</v>
      </c>
      <c r="H33" s="531">
        <v>0</v>
      </c>
      <c r="I33" s="800"/>
      <c r="J33" s="1116">
        <v>0</v>
      </c>
      <c r="K33" s="830"/>
      <c r="L33" s="830"/>
    </row>
    <row r="34" spans="1:12" ht="12.75" customHeight="1">
      <c r="A34" s="329"/>
      <c r="B34" s="331">
        <v>12</v>
      </c>
      <c r="C34" s="332" t="s">
        <v>184</v>
      </c>
      <c r="D34" s="611">
        <v>500</v>
      </c>
      <c r="E34" s="611">
        <f>D34</f>
        <v>500</v>
      </c>
      <c r="F34" s="611">
        <v>225</v>
      </c>
      <c r="G34" s="611">
        <v>300</v>
      </c>
      <c r="H34" s="531">
        <v>300</v>
      </c>
      <c r="I34" s="800"/>
      <c r="J34" s="1116">
        <v>300</v>
      </c>
      <c r="K34" s="830">
        <v>300</v>
      </c>
      <c r="L34" s="830">
        <v>300</v>
      </c>
    </row>
    <row r="35" spans="1:12" ht="12.75" customHeight="1">
      <c r="A35" s="329"/>
      <c r="B35" s="331">
        <v>13</v>
      </c>
      <c r="C35" s="332" t="s">
        <v>185</v>
      </c>
      <c r="D35" s="611"/>
      <c r="E35" s="611">
        <v>620</v>
      </c>
      <c r="F35" s="611">
        <v>890</v>
      </c>
      <c r="G35" s="611">
        <v>1235</v>
      </c>
      <c r="H35" s="531">
        <v>1300</v>
      </c>
      <c r="I35" s="800"/>
      <c r="J35" s="1116">
        <v>1300</v>
      </c>
      <c r="K35" s="830">
        <v>1500</v>
      </c>
      <c r="L35" s="830">
        <v>1500</v>
      </c>
    </row>
    <row r="36" spans="1:12" ht="12.75" customHeight="1" hidden="1">
      <c r="A36" s="329"/>
      <c r="B36" s="331">
        <v>14</v>
      </c>
      <c r="C36" s="847" t="s">
        <v>259</v>
      </c>
      <c r="D36" s="612"/>
      <c r="E36" s="612">
        <v>1500</v>
      </c>
      <c r="F36" s="612">
        <f>600+1500</f>
        <v>2100</v>
      </c>
      <c r="G36" s="612">
        <v>1600</v>
      </c>
      <c r="H36" s="532">
        <v>500</v>
      </c>
      <c r="I36" s="800"/>
      <c r="J36" s="1116">
        <v>0</v>
      </c>
      <c r="K36" s="830">
        <v>0</v>
      </c>
      <c r="L36" s="830">
        <v>0</v>
      </c>
    </row>
    <row r="37" spans="1:12" ht="12.75" customHeight="1">
      <c r="A37" s="329"/>
      <c r="B37" s="331">
        <v>14</v>
      </c>
      <c r="C37" s="847" t="s">
        <v>260</v>
      </c>
      <c r="D37" s="612"/>
      <c r="E37" s="612"/>
      <c r="F37" s="612"/>
      <c r="G37" s="612"/>
      <c r="H37" s="532"/>
      <c r="I37" s="800"/>
      <c r="J37" s="1116">
        <v>500</v>
      </c>
      <c r="K37" s="830">
        <v>500</v>
      </c>
      <c r="L37" s="830">
        <v>250</v>
      </c>
    </row>
    <row r="38" spans="1:12" ht="12.75" customHeight="1">
      <c r="A38" s="329"/>
      <c r="B38" s="331">
        <v>15</v>
      </c>
      <c r="C38" s="530" t="s">
        <v>186</v>
      </c>
      <c r="D38" s="612"/>
      <c r="E38" s="612">
        <v>100</v>
      </c>
      <c r="F38" s="612">
        <v>100</v>
      </c>
      <c r="G38" s="612">
        <v>100</v>
      </c>
      <c r="H38" s="532">
        <v>100</v>
      </c>
      <c r="I38" s="800"/>
      <c r="J38" s="1116">
        <v>200</v>
      </c>
      <c r="K38" s="830">
        <v>200</v>
      </c>
      <c r="L38" s="830">
        <v>200</v>
      </c>
    </row>
    <row r="39" spans="1:12" ht="12.75" customHeight="1">
      <c r="A39" s="329"/>
      <c r="B39" s="331">
        <v>16</v>
      </c>
      <c r="C39" s="332" t="s">
        <v>225</v>
      </c>
      <c r="D39" s="611"/>
      <c r="E39" s="611"/>
      <c r="F39" s="611"/>
      <c r="G39" s="611"/>
      <c r="H39" s="531">
        <v>500</v>
      </c>
      <c r="I39" s="800"/>
      <c r="J39" s="1116">
        <v>500</v>
      </c>
      <c r="K39" s="830">
        <v>500</v>
      </c>
      <c r="L39" s="830">
        <v>500</v>
      </c>
    </row>
    <row r="40" spans="1:12" ht="12.75" customHeight="1">
      <c r="A40" s="329"/>
      <c r="B40" s="331">
        <v>17</v>
      </c>
      <c r="C40" s="332" t="s">
        <v>187</v>
      </c>
      <c r="D40" s="611"/>
      <c r="E40" s="611">
        <v>212</v>
      </c>
      <c r="F40" s="611">
        <v>300</v>
      </c>
      <c r="G40" s="611">
        <v>300</v>
      </c>
      <c r="H40" s="531">
        <v>300</v>
      </c>
      <c r="I40" s="800"/>
      <c r="J40" s="1116">
        <v>350</v>
      </c>
      <c r="K40" s="830">
        <v>400</v>
      </c>
      <c r="L40" s="830">
        <v>400</v>
      </c>
    </row>
    <row r="41" spans="1:12" ht="12.75" customHeight="1">
      <c r="A41" s="329"/>
      <c r="B41" s="331">
        <v>18</v>
      </c>
      <c r="C41" s="533" t="s">
        <v>226</v>
      </c>
      <c r="D41" s="613"/>
      <c r="E41" s="613"/>
      <c r="F41" s="613"/>
      <c r="G41" s="613"/>
      <c r="H41" s="534">
        <v>1000</v>
      </c>
      <c r="I41" s="800"/>
      <c r="J41" s="1116">
        <v>1000</v>
      </c>
      <c r="K41" s="831">
        <v>1000</v>
      </c>
      <c r="L41" s="830">
        <v>500</v>
      </c>
    </row>
    <row r="42" spans="1:12" ht="12.75" customHeight="1">
      <c r="A42" s="329"/>
      <c r="B42" s="331">
        <v>19</v>
      </c>
      <c r="C42" s="533" t="s">
        <v>227</v>
      </c>
      <c r="D42" s="613"/>
      <c r="E42" s="613"/>
      <c r="F42" s="613"/>
      <c r="G42" s="613"/>
      <c r="H42" s="534">
        <v>200</v>
      </c>
      <c r="I42" s="800"/>
      <c r="J42" s="1116">
        <v>200</v>
      </c>
      <c r="K42" s="830">
        <v>100</v>
      </c>
      <c r="L42" s="830">
        <v>100</v>
      </c>
    </row>
    <row r="43" spans="1:12" ht="12.75" customHeight="1">
      <c r="A43" s="329"/>
      <c r="B43" s="331">
        <v>20</v>
      </c>
      <c r="C43" s="530" t="s">
        <v>182</v>
      </c>
      <c r="D43" s="613"/>
      <c r="E43" s="613"/>
      <c r="F43" s="612">
        <v>300</v>
      </c>
      <c r="G43" s="612">
        <v>300</v>
      </c>
      <c r="H43" s="532">
        <v>400</v>
      </c>
      <c r="I43" s="800"/>
      <c r="J43" s="1116">
        <v>400</v>
      </c>
      <c r="K43" s="830">
        <v>440</v>
      </c>
      <c r="L43" s="830">
        <v>440</v>
      </c>
    </row>
    <row r="44" spans="1:12" ht="12.75" customHeight="1">
      <c r="A44" s="329"/>
      <c r="B44" s="331">
        <v>21</v>
      </c>
      <c r="C44" s="533" t="s">
        <v>228</v>
      </c>
      <c r="D44" s="613"/>
      <c r="E44" s="613"/>
      <c r="F44" s="613"/>
      <c r="G44" s="613"/>
      <c r="H44" s="534">
        <v>882</v>
      </c>
      <c r="I44" s="800"/>
      <c r="J44" s="1116">
        <v>650</v>
      </c>
      <c r="K44" s="830">
        <v>725</v>
      </c>
      <c r="L44" s="830">
        <v>725</v>
      </c>
    </row>
    <row r="45" spans="1:12" ht="12.75" customHeight="1">
      <c r="A45" s="329"/>
      <c r="B45" s="331">
        <v>22</v>
      </c>
      <c r="C45" s="848" t="s">
        <v>304</v>
      </c>
      <c r="D45" s="613"/>
      <c r="E45" s="613"/>
      <c r="F45" s="613"/>
      <c r="G45" s="613"/>
      <c r="H45" s="534">
        <v>500</v>
      </c>
      <c r="I45" s="800"/>
      <c r="J45" s="1116">
        <v>500</v>
      </c>
      <c r="K45" s="830">
        <v>850</v>
      </c>
      <c r="L45" s="830">
        <v>850</v>
      </c>
    </row>
    <row r="46" spans="1:12" ht="12.75" customHeight="1">
      <c r="A46" s="329"/>
      <c r="B46" s="331">
        <v>23</v>
      </c>
      <c r="C46" s="848" t="s">
        <v>305</v>
      </c>
      <c r="D46" s="613"/>
      <c r="E46" s="613"/>
      <c r="F46" s="613"/>
      <c r="G46" s="613"/>
      <c r="H46" s="534">
        <v>180</v>
      </c>
      <c r="I46" s="800"/>
      <c r="J46" s="1116">
        <v>200</v>
      </c>
      <c r="K46" s="830">
        <v>200</v>
      </c>
      <c r="L46" s="830">
        <v>200</v>
      </c>
    </row>
    <row r="47" spans="1:12" ht="12.75" customHeight="1">
      <c r="A47" s="329"/>
      <c r="B47" s="331">
        <v>24</v>
      </c>
      <c r="C47" s="848" t="s">
        <v>229</v>
      </c>
      <c r="D47" s="613"/>
      <c r="E47" s="613"/>
      <c r="F47" s="613"/>
      <c r="G47" s="613"/>
      <c r="H47" s="534">
        <v>310</v>
      </c>
      <c r="I47" s="800"/>
      <c r="J47" s="1116">
        <v>40</v>
      </c>
      <c r="K47" s="830">
        <v>100</v>
      </c>
      <c r="L47" s="830">
        <v>100</v>
      </c>
    </row>
    <row r="48" spans="1:12" ht="12.75" customHeight="1">
      <c r="A48" s="329"/>
      <c r="B48" s="331">
        <v>25</v>
      </c>
      <c r="C48" s="848" t="s">
        <v>261</v>
      </c>
      <c r="D48" s="613"/>
      <c r="E48" s="613"/>
      <c r="F48" s="613"/>
      <c r="G48" s="613"/>
      <c r="H48" s="534"/>
      <c r="I48" s="800"/>
      <c r="J48" s="1116">
        <v>300</v>
      </c>
      <c r="K48" s="830">
        <v>0</v>
      </c>
      <c r="L48" s="830">
        <v>0</v>
      </c>
    </row>
    <row r="49" spans="1:12" ht="12.75" customHeight="1">
      <c r="A49" s="329"/>
      <c r="B49" s="331">
        <v>26</v>
      </c>
      <c r="C49" s="848" t="s">
        <v>437</v>
      </c>
      <c r="D49" s="613"/>
      <c r="E49" s="613"/>
      <c r="F49" s="613"/>
      <c r="G49" s="613"/>
      <c r="H49" s="534"/>
      <c r="I49" s="800"/>
      <c r="J49" s="1116"/>
      <c r="K49" s="1117">
        <v>330</v>
      </c>
      <c r="L49" s="830">
        <v>330</v>
      </c>
    </row>
    <row r="50" spans="1:12" ht="12.75" customHeight="1">
      <c r="A50" s="329"/>
      <c r="B50" s="331">
        <v>27</v>
      </c>
      <c r="C50" s="848" t="s">
        <v>438</v>
      </c>
      <c r="D50" s="613"/>
      <c r="E50" s="613"/>
      <c r="F50" s="613"/>
      <c r="G50" s="613"/>
      <c r="H50" s="534"/>
      <c r="I50" s="800"/>
      <c r="J50" s="1116"/>
      <c r="K50" s="1117">
        <v>500</v>
      </c>
      <c r="L50" s="830">
        <v>200</v>
      </c>
    </row>
    <row r="51" spans="1:15" ht="12.75" customHeight="1">
      <c r="A51" s="329"/>
      <c r="B51" s="331">
        <v>28</v>
      </c>
      <c r="C51" s="533" t="s">
        <v>230</v>
      </c>
      <c r="D51" s="613"/>
      <c r="E51" s="613"/>
      <c r="F51" s="613"/>
      <c r="G51" s="613"/>
      <c r="H51" s="534">
        <v>700</v>
      </c>
      <c r="I51" s="800"/>
      <c r="J51" s="1116">
        <v>300</v>
      </c>
      <c r="K51" s="830">
        <f>2890-K53</f>
        <v>2590</v>
      </c>
      <c r="L51" s="830">
        <v>300</v>
      </c>
      <c r="M51" s="1118"/>
      <c r="N51" s="1118"/>
      <c r="O51" s="1118"/>
    </row>
    <row r="52" spans="1:15" ht="12.75" customHeight="1">
      <c r="A52" s="329"/>
      <c r="B52" s="331">
        <v>29</v>
      </c>
      <c r="C52" s="533" t="s">
        <v>439</v>
      </c>
      <c r="D52" s="613"/>
      <c r="E52" s="613"/>
      <c r="F52" s="613"/>
      <c r="G52" s="613"/>
      <c r="H52" s="534"/>
      <c r="I52" s="800"/>
      <c r="J52" s="1116"/>
      <c r="K52" s="830">
        <v>582</v>
      </c>
      <c r="L52" s="830">
        <v>582</v>
      </c>
      <c r="M52" s="1118"/>
      <c r="N52" s="1118"/>
      <c r="O52" s="1118"/>
    </row>
    <row r="53" spans="1:15" ht="12.75" customHeight="1">
      <c r="A53" s="329"/>
      <c r="B53" s="331">
        <v>30</v>
      </c>
      <c r="C53" s="533" t="s">
        <v>231</v>
      </c>
      <c r="D53" s="613"/>
      <c r="E53" s="613"/>
      <c r="F53" s="613"/>
      <c r="G53" s="613"/>
      <c r="H53" s="534">
        <v>300</v>
      </c>
      <c r="I53" s="800"/>
      <c r="J53" s="1116">
        <v>300</v>
      </c>
      <c r="K53" s="830">
        <v>300</v>
      </c>
      <c r="L53" s="830">
        <v>300</v>
      </c>
      <c r="M53" s="1118"/>
      <c r="N53" s="1118"/>
      <c r="O53" s="1118"/>
    </row>
    <row r="54" spans="1:12" ht="12.75" customHeight="1">
      <c r="A54" s="329"/>
      <c r="B54" s="331">
        <v>31</v>
      </c>
      <c r="C54" s="533" t="s">
        <v>262</v>
      </c>
      <c r="D54" s="613"/>
      <c r="E54" s="613"/>
      <c r="F54" s="613"/>
      <c r="G54" s="613"/>
      <c r="H54" s="534">
        <v>500</v>
      </c>
      <c r="I54" s="800"/>
      <c r="J54" s="1116">
        <v>500</v>
      </c>
      <c r="K54" s="830">
        <v>600</v>
      </c>
      <c r="L54" s="830">
        <v>500</v>
      </c>
    </row>
    <row r="55" spans="1:21" ht="12.75" customHeight="1">
      <c r="A55" s="329"/>
      <c r="B55" s="331">
        <v>32</v>
      </c>
      <c r="C55" s="533" t="s">
        <v>263</v>
      </c>
      <c r="D55" s="613"/>
      <c r="E55" s="613"/>
      <c r="F55" s="613"/>
      <c r="G55" s="613"/>
      <c r="H55" s="534">
        <v>500</v>
      </c>
      <c r="I55" s="800"/>
      <c r="J55" s="1116">
        <v>500</v>
      </c>
      <c r="K55" s="830">
        <v>600</v>
      </c>
      <c r="L55" s="830">
        <v>500</v>
      </c>
      <c r="M55" s="1119"/>
      <c r="N55" s="1119"/>
      <c r="O55" s="1119"/>
      <c r="P55" s="1119"/>
      <c r="Q55" s="1119"/>
      <c r="R55" s="1119"/>
      <c r="S55" s="1119"/>
      <c r="T55" s="1119"/>
      <c r="U55" s="1119"/>
    </row>
    <row r="56" spans="1:21" ht="12.75" customHeight="1">
      <c r="A56" s="329"/>
      <c r="B56" s="331">
        <v>33</v>
      </c>
      <c r="C56" s="533" t="s">
        <v>440</v>
      </c>
      <c r="D56" s="613"/>
      <c r="E56" s="613"/>
      <c r="F56" s="613"/>
      <c r="G56" s="613"/>
      <c r="H56" s="534"/>
      <c r="I56" s="800"/>
      <c r="J56" s="1116"/>
      <c r="K56" s="1117">
        <v>100</v>
      </c>
      <c r="L56" s="830">
        <v>100</v>
      </c>
      <c r="M56" s="1119"/>
      <c r="N56" s="1119"/>
      <c r="O56" s="1119"/>
      <c r="P56" s="1119"/>
      <c r="Q56" s="1119"/>
      <c r="R56" s="1119"/>
      <c r="S56" s="1119"/>
      <c r="T56" s="1119"/>
      <c r="U56" s="1119"/>
    </row>
    <row r="57" spans="1:21" s="334" customFormat="1" ht="12">
      <c r="A57" s="329"/>
      <c r="B57" s="331">
        <v>34</v>
      </c>
      <c r="C57" s="533" t="s">
        <v>441</v>
      </c>
      <c r="D57" s="613"/>
      <c r="E57" s="613"/>
      <c r="F57" s="613"/>
      <c r="G57" s="613"/>
      <c r="H57" s="534"/>
      <c r="I57" s="801"/>
      <c r="J57" s="1116">
        <v>15000</v>
      </c>
      <c r="K57" s="831"/>
      <c r="L57" s="830">
        <v>7000</v>
      </c>
      <c r="M57" s="1120"/>
      <c r="N57" s="1120"/>
      <c r="O57" s="1120"/>
      <c r="P57" s="1120"/>
      <c r="Q57" s="1120"/>
      <c r="R57" s="1120"/>
      <c r="S57" s="1120"/>
      <c r="T57" s="1120"/>
      <c r="U57" s="1120"/>
    </row>
    <row r="58" spans="1:21" s="334" customFormat="1" ht="12">
      <c r="A58" s="329"/>
      <c r="B58" s="331">
        <v>35</v>
      </c>
      <c r="C58" s="533" t="s">
        <v>442</v>
      </c>
      <c r="D58" s="613"/>
      <c r="E58" s="613"/>
      <c r="F58" s="613"/>
      <c r="G58" s="613"/>
      <c r="H58" s="534"/>
      <c r="I58" s="801"/>
      <c r="J58" s="1116"/>
      <c r="K58" s="830">
        <v>4050</v>
      </c>
      <c r="L58" s="830">
        <v>1850</v>
      </c>
      <c r="M58" s="1120"/>
      <c r="N58" s="1120"/>
      <c r="O58" s="1120"/>
      <c r="P58" s="1120"/>
      <c r="Q58" s="1120"/>
      <c r="R58" s="1120"/>
      <c r="S58" s="1120"/>
      <c r="T58" s="1120"/>
      <c r="U58" s="1120"/>
    </row>
    <row r="59" spans="1:21" s="334" customFormat="1" ht="12">
      <c r="A59" s="329"/>
      <c r="B59" s="331">
        <v>36</v>
      </c>
      <c r="C59" s="533" t="s">
        <v>443</v>
      </c>
      <c r="D59" s="613"/>
      <c r="E59" s="613"/>
      <c r="F59" s="613"/>
      <c r="G59" s="613"/>
      <c r="H59" s="534"/>
      <c r="I59" s="801"/>
      <c r="J59" s="1116"/>
      <c r="K59" s="831"/>
      <c r="L59" s="830">
        <v>200</v>
      </c>
      <c r="M59" s="1120"/>
      <c r="N59" s="1120"/>
      <c r="O59" s="1120"/>
      <c r="P59" s="1120"/>
      <c r="Q59" s="1120"/>
      <c r="R59" s="1120"/>
      <c r="S59" s="1120"/>
      <c r="T59" s="1120"/>
      <c r="U59" s="1120"/>
    </row>
    <row r="60" spans="1:21" s="334" customFormat="1" ht="12">
      <c r="A60" s="329"/>
      <c r="B60" s="331">
        <v>37</v>
      </c>
      <c r="C60" s="533" t="s">
        <v>233</v>
      </c>
      <c r="D60" s="613"/>
      <c r="E60" s="613"/>
      <c r="F60" s="613"/>
      <c r="G60" s="613"/>
      <c r="H60" s="534">
        <v>250</v>
      </c>
      <c r="I60" s="801"/>
      <c r="J60" s="1116">
        <v>250</v>
      </c>
      <c r="K60" s="830">
        <v>250</v>
      </c>
      <c r="L60" s="830">
        <v>250</v>
      </c>
      <c r="M60" s="1120"/>
      <c r="N60" s="1120"/>
      <c r="O60" s="1120"/>
      <c r="P60" s="1120"/>
      <c r="Q60" s="1120"/>
      <c r="R60" s="1120"/>
      <c r="S60" s="1120"/>
      <c r="T60" s="1120"/>
      <c r="U60" s="1120"/>
    </row>
    <row r="61" spans="1:21" s="334" customFormat="1" ht="12">
      <c r="A61" s="329"/>
      <c r="B61" s="331">
        <v>38</v>
      </c>
      <c r="C61" s="848" t="s">
        <v>444</v>
      </c>
      <c r="D61" s="613"/>
      <c r="E61" s="613"/>
      <c r="F61" s="613"/>
      <c r="G61" s="613"/>
      <c r="H61" s="534"/>
      <c r="I61" s="801"/>
      <c r="J61" s="1116">
        <v>40</v>
      </c>
      <c r="K61" s="830">
        <v>38</v>
      </c>
      <c r="L61" s="830">
        <v>40</v>
      </c>
      <c r="M61" s="1120"/>
      <c r="N61" s="1120"/>
      <c r="O61" s="1120"/>
      <c r="P61" s="1120"/>
      <c r="Q61" s="1120"/>
      <c r="R61" s="1120"/>
      <c r="S61" s="1120"/>
      <c r="T61" s="1120"/>
      <c r="U61" s="1120"/>
    </row>
    <row r="62" spans="1:21" s="334" customFormat="1" ht="12">
      <c r="A62" s="329"/>
      <c r="B62" s="331">
        <v>39</v>
      </c>
      <c r="C62" s="533" t="s">
        <v>264</v>
      </c>
      <c r="D62" s="613"/>
      <c r="E62" s="613"/>
      <c r="F62" s="613"/>
      <c r="G62" s="613"/>
      <c r="H62" s="534"/>
      <c r="I62" s="801"/>
      <c r="J62" s="1116">
        <v>2075</v>
      </c>
      <c r="K62" s="830">
        <v>2075</v>
      </c>
      <c r="L62" s="830">
        <v>2100</v>
      </c>
      <c r="M62" s="1120"/>
      <c r="N62" s="1120"/>
      <c r="O62" s="1120"/>
      <c r="P62" s="1120"/>
      <c r="Q62" s="1120"/>
      <c r="R62" s="1120"/>
      <c r="S62" s="1120"/>
      <c r="T62" s="1120"/>
      <c r="U62" s="1120"/>
    </row>
    <row r="63" spans="1:21" s="334" customFormat="1" ht="12">
      <c r="A63" s="329"/>
      <c r="B63" s="331">
        <v>40</v>
      </c>
      <c r="C63" s="533" t="s">
        <v>445</v>
      </c>
      <c r="D63" s="613"/>
      <c r="E63" s="613"/>
      <c r="F63" s="613"/>
      <c r="G63" s="613"/>
      <c r="H63" s="534">
        <v>200</v>
      </c>
      <c r="I63" s="801"/>
      <c r="J63" s="1116">
        <v>0</v>
      </c>
      <c r="K63" s="830">
        <v>99</v>
      </c>
      <c r="L63" s="830">
        <v>100</v>
      </c>
      <c r="M63" s="1120"/>
      <c r="N63" s="1120"/>
      <c r="O63" s="1120"/>
      <c r="P63" s="1120"/>
      <c r="Q63" s="1120"/>
      <c r="R63" s="1120"/>
      <c r="S63" s="1120"/>
      <c r="T63" s="1120"/>
      <c r="U63" s="1120"/>
    </row>
    <row r="64" spans="1:21" s="1130" customFormat="1" ht="12" hidden="1">
      <c r="A64" s="1121"/>
      <c r="B64" s="1122"/>
      <c r="C64" s="1123" t="s">
        <v>446</v>
      </c>
      <c r="D64" s="1124"/>
      <c r="E64" s="1124"/>
      <c r="F64" s="1124"/>
      <c r="G64" s="1124"/>
      <c r="H64" s="1125"/>
      <c r="I64" s="1125"/>
      <c r="J64" s="1126"/>
      <c r="K64" s="1127"/>
      <c r="L64" s="1128">
        <v>0</v>
      </c>
      <c r="M64" s="1129"/>
      <c r="N64" s="1129"/>
      <c r="O64" s="1129"/>
      <c r="P64" s="1129"/>
      <c r="Q64" s="1129"/>
      <c r="R64" s="1129"/>
      <c r="S64" s="1129"/>
      <c r="T64" s="1129"/>
      <c r="U64" s="1129"/>
    </row>
    <row r="65" spans="1:21" s="334" customFormat="1" ht="12">
      <c r="A65" s="329"/>
      <c r="B65" s="902">
        <v>41</v>
      </c>
      <c r="C65" s="903" t="s">
        <v>308</v>
      </c>
      <c r="D65" s="904"/>
      <c r="E65" s="904">
        <v>12803</v>
      </c>
      <c r="F65" s="904">
        <v>15430</v>
      </c>
      <c r="G65" s="904">
        <v>13430</v>
      </c>
      <c r="H65" s="905">
        <v>15700</v>
      </c>
      <c r="I65" s="906">
        <v>56069</v>
      </c>
      <c r="J65" s="1134">
        <v>16000</v>
      </c>
      <c r="K65" s="1135">
        <f>J65</f>
        <v>16000</v>
      </c>
      <c r="L65" s="1135">
        <f>K65</f>
        <v>16000</v>
      </c>
      <c r="M65" s="1230" t="s">
        <v>486</v>
      </c>
      <c r="N65" s="1120"/>
      <c r="O65" s="1120"/>
      <c r="P65" s="1120"/>
      <c r="Q65" s="1120"/>
      <c r="R65" s="1120"/>
      <c r="S65" s="1120"/>
      <c r="T65" s="1120"/>
      <c r="U65" s="1120"/>
    </row>
    <row r="66" spans="1:21" s="334" customFormat="1" ht="12.75" customHeight="1">
      <c r="A66" s="329"/>
      <c r="B66" s="535">
        <v>42</v>
      </c>
      <c r="C66" s="536" t="s">
        <v>245</v>
      </c>
      <c r="D66" s="584">
        <v>2000</v>
      </c>
      <c r="E66" s="584">
        <v>6500</v>
      </c>
      <c r="F66" s="584">
        <v>2954</v>
      </c>
      <c r="G66" s="584">
        <v>4905</v>
      </c>
      <c r="H66" s="537">
        <v>4113</v>
      </c>
      <c r="I66" s="802"/>
      <c r="J66" s="1136">
        <v>2600</v>
      </c>
      <c r="K66" s="1137">
        <v>1894</v>
      </c>
      <c r="L66" s="1137">
        <v>1894</v>
      </c>
      <c r="M66" s="1120"/>
      <c r="N66" s="1120"/>
      <c r="O66" s="1120"/>
      <c r="P66" s="1120"/>
      <c r="Q66" s="1120"/>
      <c r="R66" s="1120"/>
      <c r="S66" s="1120"/>
      <c r="T66" s="1120"/>
      <c r="U66" s="1120"/>
    </row>
    <row r="67" spans="1:12" s="334" customFormat="1" ht="12.75" customHeight="1">
      <c r="A67" s="338"/>
      <c r="B67" s="331">
        <v>43</v>
      </c>
      <c r="C67" s="536" t="s">
        <v>265</v>
      </c>
      <c r="D67" s="614"/>
      <c r="E67" s="614"/>
      <c r="F67" s="614">
        <v>4812</v>
      </c>
      <c r="G67" s="614">
        <v>5545</v>
      </c>
      <c r="H67" s="538">
        <v>5655</v>
      </c>
      <c r="I67" s="802"/>
      <c r="J67" s="1116">
        <v>5655</v>
      </c>
      <c r="K67" s="830">
        <v>3114</v>
      </c>
      <c r="L67" s="830">
        <v>3114</v>
      </c>
    </row>
    <row r="68" spans="1:12" s="334" customFormat="1" ht="12.75" customHeight="1">
      <c r="A68" s="338"/>
      <c r="B68" s="535">
        <v>44</v>
      </c>
      <c r="C68" s="536" t="s">
        <v>234</v>
      </c>
      <c r="D68" s="614"/>
      <c r="E68" s="614"/>
      <c r="F68" s="614"/>
      <c r="G68" s="614"/>
      <c r="H68" s="538">
        <v>5753</v>
      </c>
      <c r="I68" s="802"/>
      <c r="J68" s="1116">
        <v>5753</v>
      </c>
      <c r="K68" s="1138">
        <v>6742</v>
      </c>
      <c r="L68" s="1138">
        <v>6742</v>
      </c>
    </row>
    <row r="69" spans="1:12" s="334" customFormat="1" ht="12.75" customHeight="1">
      <c r="A69" s="338"/>
      <c r="B69" s="331">
        <v>45</v>
      </c>
      <c r="C69" s="536" t="s">
        <v>266</v>
      </c>
      <c r="D69" s="614"/>
      <c r="E69" s="614"/>
      <c r="F69" s="614"/>
      <c r="G69" s="614"/>
      <c r="H69" s="538">
        <v>350</v>
      </c>
      <c r="I69" s="802"/>
      <c r="J69" s="1116">
        <v>595</v>
      </c>
      <c r="K69" s="830">
        <v>600</v>
      </c>
      <c r="L69" s="1218">
        <f>600+500</f>
        <v>1100</v>
      </c>
    </row>
    <row r="70" spans="1:12" s="334" customFormat="1" ht="12.75" customHeight="1" hidden="1">
      <c r="A70" s="338"/>
      <c r="B70" s="535">
        <v>47</v>
      </c>
      <c r="C70" s="536" t="s">
        <v>267</v>
      </c>
      <c r="D70" s="614"/>
      <c r="E70" s="614"/>
      <c r="F70" s="614"/>
      <c r="G70" s="614"/>
      <c r="H70" s="538">
        <v>400</v>
      </c>
      <c r="I70" s="802"/>
      <c r="J70" s="1116"/>
      <c r="K70" s="830"/>
      <c r="L70" s="830"/>
    </row>
    <row r="71" spans="1:12" s="334" customFormat="1" ht="12.75" customHeight="1">
      <c r="A71" s="338"/>
      <c r="B71" s="331">
        <v>44</v>
      </c>
      <c r="C71" s="536" t="s">
        <v>448</v>
      </c>
      <c r="D71" s="614"/>
      <c r="E71" s="614"/>
      <c r="F71" s="614"/>
      <c r="G71" s="614"/>
      <c r="H71" s="538">
        <v>350</v>
      </c>
      <c r="I71" s="802"/>
      <c r="J71" s="1116">
        <v>55</v>
      </c>
      <c r="K71" s="830">
        <v>0</v>
      </c>
      <c r="L71" s="830">
        <v>0</v>
      </c>
    </row>
    <row r="72" spans="1:12" s="334" customFormat="1" ht="12">
      <c r="A72" s="338"/>
      <c r="B72" s="535">
        <v>45</v>
      </c>
      <c r="C72" s="536" t="s">
        <v>449</v>
      </c>
      <c r="D72" s="614"/>
      <c r="E72" s="614"/>
      <c r="F72" s="614">
        <f>2000+160+1200</f>
        <v>3360</v>
      </c>
      <c r="G72" s="614"/>
      <c r="H72" s="538"/>
      <c r="I72" s="802"/>
      <c r="J72" s="1116">
        <v>250</v>
      </c>
      <c r="K72" s="830">
        <v>260</v>
      </c>
      <c r="L72" s="830">
        <v>260</v>
      </c>
    </row>
    <row r="73" spans="1:12" s="344" customFormat="1" ht="12">
      <c r="A73" s="1139"/>
      <c r="B73" s="331">
        <v>46</v>
      </c>
      <c r="C73" s="1217" t="s">
        <v>268</v>
      </c>
      <c r="D73" s="1140"/>
      <c r="E73" s="1140"/>
      <c r="F73" s="1140"/>
      <c r="G73" s="1140"/>
      <c r="H73" s="1141"/>
      <c r="I73" s="1142"/>
      <c r="J73" s="1143">
        <v>0</v>
      </c>
      <c r="K73" s="1144">
        <v>3500</v>
      </c>
      <c r="L73" s="1145">
        <v>3500</v>
      </c>
    </row>
    <row r="74" spans="1:12" ht="12">
      <c r="A74" s="338"/>
      <c r="B74" s="535">
        <v>47</v>
      </c>
      <c r="C74" s="536" t="s">
        <v>467</v>
      </c>
      <c r="D74" s="614"/>
      <c r="E74" s="614"/>
      <c r="F74" s="614">
        <f>1000+850+265</f>
        <v>2115</v>
      </c>
      <c r="G74" s="614">
        <v>1000</v>
      </c>
      <c r="H74" s="538">
        <v>1000</v>
      </c>
      <c r="I74" s="803"/>
      <c r="J74" s="1116">
        <v>1000</v>
      </c>
      <c r="K74" s="1146">
        <f>2000+1500</f>
        <v>3500</v>
      </c>
      <c r="L74" s="1145">
        <f>2000+1500</f>
        <v>3500</v>
      </c>
    </row>
    <row r="75" spans="1:12" s="339" customFormat="1" ht="12.75" customHeight="1">
      <c r="A75" s="338"/>
      <c r="B75" s="331">
        <v>48</v>
      </c>
      <c r="C75" s="536" t="s">
        <v>269</v>
      </c>
      <c r="D75" s="614"/>
      <c r="E75" s="614"/>
      <c r="F75" s="614"/>
      <c r="G75" s="614">
        <v>1000</v>
      </c>
      <c r="H75" s="538">
        <v>0</v>
      </c>
      <c r="I75" s="803"/>
      <c r="J75" s="1116">
        <v>1500</v>
      </c>
      <c r="K75" s="830">
        <v>0</v>
      </c>
      <c r="L75" s="830">
        <v>0</v>
      </c>
    </row>
    <row r="76" spans="1:12" ht="12.75" customHeight="1">
      <c r="A76" s="338"/>
      <c r="B76" s="535">
        <v>49</v>
      </c>
      <c r="C76" s="536" t="s">
        <v>270</v>
      </c>
      <c r="D76" s="614"/>
      <c r="E76" s="614"/>
      <c r="F76" s="614"/>
      <c r="G76" s="614"/>
      <c r="H76" s="538"/>
      <c r="I76" s="803"/>
      <c r="J76" s="1116">
        <v>1500</v>
      </c>
      <c r="K76" s="830">
        <v>0</v>
      </c>
      <c r="L76" s="830">
        <v>0</v>
      </c>
    </row>
    <row r="77" spans="1:12" ht="12">
      <c r="A77" s="338"/>
      <c r="B77" s="331">
        <v>50</v>
      </c>
      <c r="C77" s="536" t="s">
        <v>235</v>
      </c>
      <c r="D77" s="614"/>
      <c r="E77" s="614"/>
      <c r="F77" s="614"/>
      <c r="G77" s="614"/>
      <c r="H77" s="538">
        <v>25</v>
      </c>
      <c r="I77" s="803"/>
      <c r="J77" s="1116">
        <v>25</v>
      </c>
      <c r="K77" s="830">
        <v>45</v>
      </c>
      <c r="L77" s="830">
        <v>45</v>
      </c>
    </row>
    <row r="78" spans="1:12" s="1010" customFormat="1" ht="12" customHeight="1" hidden="1">
      <c r="A78" s="1147"/>
      <c r="B78" s="1148">
        <v>41</v>
      </c>
      <c r="C78" s="1149" t="s">
        <v>188</v>
      </c>
      <c r="D78" s="1150"/>
      <c r="E78" s="1150"/>
      <c r="F78" s="1150"/>
      <c r="G78" s="1150">
        <v>4000</v>
      </c>
      <c r="H78" s="1151">
        <v>0</v>
      </c>
      <c r="I78" s="1152"/>
      <c r="J78" s="1116">
        <v>0</v>
      </c>
      <c r="K78" s="1145"/>
      <c r="L78" s="1145"/>
    </row>
    <row r="79" spans="1:12" ht="12">
      <c r="A79" s="329"/>
      <c r="B79" s="335"/>
      <c r="C79" s="336" t="s">
        <v>58</v>
      </c>
      <c r="D79" s="615">
        <f aca="true" t="shared" si="3" ref="D79:L79">SUM(D27:D78)</f>
        <v>73307</v>
      </c>
      <c r="E79" s="615">
        <f t="shared" si="3"/>
        <v>51185</v>
      </c>
      <c r="F79" s="615">
        <f t="shared" si="3"/>
        <v>60150</v>
      </c>
      <c r="G79" s="615">
        <f t="shared" si="3"/>
        <v>60465</v>
      </c>
      <c r="H79" s="539">
        <f t="shared" si="3"/>
        <v>63918</v>
      </c>
      <c r="I79" s="804">
        <f t="shared" si="3"/>
        <v>56069</v>
      </c>
      <c r="J79" s="1153">
        <f t="shared" si="3"/>
        <v>82889</v>
      </c>
      <c r="K79" s="832">
        <f t="shared" si="3"/>
        <v>75374</v>
      </c>
      <c r="L79" s="832">
        <f t="shared" si="3"/>
        <v>77362</v>
      </c>
    </row>
    <row r="80" spans="1:12" ht="12">
      <c r="A80" s="329"/>
      <c r="B80" s="544">
        <v>51</v>
      </c>
      <c r="C80" s="533" t="s">
        <v>232</v>
      </c>
      <c r="D80" s="613"/>
      <c r="E80" s="613"/>
      <c r="F80" s="613"/>
      <c r="G80" s="613"/>
      <c r="H80" s="534">
        <v>1835</v>
      </c>
      <c r="I80" s="800"/>
      <c r="J80" s="1116">
        <f>150+1879</f>
        <v>2029</v>
      </c>
      <c r="K80" s="830">
        <v>4810</v>
      </c>
      <c r="L80" s="830">
        <v>2200</v>
      </c>
    </row>
    <row r="81" spans="1:12" ht="12.75" customHeight="1">
      <c r="A81" s="329"/>
      <c r="B81" s="330">
        <v>52</v>
      </c>
      <c r="C81" s="848" t="s">
        <v>447</v>
      </c>
      <c r="D81" s="613"/>
      <c r="E81" s="613"/>
      <c r="F81" s="613"/>
      <c r="G81" s="613"/>
      <c r="H81" s="534"/>
      <c r="I81" s="1131"/>
      <c r="J81" s="1132"/>
      <c r="K81" s="1133">
        <v>4686</v>
      </c>
      <c r="L81" s="1133">
        <v>2260</v>
      </c>
    </row>
    <row r="82" spans="1:12" ht="12.75" customHeight="1">
      <c r="A82" s="338"/>
      <c r="B82" s="335"/>
      <c r="C82" s="336" t="s">
        <v>469</v>
      </c>
      <c r="D82" s="615"/>
      <c r="E82" s="615"/>
      <c r="F82" s="615"/>
      <c r="G82" s="615"/>
      <c r="H82" s="539"/>
      <c r="I82" s="820"/>
      <c r="J82" s="1153">
        <f>SUM(J80:J81)</f>
        <v>2029</v>
      </c>
      <c r="K82" s="832"/>
      <c r="L82" s="832">
        <f>SUM(L80:L81)</f>
        <v>4460</v>
      </c>
    </row>
    <row r="83" spans="1:12" ht="12">
      <c r="A83" s="329"/>
      <c r="B83" s="544">
        <v>53</v>
      </c>
      <c r="C83" s="545" t="s">
        <v>59</v>
      </c>
      <c r="D83" s="616">
        <f>(1777+195)</f>
        <v>1972</v>
      </c>
      <c r="E83" s="616">
        <v>2300</v>
      </c>
      <c r="F83" s="616">
        <v>2300</v>
      </c>
      <c r="G83" s="616">
        <v>3600</v>
      </c>
      <c r="H83" s="546">
        <v>4500</v>
      </c>
      <c r="I83" s="805"/>
      <c r="J83" s="1154">
        <v>6560</v>
      </c>
      <c r="K83" s="833">
        <v>6560</v>
      </c>
      <c r="L83" s="833">
        <v>6560</v>
      </c>
    </row>
    <row r="84" spans="1:12" ht="12.75" customHeight="1">
      <c r="A84" s="329"/>
      <c r="B84" s="330">
        <v>54</v>
      </c>
      <c r="C84" s="617" t="s">
        <v>271</v>
      </c>
      <c r="D84" s="618"/>
      <c r="E84" s="618"/>
      <c r="F84" s="618"/>
      <c r="G84" s="618"/>
      <c r="H84" s="619"/>
      <c r="I84" s="806"/>
      <c r="J84" s="1155">
        <v>1014</v>
      </c>
      <c r="K84" s="834"/>
      <c r="L84" s="834">
        <v>1000</v>
      </c>
    </row>
    <row r="85" spans="1:12" ht="12.75" customHeight="1">
      <c r="A85" s="338"/>
      <c r="B85" s="335"/>
      <c r="C85" s="336" t="s">
        <v>60</v>
      </c>
      <c r="D85" s="615">
        <f>SUM(D83)</f>
        <v>1972</v>
      </c>
      <c r="E85" s="615">
        <f>SUM(E83)</f>
        <v>2300</v>
      </c>
      <c r="F85" s="615">
        <f>SUM(F83)</f>
        <v>2300</v>
      </c>
      <c r="G85" s="615">
        <f>SUM(G83)</f>
        <v>3600</v>
      </c>
      <c r="H85" s="539">
        <f>H83</f>
        <v>4500</v>
      </c>
      <c r="I85" s="820">
        <v>0</v>
      </c>
      <c r="J85" s="1153">
        <f>SUM(J83:J84)</f>
        <v>7574</v>
      </c>
      <c r="K85" s="832">
        <f>SUM(K83:K84)</f>
        <v>6560</v>
      </c>
      <c r="L85" s="832">
        <f>SUM(L83:L84)</f>
        <v>7560</v>
      </c>
    </row>
    <row r="86" spans="1:12" ht="12.75" customHeight="1">
      <c r="A86" s="329"/>
      <c r="B86" s="340">
        <v>55</v>
      </c>
      <c r="C86" s="341" t="s">
        <v>131</v>
      </c>
      <c r="D86" s="620" t="s">
        <v>189</v>
      </c>
      <c r="E86" s="621">
        <v>5400</v>
      </c>
      <c r="F86" s="621">
        <v>5670</v>
      </c>
      <c r="G86" s="621">
        <v>6040</v>
      </c>
      <c r="H86" s="541">
        <v>6040</v>
      </c>
      <c r="I86" s="807"/>
      <c r="J86" s="1156">
        <v>6300</v>
      </c>
      <c r="K86" s="835">
        <v>7000</v>
      </c>
      <c r="L86" s="835">
        <v>7000</v>
      </c>
    </row>
    <row r="87" spans="1:12" ht="12.75" customHeight="1">
      <c r="A87" s="329"/>
      <c r="B87" s="342">
        <v>56</v>
      </c>
      <c r="C87" s="343" t="s">
        <v>450</v>
      </c>
      <c r="D87" s="622"/>
      <c r="E87" s="623">
        <v>600</v>
      </c>
      <c r="F87" s="623">
        <v>1080</v>
      </c>
      <c r="G87" s="623">
        <v>1080</v>
      </c>
      <c r="H87" s="345">
        <v>1550</v>
      </c>
      <c r="I87" s="808"/>
      <c r="J87" s="1111">
        <f>1500+650</f>
        <v>2150</v>
      </c>
      <c r="K87" s="828">
        <v>1500</v>
      </c>
      <c r="L87" s="828">
        <v>1500</v>
      </c>
    </row>
    <row r="88" spans="1:12" ht="12.75" customHeight="1">
      <c r="A88" s="329"/>
      <c r="B88" s="340">
        <v>57</v>
      </c>
      <c r="C88" s="332" t="s">
        <v>236</v>
      </c>
      <c r="D88" s="622"/>
      <c r="E88" s="623"/>
      <c r="F88" s="623"/>
      <c r="G88" s="623"/>
      <c r="H88" s="345">
        <v>5000</v>
      </c>
      <c r="I88" s="808"/>
      <c r="J88" s="1111">
        <v>1000</v>
      </c>
      <c r="K88" s="828">
        <v>4500</v>
      </c>
      <c r="L88" s="828">
        <v>1000</v>
      </c>
    </row>
    <row r="89" spans="1:12" ht="12.75" customHeight="1">
      <c r="A89" s="329"/>
      <c r="B89" s="342">
        <v>58</v>
      </c>
      <c r="C89" s="332" t="s">
        <v>451</v>
      </c>
      <c r="D89" s="622"/>
      <c r="E89" s="623"/>
      <c r="F89" s="623"/>
      <c r="G89" s="623"/>
      <c r="H89" s="345"/>
      <c r="I89" s="808"/>
      <c r="J89" s="1111"/>
      <c r="K89" s="828">
        <v>600</v>
      </c>
      <c r="L89" s="828">
        <v>600</v>
      </c>
    </row>
    <row r="90" spans="1:12" ht="12.75" customHeight="1" hidden="1">
      <c r="A90" s="329"/>
      <c r="B90" s="340">
        <v>63</v>
      </c>
      <c r="C90" s="332" t="s">
        <v>237</v>
      </c>
      <c r="D90" s="622"/>
      <c r="E90" s="623"/>
      <c r="F90" s="623"/>
      <c r="G90" s="623"/>
      <c r="H90" s="345">
        <v>6150</v>
      </c>
      <c r="I90" s="808"/>
      <c r="J90" s="1111"/>
      <c r="K90" s="828">
        <v>0</v>
      </c>
      <c r="L90" s="828">
        <v>0</v>
      </c>
    </row>
    <row r="91" spans="1:12" ht="12.75" customHeight="1" hidden="1">
      <c r="A91" s="329"/>
      <c r="B91" s="342">
        <v>64</v>
      </c>
      <c r="C91" s="332" t="s">
        <v>272</v>
      </c>
      <c r="D91" s="622"/>
      <c r="E91" s="623"/>
      <c r="F91" s="623"/>
      <c r="G91" s="623"/>
      <c r="H91" s="345">
        <v>1800</v>
      </c>
      <c r="I91" s="808"/>
      <c r="J91" s="1111"/>
      <c r="K91" s="828">
        <v>0</v>
      </c>
      <c r="L91" s="828">
        <v>0</v>
      </c>
    </row>
    <row r="92" spans="1:12" ht="12.75" customHeight="1">
      <c r="A92" s="329"/>
      <c r="B92" s="340">
        <v>59</v>
      </c>
      <c r="C92" s="332" t="s">
        <v>273</v>
      </c>
      <c r="D92" s="622"/>
      <c r="E92" s="623"/>
      <c r="F92" s="623"/>
      <c r="G92" s="623"/>
      <c r="H92" s="345"/>
      <c r="I92" s="808"/>
      <c r="J92" s="1111">
        <v>1500</v>
      </c>
      <c r="K92" s="828">
        <v>1700</v>
      </c>
      <c r="L92" s="828">
        <v>1500</v>
      </c>
    </row>
    <row r="93" spans="1:12" ht="12.75" customHeight="1" hidden="1">
      <c r="A93" s="329"/>
      <c r="B93" s="342">
        <v>66</v>
      </c>
      <c r="C93" s="332" t="s">
        <v>274</v>
      </c>
      <c r="D93" s="622"/>
      <c r="E93" s="623"/>
      <c r="F93" s="623"/>
      <c r="G93" s="623"/>
      <c r="H93" s="345"/>
      <c r="I93" s="808"/>
      <c r="J93" s="1111">
        <v>0</v>
      </c>
      <c r="K93" s="828"/>
      <c r="L93" s="828"/>
    </row>
    <row r="94" spans="1:12" ht="12.75" customHeight="1">
      <c r="A94" s="329"/>
      <c r="B94" s="340">
        <v>60</v>
      </c>
      <c r="C94" s="332" t="s">
        <v>275</v>
      </c>
      <c r="D94" s="622"/>
      <c r="E94" s="623"/>
      <c r="F94" s="623"/>
      <c r="G94" s="623"/>
      <c r="H94" s="345"/>
      <c r="I94" s="808"/>
      <c r="J94" s="1111">
        <v>1500</v>
      </c>
      <c r="K94" s="828">
        <v>1500</v>
      </c>
      <c r="L94" s="828">
        <v>1500</v>
      </c>
    </row>
    <row r="95" spans="1:12" ht="12.75" customHeight="1" hidden="1">
      <c r="A95" s="329"/>
      <c r="B95" s="342">
        <v>68</v>
      </c>
      <c r="C95" s="332" t="s">
        <v>276</v>
      </c>
      <c r="D95" s="622"/>
      <c r="E95" s="623"/>
      <c r="F95" s="623"/>
      <c r="G95" s="623"/>
      <c r="H95" s="345"/>
      <c r="I95" s="808"/>
      <c r="J95" s="1111">
        <v>0</v>
      </c>
      <c r="K95" s="828"/>
      <c r="L95" s="828"/>
    </row>
    <row r="96" spans="1:12" ht="12.75" customHeight="1">
      <c r="A96" s="329"/>
      <c r="B96" s="340">
        <v>61</v>
      </c>
      <c r="C96" s="332" t="s">
        <v>277</v>
      </c>
      <c r="D96" s="622"/>
      <c r="E96" s="623"/>
      <c r="F96" s="623"/>
      <c r="G96" s="623"/>
      <c r="H96" s="345"/>
      <c r="I96" s="808"/>
      <c r="J96" s="1111">
        <v>1850</v>
      </c>
      <c r="K96" s="828">
        <v>1500</v>
      </c>
      <c r="L96" s="828">
        <v>0</v>
      </c>
    </row>
    <row r="97" spans="1:13" ht="12.75" customHeight="1">
      <c r="A97" s="329"/>
      <c r="B97" s="342"/>
      <c r="C97" s="332" t="s">
        <v>452</v>
      </c>
      <c r="D97" s="622"/>
      <c r="E97" s="623"/>
      <c r="F97" s="623"/>
      <c r="G97" s="623"/>
      <c r="H97" s="345"/>
      <c r="I97" s="808"/>
      <c r="J97" s="1111"/>
      <c r="K97" s="828">
        <v>2300</v>
      </c>
      <c r="L97" s="828">
        <f>2300-2300</f>
        <v>0</v>
      </c>
      <c r="M97" s="1227" t="s">
        <v>483</v>
      </c>
    </row>
    <row r="98" spans="1:12" ht="12.75" customHeight="1">
      <c r="A98" s="329"/>
      <c r="B98" s="342">
        <v>62</v>
      </c>
      <c r="C98" s="1157" t="s">
        <v>453</v>
      </c>
      <c r="D98" s="1158"/>
      <c r="E98" s="1159"/>
      <c r="F98" s="1159"/>
      <c r="G98" s="1159"/>
      <c r="H98" s="1160"/>
      <c r="I98" s="1161"/>
      <c r="J98" s="1162"/>
      <c r="K98" s="1163"/>
      <c r="L98" s="1163">
        <v>400</v>
      </c>
    </row>
    <row r="99" spans="1:13" ht="12.75" customHeight="1">
      <c r="A99" s="329"/>
      <c r="B99" s="342">
        <v>63</v>
      </c>
      <c r="C99" s="1157" t="s">
        <v>454</v>
      </c>
      <c r="D99" s="1158"/>
      <c r="E99" s="1159"/>
      <c r="F99" s="1159"/>
      <c r="G99" s="1159"/>
      <c r="H99" s="1160"/>
      <c r="I99" s="1161"/>
      <c r="J99" s="1162"/>
      <c r="K99" s="1163"/>
      <c r="L99" s="1163">
        <v>300</v>
      </c>
      <c r="M99" s="1165"/>
    </row>
    <row r="100" spans="1:12" ht="12.75" customHeight="1">
      <c r="A100" s="329"/>
      <c r="B100" s="342">
        <v>64</v>
      </c>
      <c r="C100" s="332" t="s">
        <v>455</v>
      </c>
      <c r="D100" s="622"/>
      <c r="E100" s="623"/>
      <c r="F100" s="623"/>
      <c r="G100" s="623"/>
      <c r="H100" s="345"/>
      <c r="I100" s="808"/>
      <c r="J100" s="1111"/>
      <c r="K100" s="828">
        <v>300</v>
      </c>
      <c r="L100" s="1164">
        <v>300</v>
      </c>
    </row>
    <row r="101" spans="1:12" ht="12.75" customHeight="1">
      <c r="A101" s="329"/>
      <c r="B101" s="342">
        <v>65</v>
      </c>
      <c r="C101" s="332" t="s">
        <v>456</v>
      </c>
      <c r="D101" s="622"/>
      <c r="E101" s="623"/>
      <c r="F101" s="623"/>
      <c r="G101" s="623"/>
      <c r="H101" s="345"/>
      <c r="I101" s="808"/>
      <c r="J101" s="1111"/>
      <c r="K101" s="828">
        <v>1560</v>
      </c>
      <c r="L101" s="828">
        <v>1560</v>
      </c>
    </row>
    <row r="102" spans="1:12" ht="12.75" customHeight="1">
      <c r="A102" s="329"/>
      <c r="B102" s="342">
        <v>66</v>
      </c>
      <c r="C102" s="332" t="s">
        <v>457</v>
      </c>
      <c r="D102" s="622"/>
      <c r="E102" s="623"/>
      <c r="F102" s="623"/>
      <c r="G102" s="623"/>
      <c r="H102" s="345"/>
      <c r="I102" s="808"/>
      <c r="J102" s="1111"/>
      <c r="K102" s="828">
        <v>500</v>
      </c>
      <c r="L102" s="1166">
        <v>0</v>
      </c>
    </row>
    <row r="103" spans="1:12" ht="12.75" customHeight="1">
      <c r="A103" s="329"/>
      <c r="B103" s="342">
        <v>67</v>
      </c>
      <c r="C103" s="332" t="s">
        <v>458</v>
      </c>
      <c r="D103" s="622"/>
      <c r="E103" s="623"/>
      <c r="F103" s="623"/>
      <c r="G103" s="623"/>
      <c r="H103" s="345"/>
      <c r="I103" s="808"/>
      <c r="J103" s="1111"/>
      <c r="K103" s="828">
        <v>200</v>
      </c>
      <c r="L103" s="828">
        <v>200</v>
      </c>
    </row>
    <row r="104" spans="1:12" ht="12.75" customHeight="1">
      <c r="A104" s="329"/>
      <c r="B104" s="342">
        <v>68</v>
      </c>
      <c r="C104" s="332" t="s">
        <v>459</v>
      </c>
      <c r="D104" s="622"/>
      <c r="E104" s="623"/>
      <c r="F104" s="623"/>
      <c r="G104" s="623"/>
      <c r="H104" s="345"/>
      <c r="I104" s="808"/>
      <c r="J104" s="1111"/>
      <c r="K104" s="828">
        <v>2000</v>
      </c>
      <c r="L104" s="828">
        <v>300</v>
      </c>
    </row>
    <row r="105" spans="1:12" ht="12.75" customHeight="1">
      <c r="A105" s="329"/>
      <c r="B105" s="342">
        <v>69</v>
      </c>
      <c r="C105" s="332" t="s">
        <v>460</v>
      </c>
      <c r="D105" s="622"/>
      <c r="E105" s="623"/>
      <c r="F105" s="623"/>
      <c r="G105" s="623"/>
      <c r="H105" s="345"/>
      <c r="I105" s="808"/>
      <c r="J105" s="1111"/>
      <c r="K105" s="828">
        <v>1000</v>
      </c>
      <c r="L105" s="828">
        <v>1000</v>
      </c>
    </row>
    <row r="106" spans="1:12" ht="12.75" customHeight="1" hidden="1">
      <c r="A106" s="329"/>
      <c r="B106" s="342">
        <v>78</v>
      </c>
      <c r="C106" s="332" t="s">
        <v>461</v>
      </c>
      <c r="D106" s="622"/>
      <c r="E106" s="623"/>
      <c r="F106" s="623"/>
      <c r="G106" s="623"/>
      <c r="H106" s="345"/>
      <c r="I106" s="808"/>
      <c r="J106" s="1111"/>
      <c r="K106" s="828">
        <v>1500</v>
      </c>
      <c r="L106" s="828">
        <v>0</v>
      </c>
    </row>
    <row r="107" spans="1:12" ht="12.75" customHeight="1" hidden="1">
      <c r="A107" s="329"/>
      <c r="B107" s="342">
        <v>79</v>
      </c>
      <c r="C107" s="332" t="s">
        <v>462</v>
      </c>
      <c r="D107" s="622"/>
      <c r="E107" s="623"/>
      <c r="F107" s="623"/>
      <c r="G107" s="623"/>
      <c r="H107" s="345"/>
      <c r="I107" s="808"/>
      <c r="J107" s="1111"/>
      <c r="K107" s="828">
        <v>800</v>
      </c>
      <c r="L107" s="828">
        <v>0</v>
      </c>
    </row>
    <row r="108" spans="1:12" ht="12.75" customHeight="1">
      <c r="A108" s="329"/>
      <c r="B108" s="342">
        <v>70</v>
      </c>
      <c r="C108" s="332" t="s">
        <v>463</v>
      </c>
      <c r="D108" s="622"/>
      <c r="E108" s="623"/>
      <c r="F108" s="623"/>
      <c r="G108" s="623"/>
      <c r="H108" s="345"/>
      <c r="I108" s="808"/>
      <c r="J108" s="1111"/>
      <c r="K108" s="828">
        <v>500</v>
      </c>
      <c r="L108" s="828">
        <v>500</v>
      </c>
    </row>
    <row r="109" spans="1:12" ht="12.75" customHeight="1">
      <c r="A109" s="329"/>
      <c r="B109" s="333">
        <v>71</v>
      </c>
      <c r="C109" s="332" t="s">
        <v>464</v>
      </c>
      <c r="D109" s="622"/>
      <c r="E109" s="623"/>
      <c r="F109" s="623"/>
      <c r="G109" s="623"/>
      <c r="H109" s="345"/>
      <c r="I109" s="808"/>
      <c r="J109" s="1111"/>
      <c r="K109" s="828">
        <v>400</v>
      </c>
      <c r="L109" s="828">
        <v>400</v>
      </c>
    </row>
    <row r="110" spans="1:12" ht="12.75" customHeight="1" hidden="1">
      <c r="A110" s="329"/>
      <c r="B110" s="850">
        <v>52</v>
      </c>
      <c r="C110" s="542" t="s">
        <v>278</v>
      </c>
      <c r="D110" s="620"/>
      <c r="E110" s="621"/>
      <c r="F110" s="621"/>
      <c r="G110" s="621"/>
      <c r="H110" s="541">
        <v>6100</v>
      </c>
      <c r="I110" s="809"/>
      <c r="J110" s="1155"/>
      <c r="K110" s="834">
        <v>0</v>
      </c>
      <c r="L110" s="834">
        <v>0</v>
      </c>
    </row>
    <row r="111" spans="1:12" ht="12.75" customHeight="1">
      <c r="A111" s="338"/>
      <c r="B111" s="543"/>
      <c r="C111" s="336" t="s">
        <v>190</v>
      </c>
      <c r="D111" s="624">
        <f>SUM(D86:D87)</f>
        <v>0</v>
      </c>
      <c r="E111" s="624">
        <f>SUM(E86:E87)</f>
        <v>6000</v>
      </c>
      <c r="F111" s="615">
        <f>SUM(F86:F87)</f>
        <v>6750</v>
      </c>
      <c r="G111" s="615">
        <f>SUM(G86:G87)</f>
        <v>7120</v>
      </c>
      <c r="H111" s="539">
        <f>SUM(H86:H110)</f>
        <v>26640</v>
      </c>
      <c r="I111" s="820">
        <f>SUM(I86:I110)</f>
        <v>0</v>
      </c>
      <c r="J111" s="1153">
        <f>SUM(J86:J110)</f>
        <v>14300</v>
      </c>
      <c r="K111" s="832">
        <f>SUM(K86:K110)</f>
        <v>29360</v>
      </c>
      <c r="L111" s="832">
        <f>SUM(L86:L110)</f>
        <v>18060</v>
      </c>
    </row>
    <row r="112" spans="1:12" ht="12.75" customHeight="1">
      <c r="A112" s="329"/>
      <c r="B112" s="544">
        <v>72</v>
      </c>
      <c r="C112" s="545" t="s">
        <v>238</v>
      </c>
      <c r="D112" s="616">
        <f>(1777+195)</f>
        <v>1972</v>
      </c>
      <c r="E112" s="616">
        <v>2300</v>
      </c>
      <c r="F112" s="616"/>
      <c r="G112" s="616"/>
      <c r="H112" s="546">
        <v>15500</v>
      </c>
      <c r="I112" s="810"/>
      <c r="J112" s="1154">
        <v>20000</v>
      </c>
      <c r="K112" s="833">
        <v>25652</v>
      </c>
      <c r="L112" s="833">
        <v>23000</v>
      </c>
    </row>
    <row r="113" spans="1:12" ht="12.75" customHeight="1">
      <c r="A113" s="329"/>
      <c r="B113" s="331">
        <v>73</v>
      </c>
      <c r="C113" s="332" t="s">
        <v>239</v>
      </c>
      <c r="D113" s="611"/>
      <c r="E113" s="611"/>
      <c r="F113" s="611"/>
      <c r="G113" s="611"/>
      <c r="H113" s="531">
        <v>2650</v>
      </c>
      <c r="I113" s="811"/>
      <c r="J113" s="1111">
        <v>0</v>
      </c>
      <c r="K113" s="828"/>
      <c r="L113" s="828">
        <v>3000</v>
      </c>
    </row>
    <row r="114" spans="1:12" ht="12.75" customHeight="1">
      <c r="A114" s="329"/>
      <c r="B114" s="333">
        <v>74</v>
      </c>
      <c r="C114" s="542" t="s">
        <v>240</v>
      </c>
      <c r="D114" s="620"/>
      <c r="E114" s="621"/>
      <c r="F114" s="621"/>
      <c r="G114" s="621"/>
      <c r="H114" s="541">
        <v>670</v>
      </c>
      <c r="I114" s="806"/>
      <c r="J114" s="1155">
        <v>300</v>
      </c>
      <c r="K114" s="1167"/>
      <c r="L114" s="834">
        <v>300</v>
      </c>
    </row>
    <row r="115" spans="1:12" ht="12.75" customHeight="1">
      <c r="A115" s="338"/>
      <c r="B115" s="335"/>
      <c r="C115" s="336" t="s">
        <v>241</v>
      </c>
      <c r="D115" s="615">
        <f>SUM(D112)</f>
        <v>1972</v>
      </c>
      <c r="E115" s="615">
        <f>SUM(E112)</f>
        <v>2300</v>
      </c>
      <c r="F115" s="615">
        <f>SUM(F112)</f>
        <v>0</v>
      </c>
      <c r="G115" s="615"/>
      <c r="H115" s="539">
        <f>SUM(H112:H114)</f>
        <v>18820</v>
      </c>
      <c r="I115" s="821">
        <f>SUM(I112:I114)</f>
        <v>0</v>
      </c>
      <c r="J115" s="1168">
        <f>SUM(J112:J114)</f>
        <v>20300</v>
      </c>
      <c r="K115" s="836">
        <f>SUM(K112:K114)</f>
        <v>25652</v>
      </c>
      <c r="L115" s="836">
        <f>SUM(L112:L114)</f>
        <v>26300</v>
      </c>
    </row>
    <row r="116" spans="1:12" ht="12.75" customHeight="1">
      <c r="A116" s="329"/>
      <c r="B116" s="330">
        <v>75</v>
      </c>
      <c r="C116" s="337" t="s">
        <v>279</v>
      </c>
      <c r="D116" s="625"/>
      <c r="E116" s="625"/>
      <c r="F116" s="625"/>
      <c r="G116" s="625"/>
      <c r="H116" s="540"/>
      <c r="I116" s="822"/>
      <c r="J116" s="1169">
        <v>1250</v>
      </c>
      <c r="K116" s="837">
        <v>1250</v>
      </c>
      <c r="L116" s="837">
        <v>1250</v>
      </c>
    </row>
    <row r="117" spans="1:12" s="339" customFormat="1" ht="12.75" customHeight="1" thickBot="1">
      <c r="A117" s="338"/>
      <c r="B117" s="335"/>
      <c r="C117" s="336" t="s">
        <v>280</v>
      </c>
      <c r="D117" s="615"/>
      <c r="E117" s="615"/>
      <c r="F117" s="615"/>
      <c r="G117" s="615"/>
      <c r="H117" s="539">
        <f>H116</f>
        <v>0</v>
      </c>
      <c r="I117" s="821"/>
      <c r="J117" s="1168">
        <f>J116</f>
        <v>1250</v>
      </c>
      <c r="K117" s="836">
        <f>K116</f>
        <v>1250</v>
      </c>
      <c r="L117" s="836">
        <f>L116</f>
        <v>1250</v>
      </c>
    </row>
    <row r="118" spans="1:12" ht="12.75" customHeight="1" hidden="1">
      <c r="A118" s="329"/>
      <c r="B118" s="330"/>
      <c r="C118" s="337" t="s">
        <v>242</v>
      </c>
      <c r="D118" s="625">
        <f>(1777+195)</f>
        <v>1972</v>
      </c>
      <c r="E118" s="625">
        <v>2300</v>
      </c>
      <c r="F118" s="625"/>
      <c r="G118" s="625"/>
      <c r="H118" s="540"/>
      <c r="I118" s="822">
        <v>0</v>
      </c>
      <c r="J118" s="1169">
        <v>0</v>
      </c>
      <c r="K118" s="837"/>
      <c r="L118" s="837"/>
    </row>
    <row r="119" spans="1:12" ht="12.75" customHeight="1" hidden="1" thickBot="1">
      <c r="A119" s="338"/>
      <c r="B119" s="335"/>
      <c r="C119" s="336" t="s">
        <v>243</v>
      </c>
      <c r="D119" s="615">
        <f>SUM(D118)</f>
        <v>1972</v>
      </c>
      <c r="E119" s="615">
        <f>SUM(E118)</f>
        <v>2300</v>
      </c>
      <c r="F119" s="615">
        <f>SUM(F118)</f>
        <v>0</v>
      </c>
      <c r="G119" s="615">
        <f>G118</f>
        <v>0</v>
      </c>
      <c r="H119" s="539">
        <f>H118</f>
        <v>0</v>
      </c>
      <c r="I119" s="817">
        <f>SUM(I118)</f>
        <v>0</v>
      </c>
      <c r="J119" s="1108">
        <f>J118</f>
        <v>0</v>
      </c>
      <c r="K119" s="795"/>
      <c r="L119" s="795"/>
    </row>
    <row r="120" spans="1:13" ht="12.75" customHeight="1" thickBot="1">
      <c r="A120" s="515"/>
      <c r="B120" s="516"/>
      <c r="C120" s="547" t="s">
        <v>307</v>
      </c>
      <c r="D120" s="626">
        <f>928479*0.01</f>
        <v>9284.79</v>
      </c>
      <c r="E120" s="626">
        <v>10583</v>
      </c>
      <c r="F120" s="626">
        <v>13092</v>
      </c>
      <c r="G120" s="626">
        <v>10000</v>
      </c>
      <c r="H120" s="548">
        <v>15700</v>
      </c>
      <c r="I120" s="812">
        <v>0</v>
      </c>
      <c r="J120" s="1102">
        <v>16000</v>
      </c>
      <c r="K120" s="1170">
        <f>J120</f>
        <v>16000</v>
      </c>
      <c r="L120" s="1170">
        <f>K120</f>
        <v>16000</v>
      </c>
      <c r="M120" s="1230" t="s">
        <v>486</v>
      </c>
    </row>
    <row r="121" spans="1:12" s="339" customFormat="1" ht="12.75" customHeight="1" thickBot="1">
      <c r="A121" s="321"/>
      <c r="B121" s="549">
        <v>76</v>
      </c>
      <c r="C121" s="550" t="s">
        <v>191</v>
      </c>
      <c r="D121" s="627">
        <f aca="true" t="shared" si="4" ref="D121:L121">D5+D26+D120</f>
        <v>181363.79</v>
      </c>
      <c r="E121" s="627">
        <f t="shared" si="4"/>
        <v>205068</v>
      </c>
      <c r="F121" s="627">
        <f t="shared" si="4"/>
        <v>232019</v>
      </c>
      <c r="G121" s="627">
        <f t="shared" si="4"/>
        <v>289330</v>
      </c>
      <c r="H121" s="628">
        <f t="shared" si="4"/>
        <v>298911</v>
      </c>
      <c r="I121" s="823">
        <f t="shared" si="4"/>
        <v>56069</v>
      </c>
      <c r="J121" s="1171">
        <f t="shared" si="4"/>
        <v>327547</v>
      </c>
      <c r="K121" s="838">
        <f t="shared" si="4"/>
        <v>334749</v>
      </c>
      <c r="L121" s="838">
        <f t="shared" si="4"/>
        <v>334257</v>
      </c>
    </row>
    <row r="122" spans="1:12" s="339" customFormat="1" ht="12.75" customHeight="1">
      <c r="A122" s="629"/>
      <c r="B122" s="551"/>
      <c r="C122" s="551"/>
      <c r="D122" s="630"/>
      <c r="E122" s="630"/>
      <c r="F122" s="630"/>
      <c r="G122" s="630"/>
      <c r="H122" s="631"/>
      <c r="I122" s="552"/>
      <c r="J122" s="1172"/>
      <c r="K122" s="839"/>
      <c r="L122" s="839"/>
    </row>
    <row r="123" spans="1:13" ht="12.75" customHeight="1" thickBot="1">
      <c r="A123" s="632"/>
      <c r="B123" s="633"/>
      <c r="C123" s="634"/>
      <c r="D123" s="635"/>
      <c r="E123" s="635"/>
      <c r="F123" s="635"/>
      <c r="G123" s="635"/>
      <c r="H123" s="636"/>
      <c r="I123" s="637"/>
      <c r="J123" s="840">
        <v>1.07</v>
      </c>
      <c r="K123" s="1173">
        <v>1.04</v>
      </c>
      <c r="L123" s="1239">
        <v>1.07</v>
      </c>
      <c r="M123" s="1240">
        <v>1.06</v>
      </c>
    </row>
    <row r="124" spans="1:12" ht="12.75" customHeight="1">
      <c r="A124" s="638"/>
      <c r="B124" s="639"/>
      <c r="C124" s="640" t="s">
        <v>281</v>
      </c>
      <c r="D124" s="641">
        <v>2002</v>
      </c>
      <c r="E124" s="641">
        <v>2003</v>
      </c>
      <c r="F124" s="641">
        <v>2004</v>
      </c>
      <c r="G124" s="641">
        <v>2005</v>
      </c>
      <c r="H124" s="639">
        <v>2006</v>
      </c>
      <c r="I124" s="642"/>
      <c r="J124" s="1221">
        <v>2007</v>
      </c>
      <c r="K124" s="841">
        <v>2008</v>
      </c>
      <c r="L124" s="841">
        <v>2008</v>
      </c>
    </row>
    <row r="125" spans="1:12" ht="12.75" customHeight="1">
      <c r="A125" s="643"/>
      <c r="B125" s="644">
        <v>77</v>
      </c>
      <c r="C125" s="328" t="s">
        <v>282</v>
      </c>
      <c r="D125" s="645"/>
      <c r="E125" s="645"/>
      <c r="F125" s="645"/>
      <c r="G125" s="645"/>
      <c r="H125" s="646">
        <v>0</v>
      </c>
      <c r="I125" s="647"/>
      <c r="J125" s="1222">
        <v>0</v>
      </c>
      <c r="K125" s="842">
        <f>J125*$K$123</f>
        <v>0</v>
      </c>
      <c r="L125" s="842">
        <f>K125*$K$123</f>
        <v>0</v>
      </c>
    </row>
    <row r="126" spans="1:12" ht="12.75" customHeight="1">
      <c r="A126" s="648"/>
      <c r="B126" s="649">
        <v>78</v>
      </c>
      <c r="C126" s="650" t="s">
        <v>283</v>
      </c>
      <c r="D126" s="651"/>
      <c r="E126" s="651"/>
      <c r="F126" s="651"/>
      <c r="G126" s="651"/>
      <c r="H126" s="652">
        <v>0</v>
      </c>
      <c r="I126" s="653"/>
      <c r="J126" s="1223">
        <v>0</v>
      </c>
      <c r="K126" s="843">
        <f>J126*$K$123</f>
        <v>0</v>
      </c>
      <c r="L126" s="843">
        <f>K126*$K$123</f>
        <v>0</v>
      </c>
    </row>
    <row r="127" spans="1:12" ht="12.75" customHeight="1">
      <c r="A127" s="648"/>
      <c r="B127" s="644">
        <v>79</v>
      </c>
      <c r="C127" s="650" t="s">
        <v>284</v>
      </c>
      <c r="D127" s="651"/>
      <c r="E127" s="651"/>
      <c r="F127" s="651"/>
      <c r="G127" s="651">
        <v>1700</v>
      </c>
      <c r="H127" s="652">
        <v>3500</v>
      </c>
      <c r="I127" s="653"/>
      <c r="J127" s="1224">
        <v>3675</v>
      </c>
      <c r="K127" s="1011">
        <f aca="true" t="shared" si="5" ref="K127:K135">J127*$K$123</f>
        <v>3822</v>
      </c>
      <c r="L127" s="1011">
        <f>J127*$L$123</f>
        <v>3932.2500000000005</v>
      </c>
    </row>
    <row r="128" spans="1:12" ht="12.75" customHeight="1">
      <c r="A128" s="648"/>
      <c r="B128" s="649">
        <v>80</v>
      </c>
      <c r="C128" s="650" t="s">
        <v>285</v>
      </c>
      <c r="D128" s="651"/>
      <c r="E128" s="651"/>
      <c r="F128" s="651"/>
      <c r="G128" s="651">
        <v>1500</v>
      </c>
      <c r="H128" s="652">
        <v>1710</v>
      </c>
      <c r="I128" s="653"/>
      <c r="J128" s="1224">
        <v>1796</v>
      </c>
      <c r="K128" s="1011">
        <f t="shared" si="5"/>
        <v>1867.8400000000001</v>
      </c>
      <c r="L128" s="1011">
        <f>J128*$L$123</f>
        <v>1921.72</v>
      </c>
    </row>
    <row r="129" spans="1:12" ht="12.75" customHeight="1">
      <c r="A129" s="648"/>
      <c r="B129" s="644">
        <v>81</v>
      </c>
      <c r="C129" s="650" t="s">
        <v>286</v>
      </c>
      <c r="D129" s="651"/>
      <c r="E129" s="651"/>
      <c r="F129" s="651"/>
      <c r="G129" s="651"/>
      <c r="H129" s="652">
        <v>0</v>
      </c>
      <c r="I129" s="653"/>
      <c r="J129" s="1223">
        <v>0</v>
      </c>
      <c r="K129" s="843">
        <f t="shared" si="5"/>
        <v>0</v>
      </c>
      <c r="L129" s="843">
        <f>K129*$K$123</f>
        <v>0</v>
      </c>
    </row>
    <row r="130" spans="1:12" ht="12.75" customHeight="1">
      <c r="A130" s="648"/>
      <c r="B130" s="649">
        <v>82</v>
      </c>
      <c r="C130" s="650" t="s">
        <v>487</v>
      </c>
      <c r="D130" s="651"/>
      <c r="E130" s="651"/>
      <c r="F130" s="651"/>
      <c r="G130" s="651"/>
      <c r="H130" s="652"/>
      <c r="I130" s="653"/>
      <c r="J130" s="1223"/>
      <c r="K130" s="1174">
        <f t="shared" si="5"/>
        <v>0</v>
      </c>
      <c r="L130" s="1216">
        <f>K130*$K$123</f>
        <v>0</v>
      </c>
    </row>
    <row r="131" spans="1:13" ht="12.75" customHeight="1">
      <c r="A131" s="648"/>
      <c r="B131" s="644">
        <v>83</v>
      </c>
      <c r="C131" s="650" t="s">
        <v>287</v>
      </c>
      <c r="D131" s="651"/>
      <c r="E131" s="651"/>
      <c r="F131" s="651">
        <v>50459</v>
      </c>
      <c r="G131" s="651">
        <v>53991</v>
      </c>
      <c r="H131" s="652">
        <v>88369</v>
      </c>
      <c r="I131" s="653"/>
      <c r="J131" s="1223">
        <v>94555</v>
      </c>
      <c r="K131" s="843">
        <f t="shared" si="5"/>
        <v>98337.2</v>
      </c>
      <c r="L131" s="1241">
        <f>J131*$M$123+2300</f>
        <v>102528.3</v>
      </c>
      <c r="M131" s="1228" t="s">
        <v>485</v>
      </c>
    </row>
    <row r="132" spans="1:12" ht="12.75" customHeight="1" hidden="1">
      <c r="A132" s="648"/>
      <c r="B132" s="649"/>
      <c r="C132" s="650" t="s">
        <v>288</v>
      </c>
      <c r="D132" s="651"/>
      <c r="E132" s="651"/>
      <c r="F132" s="651"/>
      <c r="G132" s="651"/>
      <c r="H132" s="652">
        <v>0</v>
      </c>
      <c r="I132" s="653"/>
      <c r="J132" s="1223">
        <v>0</v>
      </c>
      <c r="K132" s="843">
        <f t="shared" si="5"/>
        <v>0</v>
      </c>
      <c r="L132" s="843">
        <f>J132*$K$123</f>
        <v>0</v>
      </c>
    </row>
    <row r="133" spans="1:12" ht="12.75" customHeight="1">
      <c r="A133" s="648"/>
      <c r="B133" s="649">
        <v>84</v>
      </c>
      <c r="C133" s="650" t="s">
        <v>465</v>
      </c>
      <c r="D133" s="651"/>
      <c r="E133" s="651"/>
      <c r="F133" s="651">
        <v>17545</v>
      </c>
      <c r="G133" s="651">
        <v>19264</v>
      </c>
      <c r="H133" s="652">
        <v>21961</v>
      </c>
      <c r="I133" s="653"/>
      <c r="J133" s="1224">
        <v>26609</v>
      </c>
      <c r="K133" s="1011">
        <f t="shared" si="5"/>
        <v>27673.36</v>
      </c>
      <c r="L133" s="1011">
        <f>J133*$L$123</f>
        <v>28471.63</v>
      </c>
    </row>
    <row r="134" spans="1:12" ht="12.75" customHeight="1">
      <c r="A134" s="648"/>
      <c r="B134" s="649">
        <v>85</v>
      </c>
      <c r="C134" s="650" t="s">
        <v>289</v>
      </c>
      <c r="D134" s="651"/>
      <c r="E134" s="651"/>
      <c r="F134" s="651">
        <v>6050</v>
      </c>
      <c r="G134" s="651">
        <v>6474</v>
      </c>
      <c r="H134" s="652">
        <v>7380</v>
      </c>
      <c r="I134" s="653"/>
      <c r="J134" s="1224">
        <v>7749</v>
      </c>
      <c r="K134" s="1011">
        <f t="shared" si="5"/>
        <v>8058.96</v>
      </c>
      <c r="L134" s="1011">
        <f>J134*$L$123</f>
        <v>8291.43</v>
      </c>
    </row>
    <row r="135" spans="1:13" ht="12.75" customHeight="1">
      <c r="A135" s="643"/>
      <c r="B135" s="1219">
        <v>86</v>
      </c>
      <c r="C135" s="328" t="s">
        <v>290</v>
      </c>
      <c r="D135" s="645"/>
      <c r="E135" s="645"/>
      <c r="F135" s="654">
        <f>56191+500</f>
        <v>56691</v>
      </c>
      <c r="G135" s="654">
        <f>60124+500</f>
        <v>60624</v>
      </c>
      <c r="H135" s="646">
        <v>74128</v>
      </c>
      <c r="I135" s="647"/>
      <c r="J135" s="1223">
        <v>79317</v>
      </c>
      <c r="K135" s="843">
        <f t="shared" si="5"/>
        <v>82489.68000000001</v>
      </c>
      <c r="L135" s="1242">
        <f>J135*$M$123-1867</f>
        <v>82209.02</v>
      </c>
      <c r="M135" s="1227" t="s">
        <v>484</v>
      </c>
    </row>
    <row r="136" spans="1:12" ht="12.75" customHeight="1">
      <c r="A136" s="655"/>
      <c r="B136" s="656"/>
      <c r="C136" s="849" t="s">
        <v>306</v>
      </c>
      <c r="D136" s="657">
        <f aca="true" t="shared" si="6" ref="D136:L136">SUM(D125:D135)</f>
        <v>0</v>
      </c>
      <c r="E136" s="657">
        <f t="shared" si="6"/>
        <v>0</v>
      </c>
      <c r="F136" s="657">
        <f t="shared" si="6"/>
        <v>130745</v>
      </c>
      <c r="G136" s="657">
        <f t="shared" si="6"/>
        <v>143553</v>
      </c>
      <c r="H136" s="658">
        <f t="shared" si="6"/>
        <v>197048</v>
      </c>
      <c r="I136" s="796">
        <f t="shared" si="6"/>
        <v>0</v>
      </c>
      <c r="J136" s="1225">
        <f t="shared" si="6"/>
        <v>213701</v>
      </c>
      <c r="K136" s="844">
        <f t="shared" si="6"/>
        <v>222249.03999999998</v>
      </c>
      <c r="L136" s="844">
        <f t="shared" si="6"/>
        <v>227354.34999999998</v>
      </c>
    </row>
    <row r="137" spans="1:13" ht="12.75" customHeight="1" thickBot="1">
      <c r="A137" s="659"/>
      <c r="B137" s="1220">
        <v>87</v>
      </c>
      <c r="C137" s="660" t="s">
        <v>291</v>
      </c>
      <c r="D137" s="661">
        <f aca="true" t="shared" si="7" ref="D137:L137">D136+D121</f>
        <v>181363.79</v>
      </c>
      <c r="E137" s="661">
        <f t="shared" si="7"/>
        <v>205068</v>
      </c>
      <c r="F137" s="661">
        <f t="shared" si="7"/>
        <v>362764</v>
      </c>
      <c r="G137" s="661">
        <f t="shared" si="7"/>
        <v>432883</v>
      </c>
      <c r="H137" s="662">
        <f t="shared" si="7"/>
        <v>495959</v>
      </c>
      <c r="I137" s="797">
        <f t="shared" si="7"/>
        <v>56069</v>
      </c>
      <c r="J137" s="1226">
        <f t="shared" si="7"/>
        <v>541248</v>
      </c>
      <c r="K137" s="845">
        <f t="shared" si="7"/>
        <v>556998.04</v>
      </c>
      <c r="L137" s="845">
        <f t="shared" si="7"/>
        <v>561611.35</v>
      </c>
      <c r="M137" s="1175"/>
    </row>
    <row r="138" spans="1:12" s="326" customFormat="1" ht="12.75" customHeight="1">
      <c r="A138" s="632"/>
      <c r="B138" s="1026"/>
      <c r="C138" s="634"/>
      <c r="D138" s="634"/>
      <c r="E138" s="634"/>
      <c r="F138" s="634"/>
      <c r="G138" s="634"/>
      <c r="H138" s="634"/>
      <c r="I138" s="634"/>
      <c r="J138" s="1176">
        <f>J137-H137</f>
        <v>45289</v>
      </c>
      <c r="K138" s="1177">
        <f>K137/J137</f>
        <v>1.0290994885893343</v>
      </c>
      <c r="L138" s="1229">
        <f>L137/J137</f>
        <v>1.0376229565744353</v>
      </c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printOptions horizontalCentered="1"/>
  <pageMargins left="0.4" right="0.2755905511811024" top="0.29" bottom="0.2755905511811024" header="0.1968503937007874" footer="0.1968503937007874"/>
  <pageSetup horizontalDpi="600" verticalDpi="600" orientation="portrait" paperSize="9" scale="59" r:id="rId1"/>
  <headerFooter alignWithMargins="0">
    <oddHeader>&amp;R&amp;8Příloha 1</oddHeader>
  </headerFooter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39">
      <selection activeCell="F67" sqref="F6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2" bestFit="1" customWidth="1"/>
    <col min="6" max="6" width="55.25390625" style="61" customWidth="1"/>
    <col min="7" max="7" width="10.00390625" style="2" customWidth="1"/>
    <col min="8" max="8" width="5.125" style="0" hidden="1" customWidth="1"/>
    <col min="9" max="9" width="7.625" style="108" customWidth="1"/>
    <col min="10" max="12" width="8.00390625" style="108" customWidth="1"/>
    <col min="13" max="13" width="8.125" style="108" customWidth="1"/>
    <col min="14" max="14" width="11.75390625" style="108" customWidth="1"/>
  </cols>
  <sheetData>
    <row r="1" spans="1:14" ht="15.75" customHeight="1">
      <c r="A1" s="1314" t="s">
        <v>396</v>
      </c>
      <c r="B1" s="1315"/>
      <c r="C1" s="1315"/>
      <c r="D1" s="1316"/>
      <c r="E1" s="44"/>
      <c r="F1" s="45"/>
      <c r="G1" s="851" t="s">
        <v>76</v>
      </c>
      <c r="H1" s="46" t="s">
        <v>77</v>
      </c>
      <c r="I1" s="852" t="s">
        <v>192</v>
      </c>
      <c r="J1" s="1317" t="s">
        <v>309</v>
      </c>
      <c r="K1" s="1318"/>
      <c r="L1" s="1318"/>
      <c r="M1" s="1319"/>
      <c r="N1" s="853" t="s">
        <v>78</v>
      </c>
    </row>
    <row r="2" spans="1:14" s="2" customFormat="1" ht="13.5" thickBot="1">
      <c r="A2" s="47" t="s">
        <v>495</v>
      </c>
      <c r="B2" s="34"/>
      <c r="C2" s="34"/>
      <c r="D2" s="48"/>
      <c r="E2" s="49" t="s">
        <v>67</v>
      </c>
      <c r="F2" s="50" t="s">
        <v>69</v>
      </c>
      <c r="G2" s="854">
        <v>2008</v>
      </c>
      <c r="H2" s="51" t="s">
        <v>54</v>
      </c>
      <c r="I2" s="855" t="s">
        <v>310</v>
      </c>
      <c r="J2" s="856" t="s">
        <v>311</v>
      </c>
      <c r="K2" s="857" t="s">
        <v>312</v>
      </c>
      <c r="L2" s="857" t="s">
        <v>313</v>
      </c>
      <c r="M2" s="857" t="s">
        <v>314</v>
      </c>
      <c r="N2" s="858">
        <v>2007</v>
      </c>
    </row>
    <row r="3" spans="1:14" ht="13.5" thickBot="1">
      <c r="A3" s="105" t="s">
        <v>315</v>
      </c>
      <c r="B3" s="106"/>
      <c r="C3" s="106"/>
      <c r="D3" s="106"/>
      <c r="E3" s="103">
        <v>1</v>
      </c>
      <c r="F3" s="107"/>
      <c r="G3" s="859"/>
      <c r="H3" s="106"/>
      <c r="I3" s="860"/>
      <c r="J3" s="860"/>
      <c r="K3" s="861"/>
      <c r="L3" s="861"/>
      <c r="M3" s="862"/>
      <c r="N3" s="863"/>
    </row>
    <row r="4" spans="1:14" s="17" customFormat="1" ht="12.75">
      <c r="A4" s="18" t="s">
        <v>79</v>
      </c>
      <c r="B4" s="52" t="s">
        <v>316</v>
      </c>
      <c r="C4" s="52"/>
      <c r="D4" s="52"/>
      <c r="E4" s="53">
        <v>2</v>
      </c>
      <c r="F4" s="54" t="s">
        <v>342</v>
      </c>
      <c r="G4" s="864"/>
      <c r="H4" s="52"/>
      <c r="I4" s="865"/>
      <c r="J4" s="865"/>
      <c r="K4" s="866"/>
      <c r="L4" s="866"/>
      <c r="M4" s="867"/>
      <c r="N4" s="868"/>
    </row>
    <row r="5" spans="1:14" s="17" customFormat="1" ht="12.75">
      <c r="A5" s="18"/>
      <c r="B5" s="24"/>
      <c r="C5" s="24" t="s">
        <v>80</v>
      </c>
      <c r="D5" s="30" t="s">
        <v>81</v>
      </c>
      <c r="E5" s="55">
        <v>3</v>
      </c>
      <c r="F5" s="56"/>
      <c r="G5" s="869"/>
      <c r="H5" s="30"/>
      <c r="I5" s="870"/>
      <c r="J5" s="870"/>
      <c r="K5" s="871"/>
      <c r="L5" s="871"/>
      <c r="M5" s="872"/>
      <c r="N5" s="873"/>
    </row>
    <row r="6" spans="1:14" s="17" customFormat="1" ht="12.75">
      <c r="A6" s="18"/>
      <c r="B6" s="24"/>
      <c r="C6" s="24"/>
      <c r="D6" s="30" t="s">
        <v>82</v>
      </c>
      <c r="E6" s="55">
        <v>4</v>
      </c>
      <c r="F6" s="56"/>
      <c r="G6" s="869"/>
      <c r="H6" s="30"/>
      <c r="I6" s="870"/>
      <c r="J6" s="870"/>
      <c r="K6" s="871"/>
      <c r="L6" s="871"/>
      <c r="M6" s="872"/>
      <c r="N6" s="873"/>
    </row>
    <row r="7" spans="1:14" s="17" customFormat="1" ht="12.75">
      <c r="A7" s="18"/>
      <c r="B7" s="24"/>
      <c r="C7" s="24"/>
      <c r="D7" s="30" t="s">
        <v>382</v>
      </c>
      <c r="E7" s="55">
        <v>5</v>
      </c>
      <c r="F7" s="56"/>
      <c r="G7" s="869"/>
      <c r="H7" s="30"/>
      <c r="I7" s="870"/>
      <c r="J7" s="870"/>
      <c r="K7" s="871"/>
      <c r="L7" s="871"/>
      <c r="M7" s="872"/>
      <c r="N7" s="873"/>
    </row>
    <row r="8" spans="1:14" s="17" customFormat="1" ht="12.75">
      <c r="A8" s="18"/>
      <c r="B8" s="24"/>
      <c r="C8" s="24"/>
      <c r="D8" s="30" t="s">
        <v>83</v>
      </c>
      <c r="E8" s="55">
        <v>6</v>
      </c>
      <c r="F8" s="56"/>
      <c r="G8" s="869"/>
      <c r="H8" s="30"/>
      <c r="I8" s="870"/>
      <c r="J8" s="870"/>
      <c r="K8" s="871"/>
      <c r="L8" s="871"/>
      <c r="M8" s="872"/>
      <c r="N8" s="873"/>
    </row>
    <row r="9" spans="1:14" s="17" customFormat="1" ht="12.75">
      <c r="A9" s="18"/>
      <c r="B9" s="24"/>
      <c r="C9" s="24"/>
      <c r="D9" s="30" t="s">
        <v>84</v>
      </c>
      <c r="E9" s="55">
        <v>7</v>
      </c>
      <c r="F9" s="56"/>
      <c r="G9" s="869"/>
      <c r="H9" s="30"/>
      <c r="I9" s="870"/>
      <c r="J9" s="870"/>
      <c r="K9" s="871"/>
      <c r="L9" s="871"/>
      <c r="M9" s="872"/>
      <c r="N9" s="873"/>
    </row>
    <row r="10" spans="1:14" s="17" customFormat="1" ht="12.75">
      <c r="A10" s="18"/>
      <c r="B10" s="24"/>
      <c r="C10" s="24"/>
      <c r="D10" s="30" t="s">
        <v>85</v>
      </c>
      <c r="E10" s="55">
        <v>8</v>
      </c>
      <c r="F10" s="56"/>
      <c r="G10" s="869"/>
      <c r="H10" s="30"/>
      <c r="I10" s="870"/>
      <c r="J10" s="870"/>
      <c r="K10" s="871"/>
      <c r="L10" s="871"/>
      <c r="M10" s="872"/>
      <c r="N10" s="873"/>
    </row>
    <row r="11" spans="1:14" s="17" customFormat="1" ht="12.75">
      <c r="A11" s="18"/>
      <c r="B11" s="24"/>
      <c r="C11" s="24"/>
      <c r="D11" s="30" t="s">
        <v>86</v>
      </c>
      <c r="E11" s="55">
        <v>9</v>
      </c>
      <c r="F11" s="56"/>
      <c r="G11" s="869"/>
      <c r="H11" s="30"/>
      <c r="I11" s="870"/>
      <c r="J11" s="870"/>
      <c r="K11" s="871"/>
      <c r="L11" s="871"/>
      <c r="M11" s="872"/>
      <c r="N11" s="873"/>
    </row>
    <row r="12" spans="1:14" s="17" customFormat="1" ht="12.75">
      <c r="A12" s="18"/>
      <c r="B12" s="24"/>
      <c r="C12" s="24"/>
      <c r="D12" s="30" t="s">
        <v>87</v>
      </c>
      <c r="E12" s="55">
        <v>10</v>
      </c>
      <c r="F12" s="56"/>
      <c r="G12" s="869"/>
      <c r="H12" s="30"/>
      <c r="I12" s="870"/>
      <c r="J12" s="870"/>
      <c r="K12" s="871"/>
      <c r="L12" s="871"/>
      <c r="M12" s="872"/>
      <c r="N12" s="873"/>
    </row>
    <row r="13" spans="1:14" s="17" customFormat="1" ht="12.75">
      <c r="A13" s="18"/>
      <c r="B13" s="24"/>
      <c r="C13" s="24"/>
      <c r="D13" s="30" t="s">
        <v>51</v>
      </c>
      <c r="E13" s="55">
        <v>11</v>
      </c>
      <c r="F13" s="56"/>
      <c r="G13" s="869"/>
      <c r="H13" s="30"/>
      <c r="I13" s="870"/>
      <c r="J13" s="870"/>
      <c r="K13" s="871"/>
      <c r="L13" s="871"/>
      <c r="M13" s="872"/>
      <c r="N13" s="873"/>
    </row>
    <row r="14" spans="1:14" s="17" customFormat="1" ht="12.75">
      <c r="A14" s="18"/>
      <c r="B14" s="24"/>
      <c r="C14" s="24"/>
      <c r="D14" s="30" t="s">
        <v>88</v>
      </c>
      <c r="E14" s="55">
        <v>12</v>
      </c>
      <c r="F14" s="56"/>
      <c r="G14" s="869"/>
      <c r="H14" s="30"/>
      <c r="I14" s="870"/>
      <c r="J14" s="870"/>
      <c r="K14" s="871"/>
      <c r="L14" s="871"/>
      <c r="M14" s="872"/>
      <c r="N14" s="873"/>
    </row>
    <row r="15" spans="1:14" s="17" customFormat="1" ht="12.75">
      <c r="A15" s="18"/>
      <c r="B15" s="24"/>
      <c r="C15" s="30"/>
      <c r="D15" s="30" t="s">
        <v>26</v>
      </c>
      <c r="E15" s="55">
        <v>13</v>
      </c>
      <c r="F15" s="56"/>
      <c r="G15" s="869"/>
      <c r="H15" s="30"/>
      <c r="I15" s="870"/>
      <c r="J15" s="870"/>
      <c r="K15" s="871"/>
      <c r="L15" s="871"/>
      <c r="M15" s="872"/>
      <c r="N15" s="873"/>
    </row>
    <row r="16" spans="1:14" s="17" customFormat="1" ht="12.75">
      <c r="A16" s="18"/>
      <c r="B16" s="57" t="s">
        <v>89</v>
      </c>
      <c r="C16" s="30"/>
      <c r="D16" s="30"/>
      <c r="E16" s="55">
        <v>14</v>
      </c>
      <c r="F16" s="56" t="s">
        <v>90</v>
      </c>
      <c r="G16" s="869"/>
      <c r="H16" s="30"/>
      <c r="I16" s="870"/>
      <c r="J16" s="870"/>
      <c r="K16" s="871"/>
      <c r="L16" s="871"/>
      <c r="M16" s="872"/>
      <c r="N16" s="873"/>
    </row>
    <row r="17" spans="1:14" s="17" customFormat="1" ht="12.75">
      <c r="A17" s="18"/>
      <c r="B17" s="57" t="s">
        <v>91</v>
      </c>
      <c r="C17" s="30"/>
      <c r="D17" s="30"/>
      <c r="E17" s="55">
        <v>15</v>
      </c>
      <c r="F17" s="56" t="s">
        <v>92</v>
      </c>
      <c r="G17" s="869"/>
      <c r="H17" s="30"/>
      <c r="I17" s="870"/>
      <c r="J17" s="870"/>
      <c r="K17" s="871"/>
      <c r="L17" s="871"/>
      <c r="M17" s="872"/>
      <c r="N17" s="873"/>
    </row>
    <row r="18" spans="1:14" s="17" customFormat="1" ht="12.75">
      <c r="A18" s="18"/>
      <c r="B18" s="874" t="s">
        <v>93</v>
      </c>
      <c r="C18" s="875"/>
      <c r="D18" s="875"/>
      <c r="E18" s="187">
        <v>16</v>
      </c>
      <c r="F18" s="876" t="s">
        <v>317</v>
      </c>
      <c r="G18" s="869"/>
      <c r="H18" s="30"/>
      <c r="I18" s="870"/>
      <c r="J18" s="870"/>
      <c r="K18" s="871"/>
      <c r="L18" s="871"/>
      <c r="M18" s="872"/>
      <c r="N18" s="873"/>
    </row>
    <row r="19" spans="1:14" s="17" customFormat="1" ht="12.75">
      <c r="A19" s="18"/>
      <c r="B19" s="874" t="s">
        <v>94</v>
      </c>
      <c r="C19" s="875"/>
      <c r="D19" s="875"/>
      <c r="E19" s="187">
        <v>17</v>
      </c>
      <c r="F19" s="877" t="s">
        <v>95</v>
      </c>
      <c r="G19" s="869"/>
      <c r="H19" s="30"/>
      <c r="I19" s="870"/>
      <c r="J19" s="870"/>
      <c r="K19" s="871"/>
      <c r="L19" s="871"/>
      <c r="M19" s="872"/>
      <c r="N19" s="873"/>
    </row>
    <row r="20" spans="1:14" s="17" customFormat="1" ht="12.75">
      <c r="A20" s="18"/>
      <c r="B20" s="874" t="s">
        <v>96</v>
      </c>
      <c r="C20" s="874"/>
      <c r="D20" s="874"/>
      <c r="E20" s="187">
        <v>18</v>
      </c>
      <c r="F20" s="877" t="s">
        <v>318</v>
      </c>
      <c r="G20" s="869"/>
      <c r="H20" s="30"/>
      <c r="I20" s="870"/>
      <c r="J20" s="870"/>
      <c r="K20" s="871"/>
      <c r="L20" s="871"/>
      <c r="M20" s="872"/>
      <c r="N20" s="873"/>
    </row>
    <row r="21" spans="1:14" s="17" customFormat="1" ht="12.75">
      <c r="A21" s="18"/>
      <c r="B21" s="874" t="s">
        <v>319</v>
      </c>
      <c r="C21" s="874"/>
      <c r="D21" s="874"/>
      <c r="E21" s="187">
        <v>19</v>
      </c>
      <c r="F21" s="877" t="s">
        <v>320</v>
      </c>
      <c r="G21" s="869"/>
      <c r="H21" s="30"/>
      <c r="I21" s="870"/>
      <c r="J21" s="870"/>
      <c r="K21" s="871"/>
      <c r="L21" s="871"/>
      <c r="M21" s="872"/>
      <c r="N21" s="873"/>
    </row>
    <row r="22" spans="1:14" s="17" customFormat="1" ht="12.75">
      <c r="A22" s="18"/>
      <c r="B22" s="874" t="s">
        <v>375</v>
      </c>
      <c r="C22" s="874"/>
      <c r="D22" s="874"/>
      <c r="E22" s="187">
        <v>20</v>
      </c>
      <c r="F22" s="877" t="s">
        <v>97</v>
      </c>
      <c r="G22" s="869"/>
      <c r="H22" s="30"/>
      <c r="I22" s="872"/>
      <c r="J22" s="871"/>
      <c r="K22" s="871"/>
      <c r="L22" s="871"/>
      <c r="M22" s="872"/>
      <c r="N22" s="873"/>
    </row>
    <row r="23" spans="1:14" s="17" customFormat="1" ht="12.75">
      <c r="A23" s="18"/>
      <c r="B23" s="874" t="s">
        <v>98</v>
      </c>
      <c r="C23" s="874"/>
      <c r="D23" s="874"/>
      <c r="E23" s="187">
        <v>21</v>
      </c>
      <c r="F23" s="877" t="s">
        <v>322</v>
      </c>
      <c r="G23" s="869"/>
      <c r="H23" s="30"/>
      <c r="I23" s="872"/>
      <c r="J23" s="871"/>
      <c r="K23" s="871"/>
      <c r="L23" s="871"/>
      <c r="M23" s="872"/>
      <c r="N23" s="873"/>
    </row>
    <row r="24" spans="1:14" s="17" customFormat="1" ht="12.75">
      <c r="A24" s="18"/>
      <c r="B24" s="874" t="s">
        <v>99</v>
      </c>
      <c r="C24" s="874"/>
      <c r="D24" s="874"/>
      <c r="E24" s="187">
        <v>22</v>
      </c>
      <c r="F24" s="877" t="s">
        <v>343</v>
      </c>
      <c r="G24" s="869"/>
      <c r="H24" s="30"/>
      <c r="I24" s="872"/>
      <c r="J24" s="871"/>
      <c r="K24" s="871"/>
      <c r="L24" s="871"/>
      <c r="M24" s="872"/>
      <c r="N24" s="873"/>
    </row>
    <row r="25" spans="1:14" s="17" customFormat="1" ht="12.75">
      <c r="A25" s="18"/>
      <c r="B25" s="874" t="s">
        <v>323</v>
      </c>
      <c r="C25" s="874"/>
      <c r="D25" s="874"/>
      <c r="E25" s="187">
        <v>23</v>
      </c>
      <c r="F25" s="877" t="s">
        <v>324</v>
      </c>
      <c r="G25" s="869"/>
      <c r="H25" s="30"/>
      <c r="I25" s="872"/>
      <c r="J25" s="871"/>
      <c r="K25" s="871"/>
      <c r="L25" s="871"/>
      <c r="M25" s="872"/>
      <c r="N25" s="873"/>
    </row>
    <row r="26" spans="1:14" s="17" customFormat="1" ht="12.75">
      <c r="A26" s="18"/>
      <c r="B26" s="874" t="s">
        <v>376</v>
      </c>
      <c r="C26" s="874"/>
      <c r="D26" s="874"/>
      <c r="E26" s="187">
        <v>24</v>
      </c>
      <c r="F26" s="877" t="s">
        <v>325</v>
      </c>
      <c r="G26" s="869"/>
      <c r="H26" s="30"/>
      <c r="I26" s="872"/>
      <c r="J26" s="871"/>
      <c r="K26" s="871"/>
      <c r="L26" s="871"/>
      <c r="M26" s="872"/>
      <c r="N26" s="873"/>
    </row>
    <row r="27" spans="1:14" s="17" customFormat="1" ht="13.5" thickBot="1">
      <c r="A27" s="18"/>
      <c r="B27" s="57" t="s">
        <v>100</v>
      </c>
      <c r="C27" s="57"/>
      <c r="D27" s="57"/>
      <c r="E27" s="55">
        <v>25</v>
      </c>
      <c r="F27" s="58" t="s">
        <v>101</v>
      </c>
      <c r="G27" s="869"/>
      <c r="H27" s="30"/>
      <c r="I27" s="872"/>
      <c r="J27" s="871"/>
      <c r="K27" s="871"/>
      <c r="L27" s="871"/>
      <c r="M27" s="872"/>
      <c r="N27" s="873"/>
    </row>
    <row r="28" spans="1:14" ht="13.5" thickBot="1">
      <c r="A28" s="101" t="s">
        <v>326</v>
      </c>
      <c r="B28" s="102"/>
      <c r="C28" s="102"/>
      <c r="D28" s="102"/>
      <c r="E28" s="103">
        <v>26</v>
      </c>
      <c r="F28" s="104"/>
      <c r="G28" s="878"/>
      <c r="H28" s="102"/>
      <c r="I28" s="879"/>
      <c r="J28" s="880"/>
      <c r="K28" s="880"/>
      <c r="L28" s="880"/>
      <c r="M28" s="879"/>
      <c r="N28" s="881"/>
    </row>
    <row r="29" spans="1:14" s="17" customFormat="1" ht="12.75">
      <c r="A29" s="18" t="s">
        <v>79</v>
      </c>
      <c r="B29" s="30" t="s">
        <v>327</v>
      </c>
      <c r="C29" s="30"/>
      <c r="D29" s="30"/>
      <c r="E29" s="55">
        <v>27</v>
      </c>
      <c r="F29" s="56" t="s">
        <v>102</v>
      </c>
      <c r="G29" s="864"/>
      <c r="H29" s="52"/>
      <c r="I29" s="867"/>
      <c r="J29" s="866"/>
      <c r="K29" s="866"/>
      <c r="L29" s="866"/>
      <c r="M29" s="867"/>
      <c r="N29" s="868"/>
    </row>
    <row r="30" spans="1:14" s="17" customFormat="1" ht="12.75">
      <c r="A30" s="18"/>
      <c r="B30" s="57" t="s">
        <v>89</v>
      </c>
      <c r="C30" s="57"/>
      <c r="D30" s="57"/>
      <c r="E30" s="55">
        <v>28</v>
      </c>
      <c r="F30" s="58" t="s">
        <v>90</v>
      </c>
      <c r="G30" s="882"/>
      <c r="H30" s="57"/>
      <c r="I30" s="883"/>
      <c r="J30" s="884"/>
      <c r="K30" s="884"/>
      <c r="L30" s="884"/>
      <c r="M30" s="883"/>
      <c r="N30" s="885"/>
    </row>
    <row r="31" spans="1:14" s="17" customFormat="1" ht="12.75">
      <c r="A31" s="18"/>
      <c r="B31" s="57" t="s">
        <v>91</v>
      </c>
      <c r="C31" s="57"/>
      <c r="D31" s="57"/>
      <c r="E31" s="55">
        <v>29</v>
      </c>
      <c r="F31" s="58" t="s">
        <v>92</v>
      </c>
      <c r="G31" s="882"/>
      <c r="H31" s="57"/>
      <c r="I31" s="883"/>
      <c r="J31" s="884"/>
      <c r="K31" s="884"/>
      <c r="L31" s="884"/>
      <c r="M31" s="883"/>
      <c r="N31" s="885"/>
    </row>
    <row r="32" spans="1:14" s="17" customFormat="1" ht="12.75">
      <c r="A32" s="18"/>
      <c r="B32" s="874" t="s">
        <v>93</v>
      </c>
      <c r="C32" s="875"/>
      <c r="D32" s="875"/>
      <c r="E32" s="187">
        <v>30</v>
      </c>
      <c r="F32" s="876" t="s">
        <v>317</v>
      </c>
      <c r="G32" s="882"/>
      <c r="H32" s="57"/>
      <c r="I32" s="883"/>
      <c r="J32" s="884"/>
      <c r="K32" s="884"/>
      <c r="L32" s="884"/>
      <c r="M32" s="883"/>
      <c r="N32" s="885"/>
    </row>
    <row r="33" spans="1:14" s="17" customFormat="1" ht="12.75">
      <c r="A33" s="18"/>
      <c r="B33" s="874" t="s">
        <v>94</v>
      </c>
      <c r="C33" s="874"/>
      <c r="D33" s="874"/>
      <c r="E33" s="187">
        <v>31</v>
      </c>
      <c r="F33" s="877" t="s">
        <v>95</v>
      </c>
      <c r="G33" s="882"/>
      <c r="H33" s="57"/>
      <c r="I33" s="883"/>
      <c r="J33" s="884"/>
      <c r="K33" s="884"/>
      <c r="L33" s="884"/>
      <c r="M33" s="883"/>
      <c r="N33" s="885"/>
    </row>
    <row r="34" spans="1:14" s="17" customFormat="1" ht="12.75">
      <c r="A34" s="18"/>
      <c r="B34" s="874" t="s">
        <v>328</v>
      </c>
      <c r="C34" s="874"/>
      <c r="D34" s="874"/>
      <c r="E34" s="187">
        <v>32</v>
      </c>
      <c r="F34" s="877" t="s">
        <v>329</v>
      </c>
      <c r="G34" s="882"/>
      <c r="H34" s="57"/>
      <c r="I34" s="883"/>
      <c r="J34" s="884"/>
      <c r="K34" s="884"/>
      <c r="L34" s="884"/>
      <c r="M34" s="883"/>
      <c r="N34" s="885"/>
    </row>
    <row r="35" spans="1:14" s="17" customFormat="1" ht="12.75">
      <c r="A35" s="18"/>
      <c r="B35" s="874" t="s">
        <v>96</v>
      </c>
      <c r="C35" s="874"/>
      <c r="D35" s="874"/>
      <c r="E35" s="187">
        <v>33</v>
      </c>
      <c r="F35" s="877" t="s">
        <v>318</v>
      </c>
      <c r="G35" s="882"/>
      <c r="H35" s="57"/>
      <c r="I35" s="883"/>
      <c r="J35" s="884"/>
      <c r="K35" s="884"/>
      <c r="L35" s="884"/>
      <c r="M35" s="883"/>
      <c r="N35" s="885"/>
    </row>
    <row r="36" spans="1:14" s="17" customFormat="1" ht="12.75">
      <c r="A36" s="18"/>
      <c r="B36" s="874" t="s">
        <v>319</v>
      </c>
      <c r="C36" s="874"/>
      <c r="D36" s="874"/>
      <c r="E36" s="187">
        <v>34</v>
      </c>
      <c r="F36" s="877" t="s">
        <v>320</v>
      </c>
      <c r="G36" s="882"/>
      <c r="H36" s="57"/>
      <c r="I36" s="883"/>
      <c r="J36" s="884"/>
      <c r="K36" s="884"/>
      <c r="L36" s="884"/>
      <c r="M36" s="883"/>
      <c r="N36" s="885"/>
    </row>
    <row r="37" spans="1:14" s="17" customFormat="1" ht="12.75">
      <c r="A37" s="18"/>
      <c r="B37" s="874" t="s">
        <v>330</v>
      </c>
      <c r="C37" s="874"/>
      <c r="D37" s="874"/>
      <c r="E37" s="187">
        <v>35</v>
      </c>
      <c r="F37" s="877" t="s">
        <v>97</v>
      </c>
      <c r="G37" s="882"/>
      <c r="H37" s="57"/>
      <c r="I37" s="883"/>
      <c r="J37" s="884"/>
      <c r="K37" s="884"/>
      <c r="L37" s="884"/>
      <c r="M37" s="883"/>
      <c r="N37" s="885"/>
    </row>
    <row r="38" spans="1:14" s="17" customFormat="1" ht="12.75">
      <c r="A38" s="18"/>
      <c r="B38" s="874" t="s">
        <v>331</v>
      </c>
      <c r="C38" s="874"/>
      <c r="D38" s="874"/>
      <c r="E38" s="187">
        <v>36</v>
      </c>
      <c r="F38" s="877" t="s">
        <v>103</v>
      </c>
      <c r="G38" s="882"/>
      <c r="H38" s="57"/>
      <c r="I38" s="883"/>
      <c r="J38" s="884"/>
      <c r="K38" s="884"/>
      <c r="L38" s="884"/>
      <c r="M38" s="883"/>
      <c r="N38" s="885"/>
    </row>
    <row r="39" spans="1:14" s="17" customFormat="1" ht="12.75">
      <c r="A39" s="18"/>
      <c r="B39" s="874" t="s">
        <v>332</v>
      </c>
      <c r="C39" s="874"/>
      <c r="D39" s="874"/>
      <c r="E39" s="187">
        <v>37</v>
      </c>
      <c r="F39" s="877" t="s">
        <v>322</v>
      </c>
      <c r="G39" s="882"/>
      <c r="H39" s="57"/>
      <c r="I39" s="883"/>
      <c r="J39" s="884"/>
      <c r="K39" s="884"/>
      <c r="L39" s="884"/>
      <c r="M39" s="883"/>
      <c r="N39" s="885"/>
    </row>
    <row r="40" spans="1:14" s="17" customFormat="1" ht="12.75">
      <c r="A40" s="18"/>
      <c r="B40" s="874" t="s">
        <v>333</v>
      </c>
      <c r="C40" s="874"/>
      <c r="D40" s="874"/>
      <c r="E40" s="187">
        <v>38</v>
      </c>
      <c r="F40" s="877" t="s">
        <v>343</v>
      </c>
      <c r="G40" s="882"/>
      <c r="H40" s="57"/>
      <c r="I40" s="883"/>
      <c r="J40" s="884"/>
      <c r="K40" s="884"/>
      <c r="L40" s="884"/>
      <c r="M40" s="883"/>
      <c r="N40" s="885"/>
    </row>
    <row r="41" spans="1:14" s="17" customFormat="1" ht="12.75">
      <c r="A41" s="18"/>
      <c r="B41" s="874" t="s">
        <v>323</v>
      </c>
      <c r="C41" s="874"/>
      <c r="D41" s="874"/>
      <c r="E41" s="187">
        <v>39</v>
      </c>
      <c r="F41" s="877" t="s">
        <v>324</v>
      </c>
      <c r="G41" s="882"/>
      <c r="H41" s="57"/>
      <c r="I41" s="883"/>
      <c r="J41" s="884"/>
      <c r="K41" s="884"/>
      <c r="L41" s="884"/>
      <c r="M41" s="883"/>
      <c r="N41" s="885"/>
    </row>
    <row r="42" spans="1:14" s="17" customFormat="1" ht="12.75">
      <c r="A42" s="18"/>
      <c r="B42" s="874" t="s">
        <v>321</v>
      </c>
      <c r="C42" s="874"/>
      <c r="D42" s="874"/>
      <c r="E42" s="187">
        <v>40</v>
      </c>
      <c r="F42" s="877" t="s">
        <v>325</v>
      </c>
      <c r="G42" s="882"/>
      <c r="H42" s="57"/>
      <c r="I42" s="883"/>
      <c r="J42" s="884"/>
      <c r="K42" s="884"/>
      <c r="L42" s="884"/>
      <c r="M42" s="883"/>
      <c r="N42" s="885"/>
    </row>
    <row r="43" spans="1:14" s="17" customFormat="1" ht="12.75">
      <c r="A43" s="18"/>
      <c r="B43" s="874" t="s">
        <v>334</v>
      </c>
      <c r="C43" s="874"/>
      <c r="D43" s="874"/>
      <c r="E43" s="187">
        <v>41</v>
      </c>
      <c r="F43" s="877" t="s">
        <v>174</v>
      </c>
      <c r="G43" s="882"/>
      <c r="H43" s="57"/>
      <c r="I43" s="883"/>
      <c r="J43" s="884"/>
      <c r="K43" s="884"/>
      <c r="L43" s="884"/>
      <c r="M43" s="883"/>
      <c r="N43" s="885"/>
    </row>
    <row r="44" spans="1:14" s="17" customFormat="1" ht="12.75">
      <c r="A44" s="18"/>
      <c r="B44" s="874" t="s">
        <v>104</v>
      </c>
      <c r="C44" s="874"/>
      <c r="D44" s="874"/>
      <c r="E44" s="187">
        <v>42</v>
      </c>
      <c r="F44" s="877" t="s">
        <v>105</v>
      </c>
      <c r="G44" s="882"/>
      <c r="H44" s="57"/>
      <c r="I44" s="883"/>
      <c r="J44" s="884"/>
      <c r="K44" s="884"/>
      <c r="L44" s="884"/>
      <c r="M44" s="883"/>
      <c r="N44" s="885"/>
    </row>
    <row r="45" spans="1:14" s="17" customFormat="1" ht="12.75">
      <c r="A45" s="99"/>
      <c r="B45" s="310" t="s">
        <v>100</v>
      </c>
      <c r="C45" s="310"/>
      <c r="D45" s="310"/>
      <c r="E45" s="886">
        <v>43</v>
      </c>
      <c r="F45" s="311" t="s">
        <v>101</v>
      </c>
      <c r="G45" s="887"/>
      <c r="H45" s="310"/>
      <c r="I45" s="888"/>
      <c r="J45" s="889"/>
      <c r="K45" s="889"/>
      <c r="L45" s="889"/>
      <c r="M45" s="888"/>
      <c r="N45" s="890"/>
    </row>
    <row r="46" spans="1:14" s="17" customFormat="1" ht="13.5" thickBot="1">
      <c r="A46" s="308" t="s">
        <v>335</v>
      </c>
      <c r="B46" s="59"/>
      <c r="C46" s="59"/>
      <c r="D46" s="59"/>
      <c r="E46" s="55">
        <v>44</v>
      </c>
      <c r="F46" s="309"/>
      <c r="G46" s="891"/>
      <c r="H46" s="59"/>
      <c r="I46" s="892"/>
      <c r="J46" s="893"/>
      <c r="K46" s="893"/>
      <c r="L46" s="893"/>
      <c r="M46" s="892"/>
      <c r="N46" s="894"/>
    </row>
    <row r="47" spans="1:14" ht="13.5" thickBot="1">
      <c r="A47" s="101" t="s">
        <v>336</v>
      </c>
      <c r="B47" s="102"/>
      <c r="C47" s="102"/>
      <c r="D47" s="102"/>
      <c r="E47" s="103">
        <v>45</v>
      </c>
      <c r="F47" s="104"/>
      <c r="G47" s="878"/>
      <c r="H47" s="102"/>
      <c r="I47" s="879"/>
      <c r="J47" s="880"/>
      <c r="K47" s="880"/>
      <c r="L47" s="880"/>
      <c r="M47" s="879"/>
      <c r="N47" s="881"/>
    </row>
    <row r="48" spans="1:6" ht="12.75">
      <c r="A48" s="15" t="s">
        <v>175</v>
      </c>
      <c r="B48" s="15"/>
      <c r="C48" s="15"/>
      <c r="D48" s="15"/>
      <c r="E48" s="60"/>
      <c r="F48" s="61" t="s">
        <v>176</v>
      </c>
    </row>
    <row r="49" spans="5:14" s="15" customFormat="1" ht="12.75">
      <c r="E49" s="60"/>
      <c r="F49" s="61"/>
      <c r="G49" s="2"/>
      <c r="I49" s="108"/>
      <c r="J49" s="108"/>
      <c r="K49" s="108"/>
      <c r="L49" s="108"/>
      <c r="M49" s="108"/>
      <c r="N49" s="108"/>
    </row>
    <row r="50" spans="5:14" s="15" customFormat="1" ht="12.75">
      <c r="E50" s="60"/>
      <c r="F50" s="61"/>
      <c r="G50" s="2"/>
      <c r="I50" s="108"/>
      <c r="J50" s="108"/>
      <c r="K50" s="108"/>
      <c r="L50" s="108"/>
      <c r="M50" s="108"/>
      <c r="N50" s="108"/>
    </row>
    <row r="51" spans="1:14" s="15" customFormat="1" ht="12.75">
      <c r="A51" s="895" t="s">
        <v>337</v>
      </c>
      <c r="E51" s="60"/>
      <c r="F51" s="61"/>
      <c r="G51" s="2"/>
      <c r="I51" s="108"/>
      <c r="J51" s="108"/>
      <c r="K51" s="108"/>
      <c r="L51" s="108"/>
      <c r="M51" s="108"/>
      <c r="N51" s="108"/>
    </row>
    <row r="52" spans="1:14" s="15" customFormat="1" ht="12.75">
      <c r="A52" s="895" t="s">
        <v>338</v>
      </c>
      <c r="E52" s="60"/>
      <c r="F52" s="61"/>
      <c r="G52" s="2"/>
      <c r="I52" s="108"/>
      <c r="J52" s="108"/>
      <c r="K52" s="108"/>
      <c r="L52" s="108"/>
      <c r="M52" s="108"/>
      <c r="N52" s="108"/>
    </row>
    <row r="53" spans="1:14" s="15" customFormat="1" ht="12.75">
      <c r="A53" s="895" t="s">
        <v>339</v>
      </c>
      <c r="E53" s="60"/>
      <c r="F53" s="61"/>
      <c r="G53" s="896"/>
      <c r="I53" s="108"/>
      <c r="J53" s="108"/>
      <c r="K53" s="108"/>
      <c r="L53" s="108"/>
      <c r="M53" s="108"/>
      <c r="N53" s="108"/>
    </row>
    <row r="54" spans="1:14" s="895" customFormat="1" ht="12.75">
      <c r="A54" s="895" t="s">
        <v>340</v>
      </c>
      <c r="E54" s="897"/>
      <c r="F54" s="898"/>
      <c r="G54" s="899"/>
      <c r="I54" s="900"/>
      <c r="J54" s="900"/>
      <c r="K54" s="900"/>
      <c r="L54" s="900"/>
      <c r="M54" s="900"/>
      <c r="N54" s="900"/>
    </row>
    <row r="55" spans="1:14" s="895" customFormat="1" ht="12.75">
      <c r="A55" s="895" t="s">
        <v>383</v>
      </c>
      <c r="E55" s="897"/>
      <c r="F55" s="898"/>
      <c r="G55" s="899"/>
      <c r="I55" s="900"/>
      <c r="J55" s="900"/>
      <c r="K55" s="900"/>
      <c r="L55" s="900"/>
      <c r="M55" s="900"/>
      <c r="N55" s="900"/>
    </row>
    <row r="56" spans="1:14" s="895" customFormat="1" ht="12.75">
      <c r="A56" s="895" t="s">
        <v>341</v>
      </c>
      <c r="E56" s="897"/>
      <c r="F56" s="898"/>
      <c r="G56" s="899"/>
      <c r="I56" s="900"/>
      <c r="J56" s="900"/>
      <c r="K56" s="900"/>
      <c r="L56" s="900"/>
      <c r="M56" s="900"/>
      <c r="N56" s="900"/>
    </row>
    <row r="57" spans="1:14" s="15" customFormat="1" ht="12.75">
      <c r="A57" s="895"/>
      <c r="B57" s="895"/>
      <c r="C57" s="895"/>
      <c r="D57" s="895"/>
      <c r="E57" s="60"/>
      <c r="F57" s="61"/>
      <c r="G57" s="2"/>
      <c r="I57" s="108"/>
      <c r="J57" s="108"/>
      <c r="K57" s="108"/>
      <c r="L57" s="108"/>
      <c r="M57" s="108"/>
      <c r="N57" s="108"/>
    </row>
    <row r="58" spans="1:14" s="116" customFormat="1" ht="12.75">
      <c r="A58" s="895"/>
      <c r="B58" s="895"/>
      <c r="C58" s="895"/>
      <c r="D58" s="895"/>
      <c r="E58" s="124"/>
      <c r="F58" s="901"/>
      <c r="G58" s="2"/>
      <c r="I58" s="108"/>
      <c r="J58" s="108"/>
      <c r="K58" s="108"/>
      <c r="L58" s="108"/>
      <c r="M58" s="108"/>
      <c r="N58" s="108"/>
    </row>
    <row r="59" spans="1:14" s="116" customFormat="1" ht="12.75">
      <c r="A59" s="895"/>
      <c r="B59" s="895"/>
      <c r="C59" s="895"/>
      <c r="D59" s="895"/>
      <c r="E59" s="124"/>
      <c r="F59" s="901"/>
      <c r="G59" s="2"/>
      <c r="I59" s="108"/>
      <c r="J59" s="108"/>
      <c r="K59" s="108"/>
      <c r="L59" s="108"/>
      <c r="M59" s="108"/>
      <c r="N59" s="108"/>
    </row>
    <row r="60" spans="1:14" s="116" customFormat="1" ht="12.75">
      <c r="A60" s="895"/>
      <c r="B60" s="895"/>
      <c r="C60" s="895"/>
      <c r="D60" s="895"/>
      <c r="E60" s="124"/>
      <c r="F60" s="901"/>
      <c r="G60" s="2"/>
      <c r="I60" s="108"/>
      <c r="J60" s="108"/>
      <c r="K60" s="108"/>
      <c r="L60" s="108"/>
      <c r="M60" s="108"/>
      <c r="N60" s="108"/>
    </row>
  </sheetData>
  <mergeCells count="2">
    <mergeCell ref="A1:D1"/>
    <mergeCell ref="J1:M1"/>
  </mergeCells>
  <printOptions/>
  <pageMargins left="0.31496062992125984" right="0.27" top="0.35433070866141736" bottom="0.35433070866141736" header="0.1968503937007874" footer="0.2755905511811024"/>
  <pageSetup horizontalDpi="600" verticalDpi="600" orientation="landscape" paperSize="9" scale="75" r:id="rId1"/>
  <headerFooter alignWithMargins="0">
    <oddHeader>&amp;R&amp;9Příloha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3">
      <selection activeCell="D15" sqref="D15"/>
    </sheetView>
  </sheetViews>
  <sheetFormatPr defaultColWidth="9.00390625" defaultRowHeight="12.75"/>
  <cols>
    <col min="1" max="1" width="8.875" style="1050" customWidth="1"/>
    <col min="2" max="2" width="37.75390625" style="1050" customWidth="1"/>
    <col min="3" max="3" width="24.125" style="1070" customWidth="1"/>
    <col min="4" max="4" width="11.125" style="1019" customWidth="1"/>
    <col min="5" max="5" width="9.875" style="1050" hidden="1" customWidth="1"/>
    <col min="6" max="6" width="10.875" style="1050" hidden="1" customWidth="1"/>
    <col min="7" max="7" width="33.625" style="1070" customWidth="1"/>
    <col min="8" max="16384" width="9.125" style="1050" customWidth="1"/>
  </cols>
  <sheetData>
    <row r="1" spans="1:3" ht="12.75">
      <c r="A1" s="1020" t="s">
        <v>397</v>
      </c>
      <c r="C1" s="1065"/>
    </row>
    <row r="2" spans="2:3" ht="12.75">
      <c r="B2" s="1051"/>
      <c r="C2" s="1065"/>
    </row>
    <row r="3" spans="2:3" ht="13.5" thickBot="1">
      <c r="B3" s="1051"/>
      <c r="C3" s="1065"/>
    </row>
    <row r="4" spans="1:7" ht="13.5" thickBot="1">
      <c r="A4" s="1052" t="s">
        <v>363</v>
      </c>
      <c r="B4" s="1053" t="s">
        <v>364</v>
      </c>
      <c r="C4" s="1066" t="s">
        <v>365</v>
      </c>
      <c r="D4" s="1086" t="s">
        <v>54</v>
      </c>
      <c r="E4" s="1054" t="s">
        <v>398</v>
      </c>
      <c r="F4" s="1054" t="s">
        <v>399</v>
      </c>
      <c r="G4" s="1071" t="s">
        <v>206</v>
      </c>
    </row>
    <row r="5" spans="1:7" ht="12.75">
      <c r="A5" s="1055" t="s">
        <v>13</v>
      </c>
      <c r="B5" s="1056" t="s">
        <v>400</v>
      </c>
      <c r="C5" s="1067" t="s">
        <v>366</v>
      </c>
      <c r="D5" s="1087">
        <v>4000</v>
      </c>
      <c r="E5" s="1057"/>
      <c r="F5" s="1059"/>
      <c r="G5" s="1080"/>
    </row>
    <row r="6" spans="1:7" ht="12.75">
      <c r="A6" s="1320" t="s">
        <v>17</v>
      </c>
      <c r="B6" s="1056" t="s">
        <v>401</v>
      </c>
      <c r="C6" s="1082" t="s">
        <v>367</v>
      </c>
      <c r="D6" s="1088">
        <v>250</v>
      </c>
      <c r="E6" s="1057"/>
      <c r="F6" s="1059"/>
      <c r="G6" s="1080"/>
    </row>
    <row r="7" spans="1:7" ht="12.75">
      <c r="A7" s="1321"/>
      <c r="B7" s="1056" t="s">
        <v>402</v>
      </c>
      <c r="C7" s="1082" t="s">
        <v>403</v>
      </c>
      <c r="D7" s="1088">
        <v>250</v>
      </c>
      <c r="E7" s="1057"/>
      <c r="F7" s="1059"/>
      <c r="G7" s="1072" t="s">
        <v>404</v>
      </c>
    </row>
    <row r="8" spans="1:7" ht="24" customHeight="1">
      <c r="A8" s="1321"/>
      <c r="B8" s="1056" t="s">
        <v>405</v>
      </c>
      <c r="C8" s="1082" t="s">
        <v>152</v>
      </c>
      <c r="D8" s="1089">
        <v>180</v>
      </c>
      <c r="E8" s="1057"/>
      <c r="F8" s="1059"/>
      <c r="G8" s="1072"/>
    </row>
    <row r="9" spans="1:7" ht="12.75">
      <c r="A9" s="1322"/>
      <c r="B9" s="1056" t="s">
        <v>406</v>
      </c>
      <c r="C9" s="1082" t="s">
        <v>403</v>
      </c>
      <c r="D9" s="1089">
        <v>150</v>
      </c>
      <c r="E9" s="1057"/>
      <c r="F9" s="1059"/>
      <c r="G9" s="1072"/>
    </row>
    <row r="10" spans="1:7" ht="24.75" customHeight="1">
      <c r="A10" s="1055" t="s">
        <v>18</v>
      </c>
      <c r="B10" s="1083" t="s">
        <v>408</v>
      </c>
      <c r="C10" s="1067" t="s">
        <v>368</v>
      </c>
      <c r="D10" s="1087">
        <v>200</v>
      </c>
      <c r="E10" s="1057"/>
      <c r="F10" s="1059"/>
      <c r="G10" s="1072"/>
    </row>
    <row r="11" spans="1:7" ht="24.75" customHeight="1">
      <c r="A11" s="1320" t="s">
        <v>369</v>
      </c>
      <c r="B11" s="1083" t="s">
        <v>409</v>
      </c>
      <c r="C11" s="1067" t="s">
        <v>410</v>
      </c>
      <c r="D11" s="1087">
        <v>218</v>
      </c>
      <c r="E11" s="1057"/>
      <c r="F11" s="1059"/>
      <c r="G11" s="1072"/>
    </row>
    <row r="12" spans="1:7" ht="24" customHeight="1">
      <c r="A12" s="1321"/>
      <c r="B12" s="1083" t="s">
        <v>411</v>
      </c>
      <c r="C12" s="1067" t="s">
        <v>410</v>
      </c>
      <c r="D12" s="1088">
        <v>250</v>
      </c>
      <c r="E12" s="1057"/>
      <c r="F12" s="1059"/>
      <c r="G12" s="1072" t="s">
        <v>412</v>
      </c>
    </row>
    <row r="13" spans="1:7" ht="23.25" customHeight="1">
      <c r="A13" s="1321"/>
      <c r="B13" s="1083" t="s">
        <v>413</v>
      </c>
      <c r="C13" s="1067" t="s">
        <v>410</v>
      </c>
      <c r="D13" s="1088">
        <v>250</v>
      </c>
      <c r="E13" s="1057"/>
      <c r="F13" s="1059"/>
      <c r="G13" s="1072" t="s">
        <v>414</v>
      </c>
    </row>
    <row r="14" spans="1:7" ht="26.25" customHeight="1">
      <c r="A14" s="1321"/>
      <c r="B14" s="1083" t="s">
        <v>415</v>
      </c>
      <c r="C14" s="1067" t="s">
        <v>410</v>
      </c>
      <c r="D14" s="1087">
        <v>191</v>
      </c>
      <c r="E14" s="1057"/>
      <c r="F14" s="1059"/>
      <c r="G14" s="1072"/>
    </row>
    <row r="15" spans="1:7" ht="12.75">
      <c r="A15" s="1321"/>
      <c r="B15" s="1083" t="s">
        <v>416</v>
      </c>
      <c r="C15" s="1067" t="s">
        <v>410</v>
      </c>
      <c r="D15" s="1087">
        <v>135</v>
      </c>
      <c r="E15" s="1057"/>
      <c r="F15" s="1059"/>
      <c r="G15" s="1072"/>
    </row>
    <row r="16" spans="1:7" ht="12.75">
      <c r="A16" s="1322"/>
      <c r="B16" s="1083" t="s">
        <v>417</v>
      </c>
      <c r="C16" s="1067" t="s">
        <v>418</v>
      </c>
      <c r="D16" s="1087">
        <v>192</v>
      </c>
      <c r="E16" s="1057"/>
      <c r="F16" s="1059"/>
      <c r="G16" s="1072"/>
    </row>
    <row r="17" spans="1:7" s="1051" customFormat="1" ht="39" customHeight="1">
      <c r="A17" s="1320" t="s">
        <v>15</v>
      </c>
      <c r="B17" s="1083" t="s">
        <v>419</v>
      </c>
      <c r="C17" s="1067" t="s">
        <v>370</v>
      </c>
      <c r="D17" s="1087">
        <v>500</v>
      </c>
      <c r="E17" s="1060">
        <v>500</v>
      </c>
      <c r="F17" s="1060">
        <v>500</v>
      </c>
      <c r="G17" s="1072"/>
    </row>
    <row r="18" spans="1:7" ht="12.75">
      <c r="A18" s="1321"/>
      <c r="B18" s="1083" t="s">
        <v>420</v>
      </c>
      <c r="C18" s="1067" t="s">
        <v>370</v>
      </c>
      <c r="D18" s="1087">
        <v>60</v>
      </c>
      <c r="E18" s="1057"/>
      <c r="F18" s="1059"/>
      <c r="G18" s="1072"/>
    </row>
    <row r="19" spans="1:7" ht="12.75">
      <c r="A19" s="1321"/>
      <c r="B19" s="1083" t="s">
        <v>421</v>
      </c>
      <c r="C19" s="1067" t="s">
        <v>370</v>
      </c>
      <c r="D19" s="1088">
        <v>80</v>
      </c>
      <c r="E19" s="1057"/>
      <c r="F19" s="1059"/>
      <c r="G19" s="1072" t="s">
        <v>422</v>
      </c>
    </row>
    <row r="20" spans="1:7" ht="24.75" customHeight="1">
      <c r="A20" s="1322"/>
      <c r="B20" s="1083" t="s">
        <v>423</v>
      </c>
      <c r="C20" s="1067" t="s">
        <v>370</v>
      </c>
      <c r="D20" s="1087">
        <v>150</v>
      </c>
      <c r="E20" s="1084"/>
      <c r="F20" s="1059"/>
      <c r="G20" s="1072"/>
    </row>
    <row r="21" spans="1:7" ht="24.75" customHeight="1">
      <c r="A21" s="1081" t="s">
        <v>16</v>
      </c>
      <c r="B21" s="1083" t="s">
        <v>424</v>
      </c>
      <c r="C21" s="1067" t="s">
        <v>407</v>
      </c>
      <c r="D21" s="1087">
        <v>3500</v>
      </c>
      <c r="E21" s="1057"/>
      <c r="F21" s="1059"/>
      <c r="G21" s="1085" t="s">
        <v>425</v>
      </c>
    </row>
    <row r="22" spans="1:7" ht="12.75">
      <c r="A22" s="1055" t="s">
        <v>19</v>
      </c>
      <c r="B22" s="1058" t="s">
        <v>426</v>
      </c>
      <c r="C22" s="1067" t="s">
        <v>427</v>
      </c>
      <c r="D22" s="1087">
        <v>305</v>
      </c>
      <c r="E22" s="1057"/>
      <c r="F22" s="1059"/>
      <c r="G22" s="1072"/>
    </row>
    <row r="23" spans="1:7" ht="24">
      <c r="A23" s="1320" t="s">
        <v>147</v>
      </c>
      <c r="B23" s="1058" t="s">
        <v>428</v>
      </c>
      <c r="C23" s="1067" t="s">
        <v>429</v>
      </c>
      <c r="D23" s="1087">
        <v>700</v>
      </c>
      <c r="E23" s="1057"/>
      <c r="F23" s="1059"/>
      <c r="G23" s="1072"/>
    </row>
    <row r="24" spans="1:7" ht="13.5" thickBot="1">
      <c r="A24" s="1322"/>
      <c r="B24" s="1058" t="s">
        <v>430</v>
      </c>
      <c r="C24" s="1067" t="s">
        <v>431</v>
      </c>
      <c r="D24" s="1087">
        <v>1000</v>
      </c>
      <c r="E24" s="1057"/>
      <c r="F24" s="1059"/>
      <c r="G24" s="1072"/>
    </row>
    <row r="25" spans="1:7" ht="12.75">
      <c r="A25" s="1323" t="s">
        <v>432</v>
      </c>
      <c r="B25" s="1324"/>
      <c r="C25" s="1068"/>
      <c r="D25" s="1090">
        <f>SUM(D5:D24)</f>
        <v>12561</v>
      </c>
      <c r="E25" s="1061"/>
      <c r="F25" s="1062"/>
      <c r="G25" s="1073"/>
    </row>
    <row r="26" spans="1:7" s="1079" customFormat="1" ht="12.75">
      <c r="A26" s="1325" t="s">
        <v>373</v>
      </c>
      <c r="B26" s="1326"/>
      <c r="C26" s="1075"/>
      <c r="D26" s="1091">
        <v>2739</v>
      </c>
      <c r="E26" s="1076"/>
      <c r="F26" s="1077"/>
      <c r="G26" s="1078"/>
    </row>
    <row r="27" spans="1:7" ht="13.5" thickBot="1">
      <c r="A27" s="1327" t="s">
        <v>21</v>
      </c>
      <c r="B27" s="1328"/>
      <c r="C27" s="1069"/>
      <c r="D27" s="1092">
        <f>D25+D26</f>
        <v>15300</v>
      </c>
      <c r="E27" s="1063"/>
      <c r="F27" s="1064"/>
      <c r="G27" s="1074"/>
    </row>
  </sheetData>
  <mergeCells count="7">
    <mergeCell ref="A6:A9"/>
    <mergeCell ref="A25:B25"/>
    <mergeCell ref="A26:B26"/>
    <mergeCell ref="A27:B27"/>
    <mergeCell ref="A11:A16"/>
    <mergeCell ref="A17:A20"/>
    <mergeCell ref="A23:A24"/>
  </mergeCells>
  <printOptions/>
  <pageMargins left="0.75" right="0.69" top="0.71" bottom="0.72" header="0.5" footer="0.5"/>
  <pageSetup horizontalDpi="600" verticalDpi="600" orientation="landscape" paperSize="9" r:id="rId1"/>
  <headerFooter alignWithMargins="0">
    <oddHeader>&amp;RPříloha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4.375" style="665" customWidth="1"/>
    <col min="2" max="2" width="8.00390625" style="664" customWidth="1"/>
    <col min="3" max="3" width="12.625" style="665" hidden="1" customWidth="1"/>
    <col min="4" max="4" width="12.375" style="665" hidden="1" customWidth="1"/>
    <col min="5" max="5" width="13.375" style="665" hidden="1" customWidth="1"/>
    <col min="6" max="7" width="11.25390625" style="665" hidden="1" customWidth="1"/>
    <col min="8" max="8" width="10.875" style="665" hidden="1" customWidth="1"/>
    <col min="9" max="9" width="13.375" style="666" hidden="1" customWidth="1"/>
    <col min="10" max="10" width="12.25390625" style="666" hidden="1" customWidth="1"/>
    <col min="11" max="11" width="13.375" style="666" hidden="1" customWidth="1"/>
    <col min="12" max="12" width="12.25390625" style="666" customWidth="1"/>
    <col min="13" max="13" width="12.625" style="666" customWidth="1"/>
    <col min="14" max="14" width="12.00390625" style="666" customWidth="1"/>
    <col min="15" max="15" width="11.00390625" style="666" hidden="1" customWidth="1"/>
    <col min="16" max="16" width="10.75390625" style="666" hidden="1" customWidth="1"/>
    <col min="17" max="17" width="11.25390625" style="666" hidden="1" customWidth="1"/>
    <col min="18" max="19" width="12.25390625" style="666" hidden="1" customWidth="1"/>
    <col min="20" max="20" width="12.00390625" style="666" hidden="1" customWidth="1"/>
    <col min="21" max="21" width="3.25390625" style="666" hidden="1" customWidth="1"/>
    <col min="22" max="22" width="8.25390625" style="666" customWidth="1"/>
    <col min="23" max="23" width="9.75390625" style="666" customWidth="1"/>
    <col min="24" max="25" width="8.25390625" style="666" customWidth="1"/>
    <col min="26" max="26" width="9.75390625" style="666" customWidth="1"/>
    <col min="27" max="27" width="8.25390625" style="666" customWidth="1"/>
    <col min="28" max="16384" width="9.125" style="666" customWidth="1"/>
  </cols>
  <sheetData>
    <row r="1" ht="12">
      <c r="A1" s="663" t="s">
        <v>395</v>
      </c>
    </row>
    <row r="2" spans="1:27" ht="14.25" customHeight="1" thickBot="1">
      <c r="A2" s="667"/>
      <c r="V2" s="1346"/>
      <c r="W2" s="1346"/>
      <c r="X2" s="1346"/>
      <c r="Y2" s="1346"/>
      <c r="Z2" s="1346"/>
      <c r="AA2" s="1346"/>
    </row>
    <row r="3" spans="1:27" ht="24.75" customHeight="1">
      <c r="A3" s="668"/>
      <c r="B3" s="669"/>
      <c r="C3" s="1332" t="s">
        <v>292</v>
      </c>
      <c r="D3" s="1333"/>
      <c r="E3" s="1334"/>
      <c r="F3" s="1335" t="s">
        <v>293</v>
      </c>
      <c r="G3" s="1336"/>
      <c r="H3" s="1336"/>
      <c r="I3" s="1337" t="s">
        <v>294</v>
      </c>
      <c r="J3" s="1338"/>
      <c r="K3" s="1339"/>
      <c r="L3" s="1340" t="s">
        <v>501</v>
      </c>
      <c r="M3" s="1341"/>
      <c r="N3" s="1342"/>
      <c r="O3" s="1329" t="s">
        <v>295</v>
      </c>
      <c r="P3" s="1330"/>
      <c r="Q3" s="1331"/>
      <c r="R3" s="1329" t="s">
        <v>296</v>
      </c>
      <c r="S3" s="1330"/>
      <c r="T3" s="1331"/>
      <c r="V3" s="1343" t="s">
        <v>433</v>
      </c>
      <c r="W3" s="1344"/>
      <c r="X3" s="1345"/>
      <c r="Y3" s="1343" t="s">
        <v>434</v>
      </c>
      <c r="Z3" s="1344"/>
      <c r="AA3" s="1345"/>
    </row>
    <row r="4" spans="1:27" ht="18" customHeight="1">
      <c r="A4" s="670" t="s">
        <v>149</v>
      </c>
      <c r="B4" s="671"/>
      <c r="C4" s="672" t="s">
        <v>194</v>
      </c>
      <c r="D4" s="673" t="s">
        <v>195</v>
      </c>
      <c r="E4" s="674" t="s">
        <v>21</v>
      </c>
      <c r="F4" s="675" t="s">
        <v>194</v>
      </c>
      <c r="G4" s="676" t="s">
        <v>195</v>
      </c>
      <c r="H4" s="677" t="s">
        <v>21</v>
      </c>
      <c r="I4" s="678" t="s">
        <v>194</v>
      </c>
      <c r="J4" s="679" t="s">
        <v>195</v>
      </c>
      <c r="K4" s="680" t="s">
        <v>21</v>
      </c>
      <c r="L4" s="675" t="s">
        <v>194</v>
      </c>
      <c r="M4" s="676" t="s">
        <v>195</v>
      </c>
      <c r="N4" s="677" t="s">
        <v>21</v>
      </c>
      <c r="O4" s="681" t="s">
        <v>194</v>
      </c>
      <c r="P4" s="682" t="s">
        <v>195</v>
      </c>
      <c r="Q4" s="683" t="s">
        <v>21</v>
      </c>
      <c r="R4" s="681" t="s">
        <v>194</v>
      </c>
      <c r="S4" s="682" t="s">
        <v>195</v>
      </c>
      <c r="T4" s="683" t="s">
        <v>21</v>
      </c>
      <c r="V4" s="684" t="s">
        <v>194</v>
      </c>
      <c r="W4" s="685" t="s">
        <v>195</v>
      </c>
      <c r="X4" s="686" t="s">
        <v>21</v>
      </c>
      <c r="Y4" s="684" t="s">
        <v>194</v>
      </c>
      <c r="Z4" s="687" t="s">
        <v>195</v>
      </c>
      <c r="AA4" s="686" t="s">
        <v>21</v>
      </c>
    </row>
    <row r="5" spans="1:27" s="696" customFormat="1" ht="11.25">
      <c r="A5" s="688"/>
      <c r="B5" s="689"/>
      <c r="C5" s="690">
        <v>1</v>
      </c>
      <c r="D5" s="691">
        <v>2</v>
      </c>
      <c r="E5" s="692">
        <v>3</v>
      </c>
      <c r="F5" s="690"/>
      <c r="G5" s="691"/>
      <c r="H5" s="692"/>
      <c r="I5" s="693">
        <v>4</v>
      </c>
      <c r="J5" s="694">
        <v>5</v>
      </c>
      <c r="K5" s="695">
        <v>6</v>
      </c>
      <c r="L5" s="690">
        <v>1</v>
      </c>
      <c r="M5" s="691">
        <v>2</v>
      </c>
      <c r="N5" s="692">
        <v>3</v>
      </c>
      <c r="O5" s="693">
        <v>4</v>
      </c>
      <c r="P5" s="694">
        <v>5</v>
      </c>
      <c r="Q5" s="695">
        <v>6</v>
      </c>
      <c r="R5" s="693">
        <v>4</v>
      </c>
      <c r="S5" s="694">
        <v>5</v>
      </c>
      <c r="T5" s="695">
        <v>6</v>
      </c>
      <c r="V5" s="1021">
        <v>4</v>
      </c>
      <c r="W5" s="1022">
        <v>5</v>
      </c>
      <c r="X5" s="1023">
        <v>6</v>
      </c>
      <c r="Y5" s="1021">
        <v>7</v>
      </c>
      <c r="Z5" s="1024">
        <v>8</v>
      </c>
      <c r="AA5" s="1023">
        <v>9</v>
      </c>
    </row>
    <row r="6" spans="1:27" ht="15" customHeight="1">
      <c r="A6" s="697">
        <v>11</v>
      </c>
      <c r="B6" s="698" t="s">
        <v>11</v>
      </c>
      <c r="C6" s="699">
        <v>15703107.61</v>
      </c>
      <c r="D6" s="700">
        <f aca="true" t="shared" si="0" ref="D6:D15">E6-C6</f>
        <v>6627308.43</v>
      </c>
      <c r="E6" s="701">
        <v>22330416.04</v>
      </c>
      <c r="F6" s="699">
        <v>1583721.97</v>
      </c>
      <c r="G6" s="700">
        <v>767889.01</v>
      </c>
      <c r="H6" s="702">
        <f aca="true" t="shared" si="1" ref="H6:H15">F6+G6</f>
        <v>2351610.98</v>
      </c>
      <c r="I6" s="699">
        <v>18298351.38</v>
      </c>
      <c r="J6" s="700">
        <v>8815258.6</v>
      </c>
      <c r="K6" s="703">
        <f aca="true" t="shared" si="2" ref="K6:K15">SUM(I6:J6)</f>
        <v>27113609.979999997</v>
      </c>
      <c r="L6" s="1271">
        <v>30604536</v>
      </c>
      <c r="M6" s="1270">
        <v>16150114.32</v>
      </c>
      <c r="N6" s="704">
        <f aca="true" t="shared" si="3" ref="N6:N24">SUM(L6:M6)</f>
        <v>46754650.32</v>
      </c>
      <c r="O6" s="705">
        <f>1780670.71+1274</f>
        <v>1781944.71</v>
      </c>
      <c r="P6" s="706">
        <v>906288.89</v>
      </c>
      <c r="Q6" s="707">
        <f aca="true" t="shared" si="4" ref="Q6:Q15">SUM(O6:P6)</f>
        <v>2688233.6</v>
      </c>
      <c r="R6" s="705">
        <f aca="true" t="shared" si="5" ref="R6:R15">O6*12</f>
        <v>21383336.52</v>
      </c>
      <c r="S6" s="706">
        <f aca="true" t="shared" si="6" ref="S6:S15">P6*12</f>
        <v>10875466.68</v>
      </c>
      <c r="T6" s="707">
        <f aca="true" t="shared" si="7" ref="T6:T15">SUM(R6:S6)</f>
        <v>32258803.2</v>
      </c>
      <c r="V6" s="708">
        <v>30605</v>
      </c>
      <c r="W6" s="709">
        <v>16150</v>
      </c>
      <c r="X6" s="710">
        <f aca="true" t="shared" si="8" ref="X6:X25">SUM(V6:W6)</f>
        <v>46755</v>
      </c>
      <c r="Y6" s="708">
        <f>V6</f>
        <v>30605</v>
      </c>
      <c r="Z6" s="1249">
        <f>W6</f>
        <v>16150</v>
      </c>
      <c r="AA6" s="710">
        <f aca="true" t="shared" si="9" ref="AA6:AA25">SUM(Y6:Z6)</f>
        <v>46755</v>
      </c>
    </row>
    <row r="7" spans="1:27" ht="15" customHeight="1">
      <c r="A7" s="711">
        <v>21</v>
      </c>
      <c r="B7" s="712" t="s">
        <v>12</v>
      </c>
      <c r="C7" s="713">
        <v>4749674.9</v>
      </c>
      <c r="D7" s="714">
        <f t="shared" si="0"/>
        <v>1996802.0199999996</v>
      </c>
      <c r="E7" s="715">
        <v>6746476.92</v>
      </c>
      <c r="F7" s="713">
        <v>435259</v>
      </c>
      <c r="G7" s="714">
        <v>162966</v>
      </c>
      <c r="H7" s="716">
        <f t="shared" si="1"/>
        <v>598225</v>
      </c>
      <c r="I7" s="713">
        <v>5123046.93</v>
      </c>
      <c r="J7" s="714">
        <v>1792357.07</v>
      </c>
      <c r="K7" s="717">
        <f t="shared" si="2"/>
        <v>6915404</v>
      </c>
      <c r="L7" s="1272">
        <v>5072369.4</v>
      </c>
      <c r="M7" s="1268">
        <v>3048498</v>
      </c>
      <c r="N7" s="718">
        <f t="shared" si="3"/>
        <v>8120867.4</v>
      </c>
      <c r="O7" s="719">
        <v>448636</v>
      </c>
      <c r="P7" s="720">
        <v>209320</v>
      </c>
      <c r="Q7" s="721">
        <f t="shared" si="4"/>
        <v>657956</v>
      </c>
      <c r="R7" s="719">
        <f t="shared" si="5"/>
        <v>5383632</v>
      </c>
      <c r="S7" s="720">
        <f t="shared" si="6"/>
        <v>2511840</v>
      </c>
      <c r="T7" s="721">
        <f t="shared" si="7"/>
        <v>7895472</v>
      </c>
      <c r="V7" s="722">
        <v>5072</v>
      </c>
      <c r="W7" s="723">
        <v>3048</v>
      </c>
      <c r="X7" s="724">
        <f t="shared" si="8"/>
        <v>8120</v>
      </c>
      <c r="Y7" s="722">
        <f aca="true" t="shared" si="10" ref="Y7:Y24">V7</f>
        <v>5072</v>
      </c>
      <c r="Z7" s="1250">
        <f aca="true" t="shared" si="11" ref="Z7:Z24">W7</f>
        <v>3048</v>
      </c>
      <c r="AA7" s="724">
        <f t="shared" si="9"/>
        <v>8120</v>
      </c>
    </row>
    <row r="8" spans="1:27" ht="15" customHeight="1">
      <c r="A8" s="711">
        <v>22</v>
      </c>
      <c r="B8" s="712" t="s">
        <v>13</v>
      </c>
      <c r="C8" s="713">
        <v>1428876</v>
      </c>
      <c r="D8" s="714">
        <f t="shared" si="0"/>
        <v>1297060.7200000002</v>
      </c>
      <c r="E8" s="715">
        <v>2725936.72</v>
      </c>
      <c r="F8" s="713">
        <v>89973</v>
      </c>
      <c r="G8" s="714">
        <v>90380</v>
      </c>
      <c r="H8" s="716">
        <f t="shared" si="1"/>
        <v>180353</v>
      </c>
      <c r="I8" s="713">
        <v>1055722</v>
      </c>
      <c r="J8" s="714">
        <v>1072931</v>
      </c>
      <c r="K8" s="717">
        <f t="shared" si="2"/>
        <v>2128653</v>
      </c>
      <c r="L8" s="1272">
        <v>1390644</v>
      </c>
      <c r="M8" s="1268">
        <v>1324638</v>
      </c>
      <c r="N8" s="718">
        <f t="shared" si="3"/>
        <v>2715282</v>
      </c>
      <c r="O8" s="719">
        <v>106570</v>
      </c>
      <c r="P8" s="720">
        <v>118653</v>
      </c>
      <c r="Q8" s="721">
        <f t="shared" si="4"/>
        <v>225223</v>
      </c>
      <c r="R8" s="719">
        <f t="shared" si="5"/>
        <v>1278840</v>
      </c>
      <c r="S8" s="720">
        <f t="shared" si="6"/>
        <v>1423836</v>
      </c>
      <c r="T8" s="721">
        <f t="shared" si="7"/>
        <v>2702676</v>
      </c>
      <c r="V8" s="722">
        <v>1391</v>
      </c>
      <c r="W8" s="723">
        <v>1325</v>
      </c>
      <c r="X8" s="724">
        <f t="shared" si="8"/>
        <v>2716</v>
      </c>
      <c r="Y8" s="722">
        <f t="shared" si="10"/>
        <v>1391</v>
      </c>
      <c r="Z8" s="1250">
        <f t="shared" si="11"/>
        <v>1325</v>
      </c>
      <c r="AA8" s="724">
        <f t="shared" si="9"/>
        <v>2716</v>
      </c>
    </row>
    <row r="9" spans="1:27" ht="15" customHeight="1">
      <c r="A9" s="711">
        <v>23</v>
      </c>
      <c r="B9" s="712" t="s">
        <v>14</v>
      </c>
      <c r="C9" s="713">
        <v>897017.61</v>
      </c>
      <c r="D9" s="714">
        <f t="shared" si="0"/>
        <v>1080921.5100000002</v>
      </c>
      <c r="E9" s="715">
        <v>1977939.12</v>
      </c>
      <c r="F9" s="713">
        <v>452965.69</v>
      </c>
      <c r="G9" s="714">
        <v>125997.31</v>
      </c>
      <c r="H9" s="716">
        <f t="shared" si="1"/>
        <v>578963</v>
      </c>
      <c r="I9" s="713">
        <v>1351084.88</v>
      </c>
      <c r="J9" s="714">
        <v>994955.12</v>
      </c>
      <c r="K9" s="717">
        <f t="shared" si="2"/>
        <v>2346040</v>
      </c>
      <c r="L9" s="1272">
        <v>5546040</v>
      </c>
      <c r="M9" s="1268">
        <v>1569816</v>
      </c>
      <c r="N9" s="718">
        <f t="shared" si="3"/>
        <v>7115856</v>
      </c>
      <c r="O9" s="719">
        <v>471407.93</v>
      </c>
      <c r="P9" s="720">
        <v>146004.57</v>
      </c>
      <c r="Q9" s="721">
        <f t="shared" si="4"/>
        <v>617412.5</v>
      </c>
      <c r="R9" s="719">
        <f t="shared" si="5"/>
        <v>5656895.16</v>
      </c>
      <c r="S9" s="720">
        <f t="shared" si="6"/>
        <v>1752054.84</v>
      </c>
      <c r="T9" s="721">
        <f t="shared" si="7"/>
        <v>7408950</v>
      </c>
      <c r="V9" s="722">
        <v>5546</v>
      </c>
      <c r="W9" s="723">
        <v>1570</v>
      </c>
      <c r="X9" s="724">
        <f t="shared" si="8"/>
        <v>7116</v>
      </c>
      <c r="Y9" s="722">
        <f t="shared" si="10"/>
        <v>5546</v>
      </c>
      <c r="Z9" s="1250">
        <f t="shared" si="11"/>
        <v>1570</v>
      </c>
      <c r="AA9" s="724">
        <f t="shared" si="9"/>
        <v>7116</v>
      </c>
    </row>
    <row r="10" spans="1:27" ht="15" customHeight="1">
      <c r="A10" s="711">
        <v>31</v>
      </c>
      <c r="B10" s="712" t="s">
        <v>15</v>
      </c>
      <c r="C10" s="713">
        <v>38948681.21</v>
      </c>
      <c r="D10" s="714">
        <f t="shared" si="0"/>
        <v>10444559.04</v>
      </c>
      <c r="E10" s="715">
        <v>49393240.25</v>
      </c>
      <c r="F10" s="713">
        <v>3351530.84</v>
      </c>
      <c r="G10" s="714">
        <v>1189315.2</v>
      </c>
      <c r="H10" s="716">
        <f t="shared" si="1"/>
        <v>4540846.04</v>
      </c>
      <c r="I10" s="713">
        <v>37210826.49</v>
      </c>
      <c r="J10" s="714">
        <v>14703019.55</v>
      </c>
      <c r="K10" s="717">
        <f t="shared" si="2"/>
        <v>51913846.04000001</v>
      </c>
      <c r="L10" s="1272">
        <v>70349062.56</v>
      </c>
      <c r="M10" s="1268">
        <v>19647403.799999997</v>
      </c>
      <c r="N10" s="718">
        <f t="shared" si="3"/>
        <v>89996466.36</v>
      </c>
      <c r="O10" s="719">
        <f>4538910.55+25135</f>
        <v>4564045.55</v>
      </c>
      <c r="P10" s="720">
        <f>2349+1355363.85</f>
        <v>1357712.85</v>
      </c>
      <c r="Q10" s="721">
        <f t="shared" si="4"/>
        <v>5921758.4</v>
      </c>
      <c r="R10" s="719">
        <f t="shared" si="5"/>
        <v>54768546.599999994</v>
      </c>
      <c r="S10" s="720">
        <f t="shared" si="6"/>
        <v>16292554.200000001</v>
      </c>
      <c r="T10" s="721">
        <f t="shared" si="7"/>
        <v>71061100.8</v>
      </c>
      <c r="V10" s="722">
        <v>70349</v>
      </c>
      <c r="W10" s="725">
        <v>19648</v>
      </c>
      <c r="X10" s="724">
        <f t="shared" si="8"/>
        <v>89997</v>
      </c>
      <c r="Y10" s="722">
        <f t="shared" si="10"/>
        <v>70349</v>
      </c>
      <c r="Z10" s="1250">
        <f t="shared" si="11"/>
        <v>19648</v>
      </c>
      <c r="AA10" s="724">
        <f t="shared" si="9"/>
        <v>89997</v>
      </c>
    </row>
    <row r="11" spans="1:27" ht="15" customHeight="1">
      <c r="A11" s="711">
        <v>33</v>
      </c>
      <c r="B11" s="712" t="s">
        <v>16</v>
      </c>
      <c r="C11" s="713">
        <v>9542128.77</v>
      </c>
      <c r="D11" s="714">
        <f t="shared" si="0"/>
        <v>1868430.3900000006</v>
      </c>
      <c r="E11" s="715">
        <v>11410559.16</v>
      </c>
      <c r="F11" s="713">
        <v>826761</v>
      </c>
      <c r="G11" s="714">
        <v>169958</v>
      </c>
      <c r="H11" s="716">
        <f t="shared" si="1"/>
        <v>996719</v>
      </c>
      <c r="I11" s="713">
        <v>10156386.58</v>
      </c>
      <c r="J11" s="714">
        <v>2399869.42</v>
      </c>
      <c r="K11" s="717">
        <f t="shared" si="2"/>
        <v>12556256</v>
      </c>
      <c r="L11" s="1272">
        <v>14452940.399999999</v>
      </c>
      <c r="M11" s="1268">
        <v>2022565.32</v>
      </c>
      <c r="N11" s="718">
        <f t="shared" si="3"/>
        <v>16475505.719999999</v>
      </c>
      <c r="O11" s="719">
        <v>862553</v>
      </c>
      <c r="P11" s="720">
        <v>168486</v>
      </c>
      <c r="Q11" s="721">
        <f t="shared" si="4"/>
        <v>1031039</v>
      </c>
      <c r="R11" s="719">
        <f t="shared" si="5"/>
        <v>10350636</v>
      </c>
      <c r="S11" s="720">
        <f t="shared" si="6"/>
        <v>2021832</v>
      </c>
      <c r="T11" s="721">
        <f t="shared" si="7"/>
        <v>12372468</v>
      </c>
      <c r="V11" s="722">
        <v>14453</v>
      </c>
      <c r="W11" s="725">
        <v>2023</v>
      </c>
      <c r="X11" s="724">
        <f t="shared" si="8"/>
        <v>16476</v>
      </c>
      <c r="Y11" s="722">
        <f t="shared" si="10"/>
        <v>14453</v>
      </c>
      <c r="Z11" s="1250">
        <f t="shared" si="11"/>
        <v>2023</v>
      </c>
      <c r="AA11" s="724">
        <f t="shared" si="9"/>
        <v>16476</v>
      </c>
    </row>
    <row r="12" spans="1:27" ht="15" customHeight="1">
      <c r="A12" s="711">
        <v>41</v>
      </c>
      <c r="B12" s="712" t="s">
        <v>17</v>
      </c>
      <c r="C12" s="713">
        <v>3396505.09</v>
      </c>
      <c r="D12" s="714">
        <f t="shared" si="0"/>
        <v>827553.4699999997</v>
      </c>
      <c r="E12" s="715">
        <v>4224058.56</v>
      </c>
      <c r="F12" s="713">
        <v>338582</v>
      </c>
      <c r="G12" s="714">
        <v>117799</v>
      </c>
      <c r="H12" s="716">
        <f t="shared" si="1"/>
        <v>456381</v>
      </c>
      <c r="I12" s="713">
        <v>3704975.01</v>
      </c>
      <c r="J12" s="714">
        <v>1487302.07</v>
      </c>
      <c r="K12" s="717">
        <f t="shared" si="2"/>
        <v>5192277.08</v>
      </c>
      <c r="L12" s="1272">
        <v>7918501.800000001</v>
      </c>
      <c r="M12" s="1268">
        <v>1621806</v>
      </c>
      <c r="N12" s="718">
        <f t="shared" si="3"/>
        <v>9540307.8</v>
      </c>
      <c r="O12" s="719">
        <v>391253.46</v>
      </c>
      <c r="P12" s="720">
        <v>117890.54</v>
      </c>
      <c r="Q12" s="721">
        <f t="shared" si="4"/>
        <v>509144</v>
      </c>
      <c r="R12" s="719">
        <f t="shared" si="5"/>
        <v>4695041.5200000005</v>
      </c>
      <c r="S12" s="720">
        <f t="shared" si="6"/>
        <v>1414686.48</v>
      </c>
      <c r="T12" s="721">
        <f t="shared" si="7"/>
        <v>6109728</v>
      </c>
      <c r="V12" s="722">
        <v>7919</v>
      </c>
      <c r="W12" s="723">
        <v>1622</v>
      </c>
      <c r="X12" s="724">
        <f t="shared" si="8"/>
        <v>9541</v>
      </c>
      <c r="Y12" s="722">
        <f t="shared" si="10"/>
        <v>7919</v>
      </c>
      <c r="Z12" s="1250">
        <f t="shared" si="11"/>
        <v>1622</v>
      </c>
      <c r="AA12" s="724">
        <f t="shared" si="9"/>
        <v>9541</v>
      </c>
    </row>
    <row r="13" spans="1:27" ht="15" customHeight="1">
      <c r="A13" s="711">
        <v>51</v>
      </c>
      <c r="B13" s="712" t="s">
        <v>18</v>
      </c>
      <c r="C13" s="713">
        <v>187517.2</v>
      </c>
      <c r="D13" s="714">
        <f t="shared" si="0"/>
        <v>238381.45</v>
      </c>
      <c r="E13" s="715">
        <v>425898.65</v>
      </c>
      <c r="F13" s="713">
        <v>21656</v>
      </c>
      <c r="G13" s="714">
        <v>152743.29</v>
      </c>
      <c r="H13" s="716">
        <f t="shared" si="1"/>
        <v>174399.29</v>
      </c>
      <c r="I13" s="713">
        <v>195665.72</v>
      </c>
      <c r="J13" s="714">
        <v>844707.29</v>
      </c>
      <c r="K13" s="717">
        <f t="shared" si="2"/>
        <v>1040373.01</v>
      </c>
      <c r="L13" s="1272">
        <v>343116</v>
      </c>
      <c r="M13" s="1268">
        <v>1292472</v>
      </c>
      <c r="N13" s="718">
        <f t="shared" si="3"/>
        <v>1635588</v>
      </c>
      <c r="O13" s="719">
        <v>23475</v>
      </c>
      <c r="P13" s="720">
        <v>86202</v>
      </c>
      <c r="Q13" s="721">
        <f t="shared" si="4"/>
        <v>109677</v>
      </c>
      <c r="R13" s="719">
        <f t="shared" si="5"/>
        <v>281700</v>
      </c>
      <c r="S13" s="720">
        <f t="shared" si="6"/>
        <v>1034424</v>
      </c>
      <c r="T13" s="721">
        <f t="shared" si="7"/>
        <v>1316124</v>
      </c>
      <c r="V13" s="722">
        <v>343</v>
      </c>
      <c r="W13" s="723">
        <v>1292</v>
      </c>
      <c r="X13" s="724">
        <f t="shared" si="8"/>
        <v>1635</v>
      </c>
      <c r="Y13" s="722">
        <f t="shared" si="10"/>
        <v>343</v>
      </c>
      <c r="Z13" s="1250">
        <f t="shared" si="11"/>
        <v>1292</v>
      </c>
      <c r="AA13" s="724">
        <f t="shared" si="9"/>
        <v>1635</v>
      </c>
    </row>
    <row r="14" spans="1:27" ht="15" customHeight="1">
      <c r="A14" s="726">
        <v>56</v>
      </c>
      <c r="B14" s="727" t="s">
        <v>19</v>
      </c>
      <c r="C14" s="728">
        <v>4663639</v>
      </c>
      <c r="D14" s="729">
        <f t="shared" si="0"/>
        <v>933948.3600000003</v>
      </c>
      <c r="E14" s="730">
        <v>5597587.36</v>
      </c>
      <c r="F14" s="728">
        <v>372446</v>
      </c>
      <c r="G14" s="729">
        <v>102390</v>
      </c>
      <c r="H14" s="731">
        <f t="shared" si="1"/>
        <v>474836</v>
      </c>
      <c r="I14" s="728">
        <v>4574318.65</v>
      </c>
      <c r="J14" s="729">
        <v>1348467.35</v>
      </c>
      <c r="K14" s="732">
        <f t="shared" si="2"/>
        <v>5922786</v>
      </c>
      <c r="L14" s="1273">
        <v>4768476</v>
      </c>
      <c r="M14" s="1269">
        <v>1923085.92</v>
      </c>
      <c r="N14" s="733">
        <f t="shared" si="3"/>
        <v>6691561.92</v>
      </c>
      <c r="O14" s="734">
        <v>402964</v>
      </c>
      <c r="P14" s="735">
        <v>202063.16</v>
      </c>
      <c r="Q14" s="736">
        <f t="shared" si="4"/>
        <v>605027.16</v>
      </c>
      <c r="R14" s="734">
        <f t="shared" si="5"/>
        <v>4835568</v>
      </c>
      <c r="S14" s="735">
        <f t="shared" si="6"/>
        <v>2424757.92</v>
      </c>
      <c r="T14" s="736">
        <f t="shared" si="7"/>
        <v>7260325.92</v>
      </c>
      <c r="V14" s="737">
        <v>4768</v>
      </c>
      <c r="W14" s="738">
        <v>1923</v>
      </c>
      <c r="X14" s="739">
        <f t="shared" si="8"/>
        <v>6691</v>
      </c>
      <c r="Y14" s="1281">
        <f t="shared" si="10"/>
        <v>4768</v>
      </c>
      <c r="Z14" s="1251">
        <f t="shared" si="11"/>
        <v>1923</v>
      </c>
      <c r="AA14" s="739">
        <f t="shared" si="9"/>
        <v>6691</v>
      </c>
    </row>
    <row r="15" spans="1:27" ht="15" customHeight="1">
      <c r="A15" s="711">
        <v>81</v>
      </c>
      <c r="B15" s="712" t="s">
        <v>147</v>
      </c>
      <c r="C15" s="713">
        <v>5449582</v>
      </c>
      <c r="D15" s="714">
        <f t="shared" si="0"/>
        <v>6896310.699999999</v>
      </c>
      <c r="E15" s="715">
        <v>12345892.7</v>
      </c>
      <c r="F15" s="713">
        <v>454738</v>
      </c>
      <c r="G15" s="714">
        <v>320232.71</v>
      </c>
      <c r="H15" s="716">
        <f t="shared" si="1"/>
        <v>774970.71</v>
      </c>
      <c r="I15" s="713">
        <v>5026103</v>
      </c>
      <c r="J15" s="714">
        <v>5245388.71</v>
      </c>
      <c r="K15" s="740">
        <f t="shared" si="2"/>
        <v>10271491.71</v>
      </c>
      <c r="L15" s="1271">
        <v>5018124</v>
      </c>
      <c r="M15" s="1270">
        <v>6921328.800000001</v>
      </c>
      <c r="N15" s="718">
        <f t="shared" si="3"/>
        <v>11939452.8</v>
      </c>
      <c r="O15" s="719">
        <v>428580</v>
      </c>
      <c r="P15" s="720">
        <f>12209+420171.84</f>
        <v>432380.84</v>
      </c>
      <c r="Q15" s="741">
        <f t="shared" si="4"/>
        <v>860960.8400000001</v>
      </c>
      <c r="R15" s="719">
        <f t="shared" si="5"/>
        <v>5142960</v>
      </c>
      <c r="S15" s="720">
        <f t="shared" si="6"/>
        <v>5188570.08</v>
      </c>
      <c r="T15" s="741">
        <f t="shared" si="7"/>
        <v>10331530.08</v>
      </c>
      <c r="V15" s="722">
        <v>5018</v>
      </c>
      <c r="W15" s="1096">
        <v>6921</v>
      </c>
      <c r="X15" s="742">
        <f t="shared" si="8"/>
        <v>11939</v>
      </c>
      <c r="Y15" s="1279">
        <f t="shared" si="10"/>
        <v>5018</v>
      </c>
      <c r="Z15" s="1280"/>
      <c r="AA15" s="742">
        <f t="shared" si="9"/>
        <v>5018</v>
      </c>
    </row>
    <row r="16" spans="1:27" ht="15" customHeight="1">
      <c r="A16" s="711">
        <v>82</v>
      </c>
      <c r="B16" s="712" t="s">
        <v>4</v>
      </c>
      <c r="C16" s="713"/>
      <c r="D16" s="714"/>
      <c r="E16" s="715"/>
      <c r="F16" s="713"/>
      <c r="G16" s="714"/>
      <c r="H16" s="716"/>
      <c r="I16" s="713"/>
      <c r="J16" s="714"/>
      <c r="K16" s="740"/>
      <c r="L16" s="1272">
        <v>40018860</v>
      </c>
      <c r="M16" s="1268">
        <v>0</v>
      </c>
      <c r="N16" s="718">
        <f t="shared" si="3"/>
        <v>40018860</v>
      </c>
      <c r="O16" s="719">
        <v>1235558</v>
      </c>
      <c r="P16" s="720">
        <v>202807</v>
      </c>
      <c r="Q16" s="741"/>
      <c r="R16" s="743">
        <f>O16*12</f>
        <v>14826696</v>
      </c>
      <c r="S16" s="744">
        <f>P16*5</f>
        <v>1014035</v>
      </c>
      <c r="T16" s="741"/>
      <c r="V16" s="745">
        <v>40019</v>
      </c>
      <c r="W16" s="725"/>
      <c r="X16" s="724">
        <f t="shared" si="8"/>
        <v>40019</v>
      </c>
      <c r="Y16" s="722">
        <f t="shared" si="10"/>
        <v>40019</v>
      </c>
      <c r="Z16" s="1250"/>
      <c r="AA16" s="724">
        <f t="shared" si="9"/>
        <v>40019</v>
      </c>
    </row>
    <row r="17" spans="1:27" ht="15" customHeight="1">
      <c r="A17" s="711">
        <v>83</v>
      </c>
      <c r="B17" s="712" t="s">
        <v>197</v>
      </c>
      <c r="C17" s="713"/>
      <c r="D17" s="714">
        <f>E17-C17</f>
        <v>0</v>
      </c>
      <c r="E17" s="715"/>
      <c r="F17" s="713">
        <v>0</v>
      </c>
      <c r="G17" s="714">
        <v>32946</v>
      </c>
      <c r="H17" s="716">
        <f>F17+G17</f>
        <v>32946</v>
      </c>
      <c r="I17" s="713">
        <v>0</v>
      </c>
      <c r="J17" s="714">
        <v>310748</v>
      </c>
      <c r="K17" s="717">
        <f>SUM(I17:J17)</f>
        <v>310748</v>
      </c>
      <c r="L17" s="1272">
        <v>2904</v>
      </c>
      <c r="M17" s="1268">
        <v>440364</v>
      </c>
      <c r="N17" s="718">
        <f t="shared" si="3"/>
        <v>443268</v>
      </c>
      <c r="O17" s="719">
        <v>242</v>
      </c>
      <c r="P17" s="720">
        <v>32981</v>
      </c>
      <c r="Q17" s="721">
        <f aca="true" t="shared" si="12" ref="Q17:Q25">SUM(O17:P17)</f>
        <v>33223</v>
      </c>
      <c r="R17" s="719">
        <f>O17*12</f>
        <v>2904</v>
      </c>
      <c r="S17" s="720">
        <f>P17*12</f>
        <v>395772</v>
      </c>
      <c r="T17" s="721">
        <f aca="true" t="shared" si="13" ref="T17:T25">SUM(R17:S17)</f>
        <v>398676</v>
      </c>
      <c r="V17" s="722">
        <v>3</v>
      </c>
      <c r="W17" s="723">
        <v>440</v>
      </c>
      <c r="X17" s="724">
        <f t="shared" si="8"/>
        <v>443</v>
      </c>
      <c r="Y17" s="722">
        <f t="shared" si="10"/>
        <v>3</v>
      </c>
      <c r="Z17" s="1250">
        <f t="shared" si="11"/>
        <v>440</v>
      </c>
      <c r="AA17" s="724">
        <f t="shared" si="9"/>
        <v>443</v>
      </c>
    </row>
    <row r="18" spans="1:27" ht="15" customHeight="1">
      <c r="A18" s="711">
        <v>84</v>
      </c>
      <c r="B18" s="712" t="s">
        <v>196</v>
      </c>
      <c r="C18" s="713"/>
      <c r="D18" s="714">
        <f>E18-C18</f>
        <v>0</v>
      </c>
      <c r="E18" s="715"/>
      <c r="F18" s="713">
        <v>19379</v>
      </c>
      <c r="G18" s="714">
        <v>2494</v>
      </c>
      <c r="H18" s="716">
        <f>F18+G18</f>
        <v>21873</v>
      </c>
      <c r="I18" s="713">
        <v>133848</v>
      </c>
      <c r="J18" s="714">
        <v>34816</v>
      </c>
      <c r="K18" s="717">
        <f>SUM(I18:J18)</f>
        <v>168664</v>
      </c>
      <c r="L18" s="1272">
        <v>495180</v>
      </c>
      <c r="M18" s="1268">
        <v>123024</v>
      </c>
      <c r="N18" s="718">
        <f t="shared" si="3"/>
        <v>618204</v>
      </c>
      <c r="O18" s="719">
        <v>28606</v>
      </c>
      <c r="P18" s="720">
        <v>12304</v>
      </c>
      <c r="Q18" s="721">
        <f t="shared" si="12"/>
        <v>40910</v>
      </c>
      <c r="R18" s="719">
        <f>O18*12</f>
        <v>343272</v>
      </c>
      <c r="S18" s="720">
        <f>P18*12</f>
        <v>147648</v>
      </c>
      <c r="T18" s="721">
        <f t="shared" si="13"/>
        <v>490920</v>
      </c>
      <c r="V18" s="722">
        <v>495</v>
      </c>
      <c r="W18" s="723">
        <v>123</v>
      </c>
      <c r="X18" s="724">
        <f t="shared" si="8"/>
        <v>618</v>
      </c>
      <c r="Y18" s="722">
        <f t="shared" si="10"/>
        <v>495</v>
      </c>
      <c r="Z18" s="1250">
        <f t="shared" si="11"/>
        <v>123</v>
      </c>
      <c r="AA18" s="724">
        <f t="shared" si="9"/>
        <v>618</v>
      </c>
    </row>
    <row r="19" spans="1:27" ht="15" customHeight="1">
      <c r="A19" s="711">
        <v>85</v>
      </c>
      <c r="B19" s="712" t="s">
        <v>297</v>
      </c>
      <c r="C19" s="713"/>
      <c r="D19" s="714"/>
      <c r="E19" s="715"/>
      <c r="F19" s="713"/>
      <c r="G19" s="714"/>
      <c r="H19" s="716"/>
      <c r="I19" s="713"/>
      <c r="J19" s="714"/>
      <c r="K19" s="717"/>
      <c r="L19" s="1272">
        <v>170196</v>
      </c>
      <c r="M19" s="1268">
        <v>154799</v>
      </c>
      <c r="N19" s="718">
        <f t="shared" si="3"/>
        <v>324995</v>
      </c>
      <c r="O19" s="719">
        <v>38047</v>
      </c>
      <c r="P19" s="720">
        <v>12141</v>
      </c>
      <c r="Q19" s="721">
        <f t="shared" si="12"/>
        <v>50188</v>
      </c>
      <c r="R19" s="746">
        <f>O19*5</f>
        <v>190235</v>
      </c>
      <c r="S19" s="747">
        <f>P19*5</f>
        <v>60705</v>
      </c>
      <c r="T19" s="721">
        <f t="shared" si="13"/>
        <v>250940</v>
      </c>
      <c r="V19" s="1093">
        <v>170</v>
      </c>
      <c r="W19" s="1094">
        <v>154</v>
      </c>
      <c r="X19" s="1095">
        <f t="shared" si="8"/>
        <v>324</v>
      </c>
      <c r="Y19" s="722">
        <f t="shared" si="10"/>
        <v>170</v>
      </c>
      <c r="Z19" s="1250"/>
      <c r="AA19" s="1095">
        <f t="shared" si="9"/>
        <v>170</v>
      </c>
    </row>
    <row r="20" spans="1:27" ht="15" customHeight="1">
      <c r="A20" s="711">
        <v>92</v>
      </c>
      <c r="B20" s="712" t="s">
        <v>22</v>
      </c>
      <c r="C20" s="713">
        <v>7774427.94</v>
      </c>
      <c r="D20" s="714">
        <f>E20-C20</f>
        <v>21545393.54</v>
      </c>
      <c r="E20" s="715">
        <v>29319821.48</v>
      </c>
      <c r="F20" s="713">
        <v>1283439</v>
      </c>
      <c r="G20" s="714">
        <v>1681826</v>
      </c>
      <c r="H20" s="716">
        <f>F20+G20</f>
        <v>2965265</v>
      </c>
      <c r="I20" s="713">
        <v>10861976.83</v>
      </c>
      <c r="J20" s="714">
        <v>21354798.38</v>
      </c>
      <c r="K20" s="717">
        <f aca="true" t="shared" si="14" ref="K20:K25">SUM(I20:J20)</f>
        <v>32216775.21</v>
      </c>
      <c r="L20" s="1272">
        <v>26816506.32</v>
      </c>
      <c r="M20" s="1268">
        <v>14234973.36</v>
      </c>
      <c r="N20" s="718">
        <f t="shared" si="3"/>
        <v>41051479.68</v>
      </c>
      <c r="O20" s="719">
        <f>1230051+104679</f>
        <v>1334730</v>
      </c>
      <c r="P20" s="720">
        <f>65115+1592719</f>
        <v>1657834</v>
      </c>
      <c r="Q20" s="721">
        <f t="shared" si="12"/>
        <v>2992564</v>
      </c>
      <c r="R20" s="719">
        <f aca="true" t="shared" si="15" ref="R20:S24">O20*12</f>
        <v>16016760</v>
      </c>
      <c r="S20" s="720">
        <f t="shared" si="15"/>
        <v>19894008</v>
      </c>
      <c r="T20" s="721">
        <f t="shared" si="13"/>
        <v>35910768</v>
      </c>
      <c r="V20" s="722">
        <v>26816</v>
      </c>
      <c r="W20" s="723">
        <v>14235</v>
      </c>
      <c r="X20" s="724">
        <f t="shared" si="8"/>
        <v>41051</v>
      </c>
      <c r="Y20" s="722">
        <f t="shared" si="10"/>
        <v>26816</v>
      </c>
      <c r="Z20" s="1250">
        <f t="shared" si="11"/>
        <v>14235</v>
      </c>
      <c r="AA20" s="724">
        <f t="shared" si="9"/>
        <v>41051</v>
      </c>
    </row>
    <row r="21" spans="1:27" ht="15" customHeight="1">
      <c r="A21" s="711">
        <v>94</v>
      </c>
      <c r="B21" s="712" t="s">
        <v>298</v>
      </c>
      <c r="C21" s="713">
        <v>89893</v>
      </c>
      <c r="D21" s="714">
        <f>E21-C21</f>
        <v>414345</v>
      </c>
      <c r="E21" s="715">
        <v>504238</v>
      </c>
      <c r="F21" s="713">
        <v>6911</v>
      </c>
      <c r="G21" s="714">
        <v>30236</v>
      </c>
      <c r="H21" s="716">
        <f>F21+G21</f>
        <v>37147</v>
      </c>
      <c r="I21" s="713">
        <v>82938</v>
      </c>
      <c r="J21" s="714">
        <v>472896</v>
      </c>
      <c r="K21" s="717">
        <f t="shared" si="14"/>
        <v>555834</v>
      </c>
      <c r="L21" s="1272">
        <v>0</v>
      </c>
      <c r="M21" s="1268">
        <v>0</v>
      </c>
      <c r="N21" s="718">
        <f t="shared" si="3"/>
        <v>0</v>
      </c>
      <c r="O21" s="719">
        <v>1491</v>
      </c>
      <c r="P21" s="720">
        <v>21902</v>
      </c>
      <c r="Q21" s="721">
        <f t="shared" si="12"/>
        <v>23393</v>
      </c>
      <c r="R21" s="719">
        <f t="shared" si="15"/>
        <v>17892</v>
      </c>
      <c r="S21" s="720">
        <f t="shared" si="15"/>
        <v>262824</v>
      </c>
      <c r="T21" s="721">
        <f t="shared" si="13"/>
        <v>280716</v>
      </c>
      <c r="V21" s="722">
        <v>0</v>
      </c>
      <c r="W21" s="723">
        <v>0</v>
      </c>
      <c r="X21" s="724">
        <f t="shared" si="8"/>
        <v>0</v>
      </c>
      <c r="Y21" s="722">
        <f t="shared" si="10"/>
        <v>0</v>
      </c>
      <c r="Z21" s="1250">
        <f t="shared" si="11"/>
        <v>0</v>
      </c>
      <c r="AA21" s="724">
        <f t="shared" si="9"/>
        <v>0</v>
      </c>
    </row>
    <row r="22" spans="1:27" ht="15" customHeight="1">
      <c r="A22" s="711">
        <v>96</v>
      </c>
      <c r="B22" s="712" t="s">
        <v>52</v>
      </c>
      <c r="C22" s="713"/>
      <c r="D22" s="714">
        <f>E22-C22</f>
        <v>60268</v>
      </c>
      <c r="E22" s="715">
        <v>60268</v>
      </c>
      <c r="F22" s="713">
        <v>0</v>
      </c>
      <c r="G22" s="714">
        <v>3510</v>
      </c>
      <c r="H22" s="716">
        <f>F22+G22</f>
        <v>3510</v>
      </c>
      <c r="I22" s="713">
        <v>0</v>
      </c>
      <c r="J22" s="714">
        <v>46158</v>
      </c>
      <c r="K22" s="717">
        <f t="shared" si="14"/>
        <v>46158</v>
      </c>
      <c r="L22" s="1272">
        <v>7968</v>
      </c>
      <c r="M22" s="1268">
        <v>131640</v>
      </c>
      <c r="N22" s="718">
        <f t="shared" si="3"/>
        <v>139608</v>
      </c>
      <c r="O22" s="719">
        <v>0</v>
      </c>
      <c r="P22" s="720">
        <v>3508</v>
      </c>
      <c r="Q22" s="721">
        <f t="shared" si="12"/>
        <v>3508</v>
      </c>
      <c r="R22" s="719">
        <f t="shared" si="15"/>
        <v>0</v>
      </c>
      <c r="S22" s="720">
        <f t="shared" si="15"/>
        <v>42096</v>
      </c>
      <c r="T22" s="721">
        <f t="shared" si="13"/>
        <v>42096</v>
      </c>
      <c r="V22" s="722">
        <v>8</v>
      </c>
      <c r="W22" s="723">
        <v>132</v>
      </c>
      <c r="X22" s="724">
        <f t="shared" si="8"/>
        <v>140</v>
      </c>
      <c r="Y22" s="722">
        <f t="shared" si="10"/>
        <v>8</v>
      </c>
      <c r="Z22" s="1250">
        <f t="shared" si="11"/>
        <v>132</v>
      </c>
      <c r="AA22" s="724">
        <f t="shared" si="9"/>
        <v>140</v>
      </c>
    </row>
    <row r="23" spans="1:27" ht="15" customHeight="1">
      <c r="A23" s="711">
        <v>97</v>
      </c>
      <c r="B23" s="712" t="s">
        <v>53</v>
      </c>
      <c r="C23" s="713">
        <v>4115</v>
      </c>
      <c r="D23" s="714">
        <f>E23-C23</f>
        <v>63389</v>
      </c>
      <c r="E23" s="715">
        <v>67504</v>
      </c>
      <c r="F23" s="713">
        <v>823</v>
      </c>
      <c r="G23" s="714">
        <v>5347</v>
      </c>
      <c r="H23" s="716">
        <f>F23+G23</f>
        <v>6170</v>
      </c>
      <c r="I23" s="713">
        <v>9876</v>
      </c>
      <c r="J23" s="714">
        <v>64202</v>
      </c>
      <c r="K23" s="717">
        <f t="shared" si="14"/>
        <v>74078</v>
      </c>
      <c r="L23" s="1272">
        <v>9876</v>
      </c>
      <c r="M23" s="1268">
        <v>73944</v>
      </c>
      <c r="N23" s="718">
        <f t="shared" si="3"/>
        <v>83820</v>
      </c>
      <c r="O23" s="719">
        <v>823</v>
      </c>
      <c r="P23" s="720">
        <v>6036</v>
      </c>
      <c r="Q23" s="721">
        <f t="shared" si="12"/>
        <v>6859</v>
      </c>
      <c r="R23" s="719">
        <f t="shared" si="15"/>
        <v>9876</v>
      </c>
      <c r="S23" s="720">
        <f t="shared" si="15"/>
        <v>72432</v>
      </c>
      <c r="T23" s="721">
        <f t="shared" si="13"/>
        <v>82308</v>
      </c>
      <c r="V23" s="722">
        <v>10</v>
      </c>
      <c r="W23" s="723">
        <v>74</v>
      </c>
      <c r="X23" s="724">
        <f t="shared" si="8"/>
        <v>84</v>
      </c>
      <c r="Y23" s="722">
        <f t="shared" si="10"/>
        <v>10</v>
      </c>
      <c r="Z23" s="1250">
        <f t="shared" si="11"/>
        <v>74</v>
      </c>
      <c r="AA23" s="724">
        <f t="shared" si="9"/>
        <v>84</v>
      </c>
    </row>
    <row r="24" spans="1:27" ht="15" customHeight="1">
      <c r="A24" s="726">
        <v>99</v>
      </c>
      <c r="B24" s="727" t="s">
        <v>23</v>
      </c>
      <c r="C24" s="728">
        <v>1970159.69</v>
      </c>
      <c r="D24" s="729">
        <f>E24-C24</f>
        <v>1170548.87</v>
      </c>
      <c r="E24" s="730">
        <v>3140708.56</v>
      </c>
      <c r="F24" s="728">
        <v>699155</v>
      </c>
      <c r="G24" s="729">
        <v>150608</v>
      </c>
      <c r="H24" s="731">
        <f>F24+G24</f>
        <v>849763</v>
      </c>
      <c r="I24" s="728">
        <v>2101761</v>
      </c>
      <c r="J24" s="729">
        <v>1457163</v>
      </c>
      <c r="K24" s="748">
        <f t="shared" si="14"/>
        <v>3558924</v>
      </c>
      <c r="L24" s="1274">
        <v>2628588</v>
      </c>
      <c r="M24" s="1275">
        <v>2159967.6</v>
      </c>
      <c r="N24" s="733">
        <f t="shared" si="3"/>
        <v>4788555.6</v>
      </c>
      <c r="O24" s="734">
        <v>220300</v>
      </c>
      <c r="P24" s="735">
        <v>133465</v>
      </c>
      <c r="Q24" s="749">
        <f t="shared" si="12"/>
        <v>353765</v>
      </c>
      <c r="R24" s="734">
        <f t="shared" si="15"/>
        <v>2643600</v>
      </c>
      <c r="S24" s="735">
        <f t="shared" si="15"/>
        <v>1601580</v>
      </c>
      <c r="T24" s="749">
        <f t="shared" si="13"/>
        <v>4245180</v>
      </c>
      <c r="V24" s="737">
        <v>2629</v>
      </c>
      <c r="W24" s="723">
        <v>2160</v>
      </c>
      <c r="X24" s="750">
        <f t="shared" si="8"/>
        <v>4789</v>
      </c>
      <c r="Y24" s="708">
        <f t="shared" si="10"/>
        <v>2629</v>
      </c>
      <c r="Z24" s="1249">
        <f t="shared" si="11"/>
        <v>2160</v>
      </c>
      <c r="AA24" s="750">
        <f t="shared" si="9"/>
        <v>4789</v>
      </c>
    </row>
    <row r="25" spans="1:27" ht="11.25">
      <c r="A25" s="751" t="s">
        <v>21</v>
      </c>
      <c r="B25" s="752"/>
      <c r="C25" s="753">
        <f aca="true" t="shared" si="16" ref="C25:J25">SUM(C6:C24)</f>
        <v>94805325.02</v>
      </c>
      <c r="D25" s="754">
        <f t="shared" si="16"/>
        <v>55465220.49999999</v>
      </c>
      <c r="E25" s="755">
        <f t="shared" si="16"/>
        <v>150270545.52</v>
      </c>
      <c r="F25" s="753">
        <f t="shared" si="16"/>
        <v>9937340.5</v>
      </c>
      <c r="G25" s="754">
        <f t="shared" si="16"/>
        <v>5106637.52</v>
      </c>
      <c r="H25" s="756">
        <f t="shared" si="16"/>
        <v>15043978.02</v>
      </c>
      <c r="I25" s="753">
        <f t="shared" si="16"/>
        <v>99886880.47000001</v>
      </c>
      <c r="J25" s="754">
        <f t="shared" si="16"/>
        <v>62445037.56</v>
      </c>
      <c r="K25" s="757">
        <f t="shared" si="14"/>
        <v>162331918.03000003</v>
      </c>
      <c r="L25" s="1278">
        <f>SUM(L6:L24)</f>
        <v>215613888.48000002</v>
      </c>
      <c r="M25" s="1277">
        <f>SUM(M6:M24)</f>
        <v>72840440.11999999</v>
      </c>
      <c r="N25" s="1276">
        <f>SUM(N6:N24)</f>
        <v>288454328.6</v>
      </c>
      <c r="O25" s="758">
        <f>SUM(O6:O24)</f>
        <v>12341226.65</v>
      </c>
      <c r="P25" s="759">
        <f>SUM(P6:P24)</f>
        <v>5827979.850000001</v>
      </c>
      <c r="Q25" s="757">
        <f t="shared" si="12"/>
        <v>18169206.5</v>
      </c>
      <c r="R25" s="758">
        <f>SUM(R6:R24)</f>
        <v>147828390.8</v>
      </c>
      <c r="S25" s="759">
        <f>SUM(S6:S24)</f>
        <v>68431122.19999999</v>
      </c>
      <c r="T25" s="757">
        <f t="shared" si="13"/>
        <v>216259513</v>
      </c>
      <c r="V25" s="760">
        <f>SUM(V6:V24)</f>
        <v>215614</v>
      </c>
      <c r="W25" s="761">
        <f>SUM(W6:W24)</f>
        <v>72840</v>
      </c>
      <c r="X25" s="762">
        <f t="shared" si="8"/>
        <v>288454</v>
      </c>
      <c r="Y25" s="760">
        <f>SUM(Y6:Y24)</f>
        <v>215614</v>
      </c>
      <c r="Z25" s="763">
        <f>SUM(Z6:Z24)</f>
        <v>65765</v>
      </c>
      <c r="AA25" s="762">
        <f t="shared" si="9"/>
        <v>281379</v>
      </c>
    </row>
    <row r="26" spans="1:27" ht="11.25">
      <c r="A26" s="764" t="s">
        <v>299</v>
      </c>
      <c r="B26" s="765"/>
      <c r="C26" s="766">
        <f aca="true" t="shared" si="17" ref="C26:T26">SUM(C6:C14)</f>
        <v>79517147.39</v>
      </c>
      <c r="D26" s="714">
        <f t="shared" si="17"/>
        <v>25314965.389999997</v>
      </c>
      <c r="E26" s="767">
        <f t="shared" si="17"/>
        <v>104832112.78</v>
      </c>
      <c r="F26" s="766">
        <f t="shared" si="17"/>
        <v>7472895.5</v>
      </c>
      <c r="G26" s="714">
        <f t="shared" si="17"/>
        <v>2879437.81</v>
      </c>
      <c r="H26" s="768">
        <f t="shared" si="17"/>
        <v>10352333.309999999</v>
      </c>
      <c r="I26" s="766">
        <f t="shared" si="17"/>
        <v>81670377.64000002</v>
      </c>
      <c r="J26" s="714">
        <f t="shared" si="17"/>
        <v>33458867.47</v>
      </c>
      <c r="K26" s="767">
        <f t="shared" si="17"/>
        <v>115129245.11000001</v>
      </c>
      <c r="L26" s="766">
        <f t="shared" si="17"/>
        <v>140445686.16000003</v>
      </c>
      <c r="M26" s="714">
        <f t="shared" si="17"/>
        <v>48600399.36</v>
      </c>
      <c r="N26" s="767">
        <f t="shared" si="17"/>
        <v>189046085.51999998</v>
      </c>
      <c r="O26" s="769">
        <f t="shared" si="17"/>
        <v>9052849.65</v>
      </c>
      <c r="P26" s="770">
        <f t="shared" si="17"/>
        <v>3312621.0100000007</v>
      </c>
      <c r="Q26" s="768">
        <f t="shared" si="17"/>
        <v>12365470.66</v>
      </c>
      <c r="R26" s="769">
        <f t="shared" si="17"/>
        <v>108634195.8</v>
      </c>
      <c r="S26" s="770">
        <f t="shared" si="17"/>
        <v>39751452.12</v>
      </c>
      <c r="T26" s="768">
        <f t="shared" si="17"/>
        <v>148385647.92</v>
      </c>
      <c r="V26" s="771">
        <f aca="true" t="shared" si="18" ref="V26:AA26">SUM(V6:V14)</f>
        <v>140446</v>
      </c>
      <c r="W26" s="723">
        <f t="shared" si="18"/>
        <v>48601</v>
      </c>
      <c r="X26" s="772">
        <f t="shared" si="18"/>
        <v>189047</v>
      </c>
      <c r="Y26" s="771">
        <f t="shared" si="18"/>
        <v>140446</v>
      </c>
      <c r="Z26" s="1250">
        <f t="shared" si="18"/>
        <v>48601</v>
      </c>
      <c r="AA26" s="772">
        <f t="shared" si="18"/>
        <v>189047</v>
      </c>
    </row>
    <row r="27" spans="1:27" ht="12" thickBot="1">
      <c r="A27" s="773" t="s">
        <v>26</v>
      </c>
      <c r="B27" s="774"/>
      <c r="C27" s="775">
        <f aca="true" t="shared" si="19" ref="C27:T27">SUM(C15:C24)</f>
        <v>15288177.63</v>
      </c>
      <c r="D27" s="776">
        <f t="shared" si="19"/>
        <v>30150255.11</v>
      </c>
      <c r="E27" s="777">
        <f t="shared" si="19"/>
        <v>45438432.74</v>
      </c>
      <c r="F27" s="775">
        <f t="shared" si="19"/>
        <v>2464445</v>
      </c>
      <c r="G27" s="776">
        <f t="shared" si="19"/>
        <v>2227199.71</v>
      </c>
      <c r="H27" s="777">
        <f t="shared" si="19"/>
        <v>4691644.71</v>
      </c>
      <c r="I27" s="775">
        <f t="shared" si="19"/>
        <v>18216502.83</v>
      </c>
      <c r="J27" s="776">
        <f t="shared" si="19"/>
        <v>28986170.09</v>
      </c>
      <c r="K27" s="777">
        <f t="shared" si="19"/>
        <v>47202672.92</v>
      </c>
      <c r="L27" s="778">
        <f t="shared" si="19"/>
        <v>75168202.32</v>
      </c>
      <c r="M27" s="779">
        <f t="shared" si="19"/>
        <v>24240040.76</v>
      </c>
      <c r="N27" s="780">
        <f t="shared" si="19"/>
        <v>99408243.07999998</v>
      </c>
      <c r="O27" s="775">
        <f t="shared" si="19"/>
        <v>3288377</v>
      </c>
      <c r="P27" s="776">
        <f t="shared" si="19"/>
        <v>2515358.84</v>
      </c>
      <c r="Q27" s="777">
        <f t="shared" si="19"/>
        <v>4365370.84</v>
      </c>
      <c r="R27" s="775">
        <f t="shared" si="19"/>
        <v>39194195</v>
      </c>
      <c r="S27" s="776">
        <f t="shared" si="19"/>
        <v>28679670.08</v>
      </c>
      <c r="T27" s="777">
        <f t="shared" si="19"/>
        <v>52033134.08</v>
      </c>
      <c r="V27" s="781">
        <f aca="true" t="shared" si="20" ref="V27:AA27">SUM(V15:V24)</f>
        <v>75168</v>
      </c>
      <c r="W27" s="782">
        <f t="shared" si="20"/>
        <v>24239</v>
      </c>
      <c r="X27" s="783">
        <f t="shared" si="20"/>
        <v>99407</v>
      </c>
      <c r="Y27" s="781">
        <f t="shared" si="20"/>
        <v>75168</v>
      </c>
      <c r="Z27" s="1252">
        <f t="shared" si="20"/>
        <v>17164</v>
      </c>
      <c r="AA27" s="783">
        <f t="shared" si="20"/>
        <v>92332</v>
      </c>
    </row>
    <row r="28" spans="3:27" ht="11.25" customHeight="1" hidden="1">
      <c r="C28" s="784">
        <f aca="true" t="shared" si="21" ref="C28:E30">C25/$E$25*100</f>
        <v>63.089759002293654</v>
      </c>
      <c r="D28" s="784">
        <f t="shared" si="21"/>
        <v>36.91024099770633</v>
      </c>
      <c r="E28" s="784">
        <f t="shared" si="21"/>
        <v>100</v>
      </c>
      <c r="F28" s="784"/>
      <c r="G28" s="784"/>
      <c r="H28" s="784"/>
      <c r="I28" s="785" t="s">
        <v>300</v>
      </c>
      <c r="J28" s="786">
        <v>62918640.55</v>
      </c>
      <c r="L28" s="787">
        <f aca="true" t="shared" si="22" ref="L28:N30">L25/$N$25*100</f>
        <v>74.74801627227168</v>
      </c>
      <c r="M28" s="787">
        <f t="shared" si="22"/>
        <v>25.251983727728323</v>
      </c>
      <c r="N28" s="787">
        <f t="shared" si="22"/>
        <v>100</v>
      </c>
      <c r="V28" s="788">
        <f aca="true" t="shared" si="23" ref="V28:V33">V25/X25*100</f>
        <v>74.74814008472754</v>
      </c>
      <c r="W28" s="788">
        <f aca="true" t="shared" si="24" ref="W28:W33">W25/X25*100</f>
        <v>25.25185991527245</v>
      </c>
      <c r="X28" s="788">
        <f aca="true" t="shared" si="25" ref="X28:X33">V28+W28</f>
        <v>99.99999999999999</v>
      </c>
      <c r="Y28" s="788">
        <f aca="true" t="shared" si="26" ref="Y28:Y33">Y25/AA25*100</f>
        <v>76.62760902554918</v>
      </c>
      <c r="Z28" s="788">
        <f aca="true" t="shared" si="27" ref="Z28:Z33">Z25/AA25*100</f>
        <v>23.37239097445083</v>
      </c>
      <c r="AA28" s="788">
        <f aca="true" t="shared" si="28" ref="AA28:AA33">Y28+Z28</f>
        <v>100</v>
      </c>
    </row>
    <row r="29" spans="3:27" ht="11.25" customHeight="1" hidden="1">
      <c r="C29" s="784">
        <f t="shared" si="21"/>
        <v>52.91599036580112</v>
      </c>
      <c r="D29" s="784">
        <f t="shared" si="21"/>
        <v>16.84625906054939</v>
      </c>
      <c r="E29" s="784">
        <f t="shared" si="21"/>
        <v>69.76224942635052</v>
      </c>
      <c r="F29" s="784"/>
      <c r="G29" s="784"/>
      <c r="H29" s="784"/>
      <c r="I29" s="785" t="s">
        <v>301</v>
      </c>
      <c r="J29" s="786">
        <f>J28-J25</f>
        <v>473602.98999999464</v>
      </c>
      <c r="L29" s="787">
        <f t="shared" si="22"/>
        <v>48.6890548121246</v>
      </c>
      <c r="M29" s="787">
        <f t="shared" si="22"/>
        <v>16.848559560842727</v>
      </c>
      <c r="N29" s="787">
        <f t="shared" si="22"/>
        <v>65.53761437296731</v>
      </c>
      <c r="V29" s="788">
        <f t="shared" si="23"/>
        <v>74.29157828476517</v>
      </c>
      <c r="W29" s="788">
        <f t="shared" si="24"/>
        <v>25.708421715234834</v>
      </c>
      <c r="X29" s="788">
        <f t="shared" si="25"/>
        <v>100</v>
      </c>
      <c r="Y29" s="788">
        <f t="shared" si="26"/>
        <v>74.29157828476517</v>
      </c>
      <c r="Z29" s="788">
        <f t="shared" si="27"/>
        <v>25.708421715234834</v>
      </c>
      <c r="AA29" s="788">
        <f t="shared" si="28"/>
        <v>100</v>
      </c>
    </row>
    <row r="30" spans="3:27" ht="11.25" customHeight="1" hidden="1">
      <c r="C30" s="784">
        <f t="shared" si="21"/>
        <v>10.173768636492536</v>
      </c>
      <c r="D30" s="784">
        <f t="shared" si="21"/>
        <v>20.063981937156942</v>
      </c>
      <c r="E30" s="784">
        <f t="shared" si="21"/>
        <v>30.237750573649475</v>
      </c>
      <c r="F30" s="784"/>
      <c r="G30" s="784"/>
      <c r="H30" s="784"/>
      <c r="I30" s="789"/>
      <c r="J30" s="789"/>
      <c r="K30" s="789"/>
      <c r="L30" s="787">
        <f t="shared" si="22"/>
        <v>26.058961460147067</v>
      </c>
      <c r="M30" s="787">
        <f t="shared" si="22"/>
        <v>8.4034241668856</v>
      </c>
      <c r="N30" s="787">
        <f t="shared" si="22"/>
        <v>34.46238562703267</v>
      </c>
      <c r="V30" s="788">
        <f t="shared" si="23"/>
        <v>75.61640528333015</v>
      </c>
      <c r="W30" s="788">
        <f t="shared" si="24"/>
        <v>24.38359471666985</v>
      </c>
      <c r="X30" s="788">
        <f t="shared" si="25"/>
        <v>100</v>
      </c>
      <c r="Y30" s="788">
        <f t="shared" si="26"/>
        <v>81.41056188537019</v>
      </c>
      <c r="Z30" s="788">
        <f t="shared" si="27"/>
        <v>18.589438114629814</v>
      </c>
      <c r="AA30" s="788">
        <f t="shared" si="28"/>
        <v>100</v>
      </c>
    </row>
    <row r="31" spans="9:27" ht="11.25">
      <c r="I31" s="789"/>
      <c r="J31" s="789"/>
      <c r="K31" s="789"/>
      <c r="L31" s="790"/>
      <c r="M31" s="790"/>
      <c r="N31" s="790"/>
      <c r="V31" s="788">
        <f t="shared" si="23"/>
        <v>74.74814008472754</v>
      </c>
      <c r="W31" s="788">
        <f t="shared" si="24"/>
        <v>25.251859915272455</v>
      </c>
      <c r="X31" s="788">
        <f t="shared" si="25"/>
        <v>100</v>
      </c>
      <c r="Y31" s="788">
        <f t="shared" si="26"/>
        <v>76.62760902554918</v>
      </c>
      <c r="Z31" s="788">
        <f t="shared" si="27"/>
        <v>23.37239097445083</v>
      </c>
      <c r="AA31" s="788">
        <f t="shared" si="28"/>
        <v>100</v>
      </c>
    </row>
    <row r="32" spans="1:27" ht="11.25">
      <c r="A32" s="791"/>
      <c r="B32" s="792"/>
      <c r="L32" s="790"/>
      <c r="M32" s="790"/>
      <c r="N32" s="790"/>
      <c r="V32" s="788">
        <f t="shared" si="23"/>
        <v>74.29157828476517</v>
      </c>
      <c r="W32" s="788">
        <f t="shared" si="24"/>
        <v>25.708421715234834</v>
      </c>
      <c r="X32" s="788">
        <f t="shared" si="25"/>
        <v>100</v>
      </c>
      <c r="Y32" s="788">
        <f t="shared" si="26"/>
        <v>74.29157828476517</v>
      </c>
      <c r="Z32" s="788">
        <f t="shared" si="27"/>
        <v>25.708421715234834</v>
      </c>
      <c r="AA32" s="788">
        <f t="shared" si="28"/>
        <v>100</v>
      </c>
    </row>
    <row r="33" spans="12:27" ht="11.25">
      <c r="L33" s="790"/>
      <c r="M33" s="790"/>
      <c r="N33" s="790"/>
      <c r="V33" s="788">
        <f t="shared" si="23"/>
        <v>75.61640528333015</v>
      </c>
      <c r="W33" s="788">
        <f t="shared" si="24"/>
        <v>24.38359471666985</v>
      </c>
      <c r="X33" s="788">
        <f t="shared" si="25"/>
        <v>100</v>
      </c>
      <c r="Y33" s="788">
        <f t="shared" si="26"/>
        <v>81.41056188537019</v>
      </c>
      <c r="Z33" s="788">
        <f t="shared" si="27"/>
        <v>18.589438114629814</v>
      </c>
      <c r="AA33" s="788">
        <f t="shared" si="28"/>
        <v>100</v>
      </c>
    </row>
    <row r="34" spans="2:8" s="696" customFormat="1" ht="11.25">
      <c r="B34" s="793"/>
      <c r="C34" s="794"/>
      <c r="D34" s="794"/>
      <c r="E34" s="794"/>
      <c r="F34" s="794"/>
      <c r="G34" s="794"/>
      <c r="H34" s="794"/>
    </row>
    <row r="35" spans="1:14" ht="11.25">
      <c r="A35" s="666"/>
      <c r="L35" s="790"/>
      <c r="M35" s="790"/>
      <c r="N35" s="790"/>
    </row>
    <row r="36" spans="12:14" ht="11.25">
      <c r="L36" s="790"/>
      <c r="M36" s="790"/>
      <c r="N36" s="790"/>
    </row>
    <row r="38" ht="11.25">
      <c r="A38" s="667" t="s">
        <v>503</v>
      </c>
    </row>
    <row r="39" ht="11.25">
      <c r="A39" s="667" t="s">
        <v>302</v>
      </c>
    </row>
  </sheetData>
  <mergeCells count="10">
    <mergeCell ref="V3:X3"/>
    <mergeCell ref="Y3:AA3"/>
    <mergeCell ref="V2:X2"/>
    <mergeCell ref="Y2:AA2"/>
    <mergeCell ref="O3:Q3"/>
    <mergeCell ref="R3:T3"/>
    <mergeCell ref="C3:E3"/>
    <mergeCell ref="F3:H3"/>
    <mergeCell ref="I3:K3"/>
    <mergeCell ref="L3:N3"/>
  </mergeCells>
  <printOptions/>
  <pageMargins left="0.41" right="0.32" top="0.64" bottom="0.57" header="0.4921259845" footer="0.4921259845"/>
  <pageSetup horizontalDpi="600" verticalDpi="600" orientation="portrait" paperSize="9" scale="90" r:id="rId1"/>
  <headerFooter alignWithMargins="0">
    <oddHeader>&amp;RPříloha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Foukalova</cp:lastModifiedBy>
  <cp:lastPrinted>2008-02-12T10:44:32Z</cp:lastPrinted>
  <dcterms:created xsi:type="dcterms:W3CDTF">2002-02-05T08:08:05Z</dcterms:created>
  <dcterms:modified xsi:type="dcterms:W3CDTF">2008-02-12T10:47:38Z</dcterms:modified>
  <cp:category/>
  <cp:version/>
  <cp:contentType/>
  <cp:contentStatus/>
</cp:coreProperties>
</file>