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9320" windowHeight="11640" activeTab="0"/>
  </bookViews>
  <sheets>
    <sheet name="titl" sheetId="1" r:id="rId1"/>
    <sheet name="MU v tis" sheetId="2" r:id="rId2"/>
    <sheet name="fak v tis" sheetId="3" r:id="rId3"/>
    <sheet name="ostatni v tis" sheetId="4" r:id="rId4"/>
    <sheet name="LF" sheetId="5" r:id="rId5"/>
    <sheet name="FF" sheetId="6" r:id="rId6"/>
    <sheet name="PrF" sheetId="7" r:id="rId7"/>
    <sheet name="FSS" sheetId="8" r:id="rId8"/>
    <sheet name="PřF" sheetId="9" r:id="rId9"/>
    <sheet name="FI" sheetId="10" r:id="rId10"/>
    <sheet name="PdF" sheetId="11" r:id="rId11"/>
    <sheet name="FSpS" sheetId="12" r:id="rId12"/>
    <sheet name="ESF" sheetId="13" r:id="rId13"/>
    <sheet name="fak" sheetId="14" r:id="rId14"/>
    <sheet name="SKM" sheetId="15" r:id="rId15"/>
    <sheet name="SUKB" sheetId="16" r:id="rId16"/>
    <sheet name="UCT" sheetId="17" r:id="rId17"/>
    <sheet name="SPSSN" sheetId="18" r:id="rId18"/>
    <sheet name="IBA" sheetId="19" r:id="rId19"/>
    <sheet name="ÚVT" sheetId="20" r:id="rId20"/>
    <sheet name="CJV" sheetId="21" r:id="rId21"/>
    <sheet name="CZS" sheetId="22" r:id="rId22"/>
    <sheet name="RMU" sheetId="23" r:id="rId23"/>
    <sheet name="ostatni" sheetId="24" r:id="rId24"/>
    <sheet name="osnova09" sheetId="25" r:id="rId25"/>
    <sheet name="CTT" sheetId="26" r:id="rId26"/>
  </sheets>
  <definedNames>
    <definedName name="_xlnm.Print_Area" localSheetId="21">'CZS'!$A$1:$N$51</definedName>
    <definedName name="_xlnm.Print_Area" localSheetId="12">'ESF'!$A$1:$N$50</definedName>
    <definedName name="_xlnm.Print_Area" localSheetId="13">'fak'!$A$1:$N$51</definedName>
    <definedName name="_xlnm.Print_Area" localSheetId="2">'fak v tis'!$A$1:$W$50</definedName>
    <definedName name="_xlnm.Print_Area" localSheetId="5">'FF'!$A$1:$N$50</definedName>
    <definedName name="_xlnm.Print_Area" localSheetId="9">'FI'!$A$1:$N$50</definedName>
    <definedName name="_xlnm.Print_Area" localSheetId="11">'FSpS'!$A$1:$N$50</definedName>
    <definedName name="_xlnm.Print_Area" localSheetId="7">'FSS'!$A$1:$N$50</definedName>
    <definedName name="_xlnm.Print_Area" localSheetId="4">'LF'!$A$1:$N$52</definedName>
    <definedName name="_xlnm.Print_Area" localSheetId="1">'MU v tis'!$A$1:$P$50</definedName>
    <definedName name="_xlnm.Print_Area" localSheetId="23">'ostatni'!$A$1:$N$52</definedName>
    <definedName name="_xlnm.Print_Area" localSheetId="3">'ostatni v tis'!$A$1:$X$56</definedName>
    <definedName name="_xlnm.Print_Area" localSheetId="10">'PdF'!$A$1:$N$50</definedName>
    <definedName name="_xlnm.Print_Area" localSheetId="6">'PrF'!$A$1:$N$50</definedName>
    <definedName name="_xlnm.Print_Area" localSheetId="8">'PřF'!$A$1:$N$50</definedName>
    <definedName name="_xlnm.Print_Area" localSheetId="22">'RMU'!$A$1:$N$50</definedName>
    <definedName name="_xlnm.Print_Area" localSheetId="17">'SPSSN'!$A$1:$N$52</definedName>
    <definedName name="_xlnm.Print_Area" localSheetId="19">'ÚVT'!$A$1:$N$51</definedName>
  </definedNames>
  <calcPr fullCalcOnLoad="1"/>
</workbook>
</file>

<file path=xl/comments21.xml><?xml version="1.0" encoding="utf-8"?>
<comments xmlns="http://schemas.openxmlformats.org/spreadsheetml/2006/main">
  <authors>
    <author>Sulcova</author>
  </authors>
  <commentList>
    <comment ref="H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navýšení mezd s ohledem na navýšení počtu zaměstnanců (schválení nové koncepce CJV)</t>
        </r>
      </text>
    </comment>
    <comment ref="H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příspěvek na stravné zaměstnanců CJV</t>
        </r>
      </text>
    </comment>
    <comment ref="N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<sst xmlns="http://schemas.openxmlformats.org/spreadsheetml/2006/main" count="1800" uniqueCount="172">
  <si>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</si>
  <si>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</si>
  <si>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</si>
  <si>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</si>
  <si>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</si>
  <si>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</si>
  <si>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</si>
  <si>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</si>
  <si>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</si>
  <si>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</si>
  <si>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</si>
  <si>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</si>
  <si>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</si>
  <si>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</si>
  <si>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</si>
  <si>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</si>
  <si>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</si>
  <si>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</si>
  <si>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</si>
  <si>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</si>
  <si>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</si>
  <si>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</si>
  <si>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</si>
  <si>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</si>
  <si>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</si>
  <si>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</si>
  <si>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</si>
  <si>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</si>
  <si>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</si>
  <si>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</si>
  <si>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</si>
  <si>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</si>
  <si>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</si>
  <si>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</si>
  <si>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</si>
  <si>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</si>
  <si>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</si>
  <si>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</si>
  <si>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</si>
  <si>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</si>
  <si>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</si>
  <si>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</si>
  <si>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</si>
  <si>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212*</t>
  </si>
  <si>
    <t>Projekty VaV ze SR a od úz.celků</t>
  </si>
  <si>
    <t>Projekty VaV z dotací ze zahr.</t>
  </si>
  <si>
    <t>261*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</si>
  <si>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</si>
  <si>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</si>
  <si>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</si>
  <si>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</si>
  <si>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</si>
  <si>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</si>
  <si>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</si>
  <si>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</si>
  <si>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</si>
  <si>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</si>
  <si>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 xml:space="preserve">VaV - dotace na specif. výzkum </t>
  </si>
  <si>
    <t>211*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</si>
  <si>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</si>
  <si>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</si>
  <si>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</si>
  <si>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</si>
  <si>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</si>
  <si>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4*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</si>
  <si>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</si>
  <si>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</si>
  <si>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</si>
  <si>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</si>
  <si>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</si>
  <si>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</si>
  <si>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</si>
  <si>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</si>
  <si>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</si>
  <si>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</si>
  <si>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</si>
  <si>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r>
      <t>111*,12*,117*,152*,153*,157*,159*,167*,169*,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,211*,257*,259*,267*,269*,4*</t>
    </r>
  </si>
  <si>
    <r>
      <t>213*,214*,</t>
    </r>
    <r>
      <rPr>
        <sz val="8"/>
        <rFont val="Arial CE"/>
        <family val="2"/>
      </rPr>
      <t>22*</t>
    </r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</si>
  <si>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</si>
  <si>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</si>
  <si>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</si>
  <si>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</si>
  <si>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</si>
  <si>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</si>
  <si>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</si>
  <si>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</si>
  <si>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</si>
  <si>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</si>
  <si>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</si>
  <si>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</si>
  <si>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</si>
  <si>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</si>
  <si>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</si>
  <si>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</si>
  <si>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</si>
  <si>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</si>
  <si>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98 - RMU</t>
  </si>
  <si>
    <t>x</t>
  </si>
  <si>
    <t>Plán výměny NEI příspěvku za příspěvek na kapitálové výdaje je uveden v nákladech na ř.13 a činí částku:</t>
  </si>
  <si>
    <t>zak 1002</t>
  </si>
  <si>
    <t>součet</t>
  </si>
  <si>
    <t>zak 1921</t>
  </si>
  <si>
    <t>součet SUKB</t>
  </si>
  <si>
    <t>(+)</t>
  </si>
  <si>
    <t>(-)</t>
  </si>
  <si>
    <t>LF</t>
  </si>
  <si>
    <t>PřF</t>
  </si>
  <si>
    <t>3a</t>
  </si>
  <si>
    <t>3b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</si>
  <si>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</si>
  <si>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</si>
  <si>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</si>
  <si>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</si>
  <si>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</si>
  <si>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</si>
  <si>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</si>
  <si>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</si>
  <si>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</si>
  <si>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</si>
  <si>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</si>
  <si>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</si>
  <si>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</si>
  <si>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</si>
  <si>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</si>
  <si>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</si>
  <si>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</si>
  <si>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</si>
  <si>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</si>
  <si>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</si>
  <si>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</si>
  <si>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sumář režijních součástí MU - plán</t>
  </si>
  <si>
    <t>sumář fakult - plán</t>
  </si>
  <si>
    <t>Masarykova univerzita</t>
  </si>
  <si>
    <t>Žerotínovo nám. 9, 601 77  Brno</t>
  </si>
  <si>
    <t>Rozpočet 2008</t>
  </si>
  <si>
    <t>3c</t>
  </si>
  <si>
    <t>3d</t>
  </si>
  <si>
    <t>3e</t>
  </si>
  <si>
    <t>sl.1+2</t>
  </si>
  <si>
    <t>ze sl.1</t>
  </si>
  <si>
    <t>87 - CTT</t>
  </si>
  <si>
    <t>CTT</t>
  </si>
  <si>
    <t>Rozpočet MU 2009 - část neinvestiční</t>
  </si>
  <si>
    <t>Odbor financování</t>
  </si>
  <si>
    <r>
      <t xml:space="preserve">Rozpočet 2009 </t>
    </r>
    <r>
      <rPr>
        <b/>
        <sz val="10"/>
        <rFont val="Arial CE"/>
        <family val="0"/>
      </rPr>
      <t>- v tis. Kč</t>
    </r>
  </si>
  <si>
    <r>
      <t>Rozpočet 2009</t>
    </r>
    <r>
      <rPr>
        <sz val="10"/>
        <rFont val="Arial CE"/>
        <family val="0"/>
      </rPr>
      <t xml:space="preserve"> - v tis. Kč</t>
    </r>
  </si>
  <si>
    <t>Rozpočet 2009</t>
  </si>
  <si>
    <t>Fsoc</t>
  </si>
  <si>
    <r>
      <t>Rozpočet 2009</t>
    </r>
    <r>
      <rPr>
        <b/>
        <sz val="12"/>
        <color indexed="10"/>
        <rFont val="Arial CE"/>
        <family val="0"/>
      </rPr>
      <t xml:space="preserve"> (v Kč ???)</t>
    </r>
  </si>
  <si>
    <t xml:space="preserve">Hosp.středisko: </t>
  </si>
  <si>
    <t>FSoc</t>
  </si>
  <si>
    <t>zak 1001,1777</t>
  </si>
  <si>
    <t>zak 50*</t>
  </si>
  <si>
    <t>zak 7101</t>
  </si>
  <si>
    <t>zak. 2001</t>
  </si>
  <si>
    <t>sl.3 až 7</t>
  </si>
  <si>
    <t>plán 2009  vč.přeúčtování na jiná HS v tis. Kč</t>
  </si>
  <si>
    <t>Skutečnost 2008</t>
  </si>
  <si>
    <t>Přeúčtování na jiná HS</t>
  </si>
  <si>
    <t>zak 1666</t>
  </si>
  <si>
    <t>sl.3 až 8</t>
  </si>
  <si>
    <t>k.s.</t>
  </si>
  <si>
    <t>2a</t>
  </si>
  <si>
    <t>2b</t>
  </si>
  <si>
    <t>2c</t>
  </si>
  <si>
    <t>2d</t>
  </si>
  <si>
    <t>2e</t>
  </si>
  <si>
    <t>2f</t>
  </si>
  <si>
    <t>V Brně dne 14.3.2009</t>
  </si>
  <si>
    <t>Hašková</t>
  </si>
  <si>
    <t>Předkládá: Ladislav Janíček, kvestor</t>
  </si>
  <si>
    <t>Zpracovala:Jana Foukalová, hlavní ekonom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</si>
</sst>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_-* #,##0\ _K_č_-;\-* #,##0\ _K_č_-;_-* &quot;-&quot;??\ _K_č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b/>
      <sz val="8"/>
      <color indexed="10"/>
      <name val="Arial CE"/>
      <family val="0"/>
    </font>
    <font>
      <i/>
      <sz val="8"/>
      <color indexed="10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0"/>
    </font>
    <font>
      <sz val="8"/>
      <color indexed="9"/>
      <name val="Arial CE"/>
      <family val="0"/>
    </font>
    <font>
      <i/>
      <sz val="8"/>
      <color indexed="8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9"/>
      <name val="Arial CE"/>
      <family val="2"/>
    </font>
    <font>
      <sz val="10"/>
      <color indexed="9"/>
      <name val="Arial CE"/>
      <family val="0"/>
    </font>
    <font>
      <i/>
      <sz val="8"/>
      <color indexed="9"/>
      <name val="Arial CE"/>
      <family val="0"/>
    </font>
    <font>
      <i/>
      <sz val="9"/>
      <color indexed="9"/>
      <name val="Arial CE"/>
      <family val="0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9" fillId="2" borderId="24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29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2" fillId="0" borderId="0" xfId="0" applyFont="1" applyAlignment="1">
      <alignment/>
    </xf>
    <xf numFmtId="3" fontId="4" fillId="0" borderId="33" xfId="20" applyNumberFormat="1" applyFont="1" applyBorder="1">
      <alignment/>
      <protection/>
    </xf>
    <xf numFmtId="3" fontId="17" fillId="0" borderId="34" xfId="20" applyNumberFormat="1" applyFont="1" applyBorder="1">
      <alignment/>
      <protection/>
    </xf>
    <xf numFmtId="3" fontId="17" fillId="0" borderId="33" xfId="20" applyNumberFormat="1" applyFont="1" applyBorder="1">
      <alignment/>
      <protection/>
    </xf>
    <xf numFmtId="3" fontId="4" fillId="0" borderId="18" xfId="20" applyNumberFormat="1" applyFont="1" applyBorder="1">
      <alignment/>
      <protection/>
    </xf>
    <xf numFmtId="3" fontId="5" fillId="2" borderId="35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7" xfId="20" applyNumberFormat="1" applyFont="1" applyBorder="1">
      <alignment/>
      <protection/>
    </xf>
    <xf numFmtId="3" fontId="4" fillId="0" borderId="15" xfId="20" applyNumberFormat="1" applyFont="1" applyBorder="1">
      <alignment/>
      <protection/>
    </xf>
    <xf numFmtId="3" fontId="4" fillId="0" borderId="14" xfId="20" applyNumberFormat="1" applyFont="1" applyBorder="1">
      <alignment/>
      <protection/>
    </xf>
    <xf numFmtId="3" fontId="4" fillId="0" borderId="36" xfId="20" applyNumberFormat="1" applyFont="1" applyBorder="1">
      <alignment/>
      <protection/>
    </xf>
    <xf numFmtId="3" fontId="4" fillId="0" borderId="32" xfId="20" applyNumberFormat="1" applyFont="1" applyBorder="1">
      <alignment/>
      <protection/>
    </xf>
    <xf numFmtId="3" fontId="4" fillId="0" borderId="38" xfId="20" applyNumberFormat="1" applyFont="1" applyBorder="1">
      <alignment/>
      <protection/>
    </xf>
    <xf numFmtId="3" fontId="4" fillId="0" borderId="20" xfId="20" applyNumberFormat="1" applyFont="1" applyBorder="1">
      <alignment/>
      <protection/>
    </xf>
    <xf numFmtId="0" fontId="4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2" borderId="35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3" fontId="16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3" fontId="6" fillId="0" borderId="37" xfId="0" applyNumberFormat="1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7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3" fontId="9" fillId="2" borderId="23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2" borderId="45" xfId="0" applyNumberFormat="1" applyFont="1" applyFill="1" applyBorder="1" applyAlignment="1">
      <alignment/>
    </xf>
    <xf numFmtId="3" fontId="4" fillId="0" borderId="46" xfId="0" applyNumberFormat="1" applyFont="1" applyBorder="1" applyAlignment="1">
      <alignment/>
    </xf>
    <xf numFmtId="3" fontId="9" fillId="2" borderId="45" xfId="0" applyNumberFormat="1" applyFont="1" applyFill="1" applyBorder="1" applyAlignment="1">
      <alignment/>
    </xf>
    <xf numFmtId="3" fontId="16" fillId="0" borderId="37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37" xfId="15" applyNumberFormat="1" applyFont="1" applyBorder="1" applyAlignment="1">
      <alignment/>
    </xf>
    <xf numFmtId="3" fontId="4" fillId="0" borderId="47" xfId="20" applyNumberFormat="1" applyFont="1" applyBorder="1">
      <alignment/>
      <protection/>
    </xf>
    <xf numFmtId="3" fontId="4" fillId="0" borderId="17" xfId="20" applyNumberFormat="1" applyFont="1" applyBorder="1">
      <alignment/>
      <protection/>
    </xf>
    <xf numFmtId="3" fontId="4" fillId="0" borderId="19" xfId="20" applyNumberFormat="1" applyFont="1" applyBorder="1">
      <alignment/>
      <protection/>
    </xf>
    <xf numFmtId="3" fontId="4" fillId="0" borderId="48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49" xfId="20" applyNumberFormat="1" applyFont="1" applyBorder="1">
      <alignment/>
      <protection/>
    </xf>
    <xf numFmtId="3" fontId="4" fillId="0" borderId="50" xfId="20" applyNumberFormat="1" applyFont="1" applyBorder="1">
      <alignment/>
      <protection/>
    </xf>
    <xf numFmtId="3" fontId="4" fillId="0" borderId="51" xfId="20" applyNumberFormat="1" applyFont="1" applyBorder="1">
      <alignment/>
      <protection/>
    </xf>
    <xf numFmtId="3" fontId="4" fillId="0" borderId="52" xfId="20" applyNumberFormat="1" applyFont="1" applyBorder="1">
      <alignment/>
      <protection/>
    </xf>
    <xf numFmtId="3" fontId="4" fillId="0" borderId="26" xfId="20" applyNumberFormat="1" applyFont="1" applyBorder="1">
      <alignment/>
      <protection/>
    </xf>
    <xf numFmtId="3" fontId="4" fillId="0" borderId="27" xfId="20" applyNumberFormat="1" applyFont="1" applyBorder="1">
      <alignment/>
      <protection/>
    </xf>
    <xf numFmtId="3" fontId="4" fillId="0" borderId="42" xfId="15" applyNumberFormat="1" applyFont="1" applyBorder="1" applyAlignment="1">
      <alignment/>
    </xf>
    <xf numFmtId="3" fontId="4" fillId="0" borderId="34" xfId="15" applyNumberFormat="1" applyFont="1" applyBorder="1" applyAlignment="1">
      <alignment/>
    </xf>
    <xf numFmtId="3" fontId="4" fillId="0" borderId="53" xfId="15" applyNumberFormat="1" applyFont="1" applyBorder="1" applyAlignment="1">
      <alignment/>
    </xf>
    <xf numFmtId="3" fontId="4" fillId="0" borderId="36" xfId="15" applyNumberFormat="1" applyFont="1" applyBorder="1" applyAlignment="1">
      <alignment/>
    </xf>
    <xf numFmtId="3" fontId="4" fillId="0" borderId="32" xfId="15" applyNumberFormat="1" applyFont="1" applyBorder="1" applyAlignment="1">
      <alignment/>
    </xf>
    <xf numFmtId="3" fontId="4" fillId="0" borderId="39" xfId="15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3" fontId="4" fillId="2" borderId="29" xfId="0" applyNumberFormat="1" applyFont="1" applyFill="1" applyBorder="1" applyAlignment="1">
      <alignment/>
    </xf>
    <xf numFmtId="3" fontId="4" fillId="0" borderId="57" xfId="0" applyNumberFormat="1" applyFont="1" applyBorder="1" applyAlignment="1">
      <alignment/>
    </xf>
    <xf numFmtId="3" fontId="17" fillId="0" borderId="56" xfId="0" applyNumberFormat="1" applyFont="1" applyBorder="1" applyAlignment="1">
      <alignment/>
    </xf>
    <xf numFmtId="3" fontId="17" fillId="4" borderId="57" xfId="0" applyNumberFormat="1" applyFont="1" applyFill="1" applyBorder="1" applyAlignment="1">
      <alignment/>
    </xf>
    <xf numFmtId="3" fontId="17" fillId="0" borderId="57" xfId="0" applyNumberFormat="1" applyFont="1" applyBorder="1" applyAlignment="1">
      <alignment/>
    </xf>
    <xf numFmtId="3" fontId="17" fillId="3" borderId="57" xfId="0" applyNumberFormat="1" applyFont="1" applyFill="1" applyBorder="1" applyAlignment="1">
      <alignment/>
    </xf>
    <xf numFmtId="3" fontId="17" fillId="5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8" xfId="0" applyNumberFormat="1" applyFont="1" applyFill="1" applyBorder="1" applyAlignment="1">
      <alignment/>
    </xf>
    <xf numFmtId="0" fontId="4" fillId="0" borderId="54" xfId="0" applyFont="1" applyBorder="1" applyAlignment="1">
      <alignment horizontal="center" wrapText="1"/>
    </xf>
    <xf numFmtId="0" fontId="17" fillId="0" borderId="0" xfId="0" applyFont="1" applyAlignment="1">
      <alignment/>
    </xf>
    <xf numFmtId="3" fontId="4" fillId="3" borderId="29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17" fillId="0" borderId="59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3" fontId="10" fillId="2" borderId="35" xfId="0" applyNumberFormat="1" applyFont="1" applyFill="1" applyBorder="1" applyAlignment="1">
      <alignment/>
    </xf>
    <xf numFmtId="3" fontId="17" fillId="0" borderId="60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0" fillId="2" borderId="22" xfId="0" applyNumberFormat="1" applyFont="1" applyFill="1" applyBorder="1" applyAlignment="1">
      <alignment/>
    </xf>
    <xf numFmtId="3" fontId="6" fillId="0" borderId="66" xfId="0" applyNumberFormat="1" applyFont="1" applyBorder="1" applyAlignment="1">
      <alignment/>
    </xf>
    <xf numFmtId="3" fontId="10" fillId="2" borderId="22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10" fillId="2" borderId="2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10" fillId="2" borderId="2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3" fontId="10" fillId="2" borderId="69" xfId="0" applyNumberFormat="1" applyFont="1" applyFill="1" applyBorder="1" applyAlignment="1">
      <alignment/>
    </xf>
    <xf numFmtId="3" fontId="6" fillId="0" borderId="70" xfId="0" applyNumberFormat="1" applyFont="1" applyBorder="1" applyAlignment="1">
      <alignment/>
    </xf>
    <xf numFmtId="3" fontId="17" fillId="0" borderId="58" xfId="0" applyNumberFormat="1" applyFont="1" applyBorder="1" applyAlignment="1">
      <alignment/>
    </xf>
    <xf numFmtId="3" fontId="10" fillId="2" borderId="69" xfId="0" applyNumberFormat="1" applyFont="1" applyFill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3" fontId="9" fillId="2" borderId="35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2" borderId="23" xfId="0" applyNumberFormat="1" applyFont="1" applyFill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75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3" fontId="10" fillId="2" borderId="76" xfId="0" applyNumberFormat="1" applyFont="1" applyFill="1" applyBorder="1" applyAlignment="1">
      <alignment/>
    </xf>
    <xf numFmtId="3" fontId="6" fillId="0" borderId="77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6" fillId="0" borderId="47" xfId="0" applyNumberFormat="1" applyFont="1" applyBorder="1" applyAlignment="1">
      <alignment/>
    </xf>
    <xf numFmtId="3" fontId="16" fillId="0" borderId="7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79" xfId="0" applyNumberFormat="1" applyFont="1" applyBorder="1" applyAlignment="1">
      <alignment/>
    </xf>
    <xf numFmtId="3" fontId="17" fillId="0" borderId="80" xfId="0" applyNumberFormat="1" applyFont="1" applyBorder="1" applyAlignment="1">
      <alignment/>
    </xf>
    <xf numFmtId="3" fontId="17" fillId="0" borderId="75" xfId="0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6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81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4" fontId="4" fillId="0" borderId="0" xfId="0" applyNumberFormat="1" applyFont="1" applyFill="1" applyAlignment="1">
      <alignment horizontal="left"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3" fontId="9" fillId="2" borderId="84" xfId="0" applyNumberFormat="1" applyFont="1" applyFill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17" fillId="0" borderId="33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3" fontId="9" fillId="2" borderId="24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17" fillId="0" borderId="87" xfId="0" applyNumberFormat="1" applyFont="1" applyBorder="1" applyAlignment="1">
      <alignment/>
    </xf>
    <xf numFmtId="3" fontId="9" fillId="2" borderId="88" xfId="0" applyNumberFormat="1" applyFont="1" applyFill="1" applyBorder="1" applyAlignment="1">
      <alignment/>
    </xf>
    <xf numFmtId="3" fontId="4" fillId="0" borderId="89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3" fontId="9" fillId="2" borderId="22" xfId="0" applyNumberFormat="1" applyFont="1" applyFill="1" applyBorder="1" applyAlignment="1">
      <alignment/>
    </xf>
    <xf numFmtId="3" fontId="9" fillId="2" borderId="88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" fillId="0" borderId="90" xfId="0" applyNumberFormat="1" applyFont="1" applyBorder="1" applyAlignment="1">
      <alignment horizontal="center"/>
    </xf>
    <xf numFmtId="3" fontId="4" fillId="0" borderId="91" xfId="20" applyNumberFormat="1" applyFont="1" applyBorder="1">
      <alignment/>
      <protection/>
    </xf>
    <xf numFmtId="3" fontId="4" fillId="0" borderId="39" xfId="20" applyNumberFormat="1" applyFont="1" applyBorder="1">
      <alignment/>
      <protection/>
    </xf>
    <xf numFmtId="3" fontId="4" fillId="0" borderId="14" xfId="0" applyNumberFormat="1" applyFont="1" applyFill="1" applyBorder="1" applyAlignment="1">
      <alignment/>
    </xf>
    <xf numFmtId="3" fontId="4" fillId="0" borderId="92" xfId="15" applyNumberFormat="1" applyFont="1" applyBorder="1" applyAlignment="1">
      <alignment/>
    </xf>
    <xf numFmtId="3" fontId="4" fillId="0" borderId="46" xfId="0" applyNumberFormat="1" applyFont="1" applyBorder="1" applyAlignment="1">
      <alignment horizontal="center"/>
    </xf>
    <xf numFmtId="3" fontId="4" fillId="0" borderId="93" xfId="15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3" fontId="17" fillId="0" borderId="17" xfId="0" applyNumberFormat="1" applyFont="1" applyFill="1" applyBorder="1" applyAlignment="1">
      <alignment/>
    </xf>
    <xf numFmtId="3" fontId="4" fillId="0" borderId="42" xfId="15" applyNumberFormat="1" applyFont="1" applyFill="1" applyBorder="1" applyAlignment="1">
      <alignment/>
    </xf>
    <xf numFmtId="3" fontId="4" fillId="0" borderId="34" xfId="15" applyNumberFormat="1" applyFont="1" applyFill="1" applyBorder="1" applyAlignment="1">
      <alignment/>
    </xf>
    <xf numFmtId="3" fontId="17" fillId="0" borderId="38" xfId="0" applyNumberFormat="1" applyFont="1" applyFill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2" borderId="22" xfId="0" applyNumberFormat="1" applyFont="1" applyFill="1" applyBorder="1" applyAlignment="1">
      <alignment/>
    </xf>
    <xf numFmtId="3" fontId="16" fillId="0" borderId="94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10" fillId="2" borderId="84" xfId="0" applyNumberFormat="1" applyFont="1" applyFill="1" applyBorder="1" applyAlignment="1">
      <alignment/>
    </xf>
    <xf numFmtId="3" fontId="4" fillId="0" borderId="95" xfId="0" applyNumberFormat="1" applyFont="1" applyBorder="1" applyAlignment="1">
      <alignment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6" fillId="2" borderId="98" xfId="0" applyFont="1" applyFill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16" fillId="0" borderId="100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01" xfId="0" applyFont="1" applyBorder="1" applyAlignment="1">
      <alignment horizontal="center"/>
    </xf>
    <xf numFmtId="3" fontId="5" fillId="2" borderId="76" xfId="0" applyNumberFormat="1" applyFont="1" applyFill="1" applyBorder="1" applyAlignment="1">
      <alignment/>
    </xf>
    <xf numFmtId="3" fontId="10" fillId="2" borderId="23" xfId="0" applyNumberFormat="1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3" fontId="0" fillId="0" borderId="77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7" fillId="0" borderId="19" xfId="0" applyFont="1" applyBorder="1" applyAlignment="1">
      <alignment horizontal="left"/>
    </xf>
    <xf numFmtId="3" fontId="18" fillId="0" borderId="47" xfId="0" applyNumberFormat="1" applyFont="1" applyBorder="1" applyAlignment="1">
      <alignment/>
    </xf>
    <xf numFmtId="3" fontId="16" fillId="0" borderId="33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3" fontId="17" fillId="0" borderId="91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0" fontId="4" fillId="0" borderId="73" xfId="0" applyFont="1" applyBorder="1" applyAlignment="1">
      <alignment horizontal="center"/>
    </xf>
    <xf numFmtId="3" fontId="9" fillId="2" borderId="63" xfId="0" applyNumberFormat="1" applyFont="1" applyFill="1" applyBorder="1" applyAlignment="1">
      <alignment/>
    </xf>
    <xf numFmtId="3" fontId="4" fillId="0" borderId="74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17" fillId="0" borderId="62" xfId="0" applyNumberFormat="1" applyFont="1" applyBorder="1" applyAlignment="1">
      <alignment/>
    </xf>
    <xf numFmtId="0" fontId="17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103" xfId="0" applyNumberFormat="1" applyFont="1" applyFill="1" applyBorder="1" applyAlignment="1">
      <alignment/>
    </xf>
    <xf numFmtId="3" fontId="4" fillId="0" borderId="61" xfId="20" applyNumberFormat="1" applyFont="1" applyBorder="1">
      <alignment/>
      <protection/>
    </xf>
    <xf numFmtId="3" fontId="4" fillId="0" borderId="103" xfId="20" applyNumberFormat="1" applyFont="1" applyBorder="1">
      <alignment/>
      <protection/>
    </xf>
    <xf numFmtId="3" fontId="4" fillId="0" borderId="62" xfId="20" applyNumberFormat="1" applyFont="1" applyBorder="1">
      <alignment/>
      <protection/>
    </xf>
    <xf numFmtId="3" fontId="4" fillId="0" borderId="21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4" fillId="0" borderId="74" xfId="20" applyNumberFormat="1" applyFont="1" applyBorder="1">
      <alignment/>
      <protection/>
    </xf>
    <xf numFmtId="3" fontId="17" fillId="0" borderId="37" xfId="0" applyNumberFormat="1" applyFont="1" applyFill="1" applyBorder="1" applyAlignment="1">
      <alignment/>
    </xf>
    <xf numFmtId="3" fontId="4" fillId="5" borderId="36" xfId="0" applyNumberFormat="1" applyFont="1" applyFill="1" applyBorder="1" applyAlignment="1">
      <alignment/>
    </xf>
    <xf numFmtId="3" fontId="4" fillId="5" borderId="32" xfId="0" applyNumberFormat="1" applyFont="1" applyFill="1" applyBorder="1" applyAlignment="1">
      <alignment/>
    </xf>
    <xf numFmtId="3" fontId="4" fillId="5" borderId="39" xfId="0" applyNumberFormat="1" applyFont="1" applyFill="1" applyBorder="1" applyAlignment="1">
      <alignment/>
    </xf>
    <xf numFmtId="3" fontId="4" fillId="5" borderId="31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17" fillId="2" borderId="18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4" fillId="0" borderId="94" xfId="0" applyNumberFormat="1" applyFont="1" applyBorder="1" applyAlignment="1">
      <alignment/>
    </xf>
    <xf numFmtId="3" fontId="4" fillId="0" borderId="105" xfId="0" applyNumberFormat="1" applyFont="1" applyBorder="1" applyAlignment="1">
      <alignment/>
    </xf>
    <xf numFmtId="3" fontId="4" fillId="0" borderId="106" xfId="0" applyNumberFormat="1" applyFont="1" applyBorder="1" applyAlignment="1">
      <alignment/>
    </xf>
    <xf numFmtId="3" fontId="4" fillId="0" borderId="101" xfId="0" applyNumberFormat="1" applyFont="1" applyBorder="1" applyAlignment="1">
      <alignment/>
    </xf>
    <xf numFmtId="0" fontId="4" fillId="0" borderId="44" xfId="0" applyFont="1" applyFill="1" applyBorder="1" applyAlignment="1">
      <alignment horizontal="center"/>
    </xf>
    <xf numFmtId="3" fontId="17" fillId="0" borderId="42" xfId="0" applyNumberFormat="1" applyFont="1" applyBorder="1" applyAlignment="1" applyProtection="1">
      <alignment/>
      <protection locked="0"/>
    </xf>
    <xf numFmtId="3" fontId="17" fillId="0" borderId="91" xfId="0" applyNumberFormat="1" applyFont="1" applyBorder="1" applyAlignment="1" applyProtection="1">
      <alignment/>
      <protection locked="0"/>
    </xf>
    <xf numFmtId="3" fontId="4" fillId="0" borderId="18" xfId="20" applyNumberFormat="1" applyFont="1" applyFill="1" applyBorder="1">
      <alignment/>
      <protection/>
    </xf>
    <xf numFmtId="3" fontId="4" fillId="0" borderId="19" xfId="20" applyNumberFormat="1" applyFont="1" applyFill="1" applyBorder="1">
      <alignment/>
      <protection/>
    </xf>
    <xf numFmtId="3" fontId="4" fillId="0" borderId="107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4" fillId="2" borderId="38" xfId="0" applyNumberFormat="1" applyFont="1" applyFill="1" applyBorder="1" applyAlignment="1">
      <alignment/>
    </xf>
    <xf numFmtId="3" fontId="17" fillId="2" borderId="38" xfId="0" applyNumberFormat="1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3" fontId="31" fillId="0" borderId="33" xfId="20" applyNumberFormat="1" applyFont="1" applyBorder="1">
      <alignment/>
      <protection/>
    </xf>
    <xf numFmtId="3" fontId="11" fillId="0" borderId="47" xfId="20" applyNumberFormat="1" applyFont="1" applyBorder="1">
      <alignment/>
      <protection/>
    </xf>
    <xf numFmtId="0" fontId="32" fillId="2" borderId="6" xfId="0" applyFont="1" applyFill="1" applyBorder="1" applyAlignment="1">
      <alignment/>
    </xf>
    <xf numFmtId="0" fontId="32" fillId="2" borderId="7" xfId="0" applyFont="1" applyFill="1" applyBorder="1" applyAlignment="1">
      <alignment/>
    </xf>
    <xf numFmtId="0" fontId="33" fillId="2" borderId="12" xfId="0" applyFont="1" applyFill="1" applyBorder="1" applyAlignment="1">
      <alignment horizontal="center"/>
    </xf>
    <xf numFmtId="3" fontId="34" fillId="2" borderId="35" xfId="0" applyNumberFormat="1" applyFont="1" applyFill="1" applyBorder="1" applyAlignment="1">
      <alignment/>
    </xf>
    <xf numFmtId="3" fontId="32" fillId="2" borderId="23" xfId="0" applyNumberFormat="1" applyFont="1" applyFill="1" applyBorder="1" applyAlignment="1">
      <alignment/>
    </xf>
    <xf numFmtId="3" fontId="35" fillId="2" borderId="23" xfId="0" applyNumberFormat="1" applyFont="1" applyFill="1" applyBorder="1" applyAlignment="1">
      <alignment/>
    </xf>
    <xf numFmtId="3" fontId="35" fillId="2" borderId="12" xfId="0" applyNumberFormat="1" applyFont="1" applyFill="1" applyBorder="1" applyAlignment="1">
      <alignment/>
    </xf>
    <xf numFmtId="3" fontId="35" fillId="2" borderId="63" xfId="0" applyNumberFormat="1" applyFont="1" applyFill="1" applyBorder="1" applyAlignment="1">
      <alignment/>
    </xf>
    <xf numFmtId="3" fontId="36" fillId="2" borderId="35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 horizontal="center"/>
    </xf>
    <xf numFmtId="3" fontId="33" fillId="0" borderId="36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74" xfId="0" applyNumberFormat="1" applyFont="1" applyBorder="1" applyAlignment="1">
      <alignment/>
    </xf>
    <xf numFmtId="3" fontId="36" fillId="0" borderId="36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 horizontal="center"/>
    </xf>
    <xf numFmtId="3" fontId="37" fillId="0" borderId="37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3" fontId="36" fillId="0" borderId="61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 horizontal="center"/>
    </xf>
    <xf numFmtId="3" fontId="33" fillId="0" borderId="37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3" fontId="36" fillId="0" borderId="33" xfId="0" applyNumberFormat="1" applyFont="1" applyFill="1" applyBorder="1" applyAlignment="1">
      <alignment/>
    </xf>
    <xf numFmtId="3" fontId="36" fillId="0" borderId="108" xfId="0" applyNumberFormat="1" applyFont="1" applyBorder="1" applyAlignment="1">
      <alignment/>
    </xf>
    <xf numFmtId="0" fontId="32" fillId="2" borderId="22" xfId="0" applyFont="1" applyFill="1" applyBorder="1" applyAlignment="1">
      <alignment/>
    </xf>
    <xf numFmtId="0" fontId="32" fillId="2" borderId="23" xfId="0" applyFont="1" applyFill="1" applyBorder="1" applyAlignment="1">
      <alignment/>
    </xf>
    <xf numFmtId="3" fontId="36" fillId="0" borderId="14" xfId="0" applyNumberFormat="1" applyFont="1" applyFill="1" applyBorder="1" applyAlignment="1">
      <alignment/>
    </xf>
    <xf numFmtId="3" fontId="33" fillId="0" borderId="20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3" fontId="36" fillId="0" borderId="38" xfId="0" applyNumberFormat="1" applyFont="1" applyBorder="1" applyAlignment="1">
      <alignment/>
    </xf>
    <xf numFmtId="3" fontId="36" fillId="0" borderId="91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20" xfId="0" applyNumberFormat="1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27" xfId="0" applyFont="1" applyBorder="1" applyAlignment="1">
      <alignment horizontal="center"/>
    </xf>
    <xf numFmtId="3" fontId="33" fillId="0" borderId="39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7" xfId="0" applyNumberFormat="1" applyFont="1" applyBorder="1" applyAlignment="1">
      <alignment/>
    </xf>
    <xf numFmtId="3" fontId="36" fillId="0" borderId="62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0" fontId="33" fillId="0" borderId="6" xfId="0" applyFont="1" applyBorder="1" applyAlignment="1">
      <alignment/>
    </xf>
    <xf numFmtId="0" fontId="33" fillId="0" borderId="7" xfId="0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3" fontId="36" fillId="0" borderId="8" xfId="0" applyNumberFormat="1" applyFont="1" applyBorder="1" applyAlignment="1">
      <alignment/>
    </xf>
    <xf numFmtId="0" fontId="39" fillId="0" borderId="1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6" xfId="0" applyFont="1" applyBorder="1" applyAlignment="1">
      <alignment/>
    </xf>
    <xf numFmtId="0" fontId="32" fillId="0" borderId="7" xfId="0" applyFont="1" applyBorder="1" applyAlignment="1">
      <alignment/>
    </xf>
    <xf numFmtId="0" fontId="39" fillId="0" borderId="8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42" fillId="0" borderId="0" xfId="0" applyFont="1" applyAlignment="1">
      <alignment/>
    </xf>
    <xf numFmtId="0" fontId="33" fillId="0" borderId="0" xfId="0" applyFont="1" applyFill="1" applyBorder="1" applyAlignment="1">
      <alignment/>
    </xf>
    <xf numFmtId="3" fontId="36" fillId="3" borderId="29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30" fillId="0" borderId="0" xfId="0" applyFont="1" applyAlignment="1">
      <alignment/>
    </xf>
    <xf numFmtId="0" fontId="45" fillId="0" borderId="0" xfId="0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30" fillId="0" borderId="0" xfId="0" applyNumberFormat="1" applyFont="1" applyAlignment="1">
      <alignment horizontal="center"/>
    </xf>
    <xf numFmtId="3" fontId="30" fillId="0" borderId="109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3" fontId="49" fillId="0" borderId="0" xfId="0" applyNumberFormat="1" applyFont="1" applyAlignment="1">
      <alignment/>
    </xf>
    <xf numFmtId="3" fontId="3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65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6">
      <selection activeCell="E26" sqref="E26"/>
    </sheetView>
  </sheetViews>
  <sheetFormatPr defaultColWidth="9.00390625" defaultRowHeight="12.75"/>
  <sheetData>
    <row r="1" ht="15">
      <c r="A1" s="286" t="s">
        <v>132</v>
      </c>
    </row>
    <row r="2" ht="15">
      <c r="A2" s="286" t="s">
        <v>143</v>
      </c>
    </row>
    <row r="3" ht="15">
      <c r="A3" s="286" t="s">
        <v>133</v>
      </c>
    </row>
    <row r="13" spans="2:13" ht="30">
      <c r="B13" s="541" t="s">
        <v>142</v>
      </c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</row>
    <row r="14" spans="2:13" ht="20.25">
      <c r="B14" s="290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</row>
    <row r="15" spans="2:13" ht="26.25">
      <c r="B15" s="543" t="s">
        <v>7</v>
      </c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</row>
    <row r="18" ht="12.75">
      <c r="G18" s="315"/>
    </row>
    <row r="31" ht="12.75">
      <c r="A31" t="s">
        <v>170</v>
      </c>
    </row>
    <row r="32" ht="12.75">
      <c r="A32" t="s">
        <v>171</v>
      </c>
    </row>
    <row r="33" spans="1:2" ht="12.75">
      <c r="A33" s="314" t="s">
        <v>168</v>
      </c>
      <c r="B33" s="314"/>
    </row>
  </sheetData>
  <mergeCells count="2">
    <mergeCell ref="B13:M13"/>
    <mergeCell ref="B15:M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D6" sqref="D6"/>
    </sheetView>
  </sheetViews>
  <sheetFormatPr defaultColWidth="9.00390625" defaultRowHeight="12.75"/>
  <cols>
    <col min="1" max="1" width="8.25390625" style="501" customWidth="1"/>
    <col min="2" max="2" width="5.625" style="501" customWidth="1"/>
    <col min="3" max="3" width="6.25390625" style="501" customWidth="1"/>
    <col min="4" max="4" width="28.625" style="501" customWidth="1"/>
    <col min="5" max="5" width="3.75390625" style="521" bestFit="1" customWidth="1"/>
    <col min="6" max="6" width="12.00390625" style="513" customWidth="1"/>
    <col min="7" max="7" width="5.125" style="501" hidden="1" customWidth="1"/>
    <col min="8" max="8" width="10.875" style="515" customWidth="1"/>
    <col min="9" max="9" width="8.75390625" style="515" customWidth="1"/>
    <col min="10" max="12" width="8.00390625" style="515" customWidth="1"/>
    <col min="13" max="13" width="8.25390625" style="515" customWidth="1"/>
    <col min="14" max="14" width="9.625" style="515" customWidth="1"/>
    <col min="15" max="15" width="9.125" style="532" customWidth="1"/>
    <col min="16" max="16" width="6.25390625" style="532" customWidth="1"/>
    <col min="17" max="17" width="8.25390625" style="532" customWidth="1"/>
    <col min="18" max="16384" width="9.125" style="501" customWidth="1"/>
  </cols>
  <sheetData>
    <row r="1" spans="1:14" ht="15.75" customHeight="1">
      <c r="A1" s="554" t="s">
        <v>146</v>
      </c>
      <c r="B1" s="555"/>
      <c r="C1" s="555"/>
      <c r="D1" s="556"/>
      <c r="E1" s="496"/>
      <c r="F1" s="497" t="s">
        <v>0</v>
      </c>
      <c r="G1" s="498" t="s">
        <v>1</v>
      </c>
      <c r="H1" s="499" t="s">
        <v>2</v>
      </c>
      <c r="I1" s="557" t="s">
        <v>3</v>
      </c>
      <c r="J1" s="558"/>
      <c r="K1" s="558"/>
      <c r="L1" s="558"/>
      <c r="M1" s="559"/>
      <c r="N1" s="500" t="s">
        <v>4</v>
      </c>
    </row>
    <row r="2" spans="1:14" ht="13.5" thickBot="1">
      <c r="A2" s="502" t="s">
        <v>149</v>
      </c>
      <c r="B2" s="503"/>
      <c r="C2" s="560" t="s">
        <v>84</v>
      </c>
      <c r="D2" s="561"/>
      <c r="E2" s="504" t="s">
        <v>5</v>
      </c>
      <c r="F2" s="505">
        <v>2009</v>
      </c>
      <c r="G2" s="506" t="s">
        <v>7</v>
      </c>
      <c r="H2" s="507" t="s">
        <v>8</v>
      </c>
      <c r="I2" s="508" t="s">
        <v>9</v>
      </c>
      <c r="J2" s="509" t="s">
        <v>10</v>
      </c>
      <c r="K2" s="510" t="s">
        <v>11</v>
      </c>
      <c r="L2" s="511" t="s">
        <v>147</v>
      </c>
      <c r="M2" s="507" t="s">
        <v>12</v>
      </c>
      <c r="N2" s="512">
        <v>2008</v>
      </c>
    </row>
    <row r="3" spans="1:14" ht="13.5" thickBot="1">
      <c r="A3" s="434" t="s">
        <v>13</v>
      </c>
      <c r="B3" s="435"/>
      <c r="C3" s="435"/>
      <c r="D3" s="435"/>
      <c r="E3" s="436">
        <v>1</v>
      </c>
      <c r="F3" s="437">
        <f>SUM(F5:F27)</f>
        <v>215862000</v>
      </c>
      <c r="G3" s="438">
        <f aca="true" t="shared" si="0" ref="G3:N3">SUM(G5:G27)</f>
        <v>0</v>
      </c>
      <c r="H3" s="439">
        <f t="shared" si="0"/>
        <v>200064000</v>
      </c>
      <c r="I3" s="440">
        <f t="shared" si="0"/>
        <v>8836000</v>
      </c>
      <c r="J3" s="440">
        <f t="shared" si="0"/>
        <v>3162000</v>
      </c>
      <c r="K3" s="441">
        <f t="shared" si="0"/>
        <v>0</v>
      </c>
      <c r="L3" s="440">
        <f t="shared" si="0"/>
        <v>1500000</v>
      </c>
      <c r="M3" s="439">
        <f t="shared" si="0"/>
        <v>2300000</v>
      </c>
      <c r="N3" s="442">
        <f t="shared" si="0"/>
        <v>218480604.57</v>
      </c>
    </row>
    <row r="4" spans="1:17" s="513" customFormat="1" ht="12">
      <c r="A4" s="443" t="s">
        <v>14</v>
      </c>
      <c r="B4" s="444" t="s">
        <v>15</v>
      </c>
      <c r="C4" s="444"/>
      <c r="D4" s="444"/>
      <c r="E4" s="445">
        <v>2</v>
      </c>
      <c r="F4" s="446">
        <f>SUM(F5:F15)</f>
        <v>137175000</v>
      </c>
      <c r="G4" s="447">
        <f aca="true" t="shared" si="1" ref="G4:N4">SUM(G5:G15)</f>
        <v>0</v>
      </c>
      <c r="H4" s="448">
        <f t="shared" si="1"/>
        <v>124492000</v>
      </c>
      <c r="I4" s="449">
        <f t="shared" si="1"/>
        <v>8836000</v>
      </c>
      <c r="J4" s="449">
        <f t="shared" si="1"/>
        <v>47000</v>
      </c>
      <c r="K4" s="450">
        <f t="shared" si="1"/>
        <v>0</v>
      </c>
      <c r="L4" s="450">
        <f t="shared" si="1"/>
        <v>1500000</v>
      </c>
      <c r="M4" s="448">
        <f t="shared" si="1"/>
        <v>2300000</v>
      </c>
      <c r="N4" s="451">
        <f t="shared" si="1"/>
        <v>124236586.82000002</v>
      </c>
      <c r="O4" s="532"/>
      <c r="P4" s="532"/>
      <c r="Q4" s="532"/>
    </row>
    <row r="5" spans="1:17" s="514" customFormat="1" ht="12">
      <c r="A5" s="452"/>
      <c r="B5" s="453"/>
      <c r="C5" s="453" t="s">
        <v>16</v>
      </c>
      <c r="D5" s="454" t="s">
        <v>17</v>
      </c>
      <c r="E5" s="455">
        <v>3</v>
      </c>
      <c r="F5" s="456">
        <f>SUM(H5:M5)</f>
        <v>55160000</v>
      </c>
      <c r="G5" s="457"/>
      <c r="H5" s="458">
        <v>55150000</v>
      </c>
      <c r="I5" s="458"/>
      <c r="J5" s="459">
        <v>10000</v>
      </c>
      <c r="K5" s="460"/>
      <c r="L5" s="459"/>
      <c r="M5" s="461"/>
      <c r="N5" s="462">
        <v>53791145</v>
      </c>
      <c r="O5" s="533"/>
      <c r="P5" s="533"/>
      <c r="Q5" s="533"/>
    </row>
    <row r="6" spans="1:17" s="514" customFormat="1" ht="12">
      <c r="A6" s="452"/>
      <c r="B6" s="453"/>
      <c r="C6" s="453"/>
      <c r="D6" s="454" t="s">
        <v>18</v>
      </c>
      <c r="E6" s="455">
        <v>4</v>
      </c>
      <c r="F6" s="456">
        <f aca="true" t="shared" si="2" ref="F6:F45">SUM(H6:M6)</f>
        <v>2555000</v>
      </c>
      <c r="G6" s="457"/>
      <c r="H6" s="458">
        <v>2555000</v>
      </c>
      <c r="I6" s="458"/>
      <c r="J6" s="459"/>
      <c r="K6" s="460"/>
      <c r="L6" s="459"/>
      <c r="M6" s="461"/>
      <c r="N6" s="462">
        <v>2343912</v>
      </c>
      <c r="O6" s="533"/>
      <c r="P6" s="533"/>
      <c r="Q6" s="533"/>
    </row>
    <row r="7" spans="1:17" s="514" customFormat="1" ht="12">
      <c r="A7" s="452"/>
      <c r="B7" s="453"/>
      <c r="C7" s="453"/>
      <c r="D7" s="454" t="s">
        <v>19</v>
      </c>
      <c r="E7" s="455">
        <v>5</v>
      </c>
      <c r="F7" s="456">
        <f t="shared" si="2"/>
        <v>19858000</v>
      </c>
      <c r="G7" s="457"/>
      <c r="H7" s="458">
        <v>19854000</v>
      </c>
      <c r="I7" s="458"/>
      <c r="J7" s="459">
        <v>4000</v>
      </c>
      <c r="K7" s="460"/>
      <c r="L7" s="459"/>
      <c r="M7" s="461"/>
      <c r="N7" s="462">
        <v>18247641.91</v>
      </c>
      <c r="O7" s="533"/>
      <c r="P7" s="533"/>
      <c r="Q7" s="533"/>
    </row>
    <row r="8" spans="1:17" s="514" customFormat="1" ht="12">
      <c r="A8" s="452"/>
      <c r="B8" s="453"/>
      <c r="C8" s="453"/>
      <c r="D8" s="454" t="s">
        <v>20</v>
      </c>
      <c r="E8" s="455">
        <v>6</v>
      </c>
      <c r="F8" s="456">
        <f t="shared" si="2"/>
        <v>6600000</v>
      </c>
      <c r="G8" s="457"/>
      <c r="H8" s="458">
        <v>6600000</v>
      </c>
      <c r="I8" s="458"/>
      <c r="J8" s="459"/>
      <c r="K8" s="460"/>
      <c r="L8" s="459"/>
      <c r="M8" s="461"/>
      <c r="N8" s="462">
        <v>4655541.16</v>
      </c>
      <c r="O8" s="533"/>
      <c r="P8" s="533"/>
      <c r="Q8" s="533"/>
    </row>
    <row r="9" spans="1:17" s="514" customFormat="1" ht="12">
      <c r="A9" s="452"/>
      <c r="B9" s="453"/>
      <c r="C9" s="453"/>
      <c r="D9" s="454" t="s">
        <v>21</v>
      </c>
      <c r="E9" s="455">
        <v>7</v>
      </c>
      <c r="F9" s="456">
        <f t="shared" si="2"/>
        <v>2000000</v>
      </c>
      <c r="G9" s="457"/>
      <c r="H9" s="458">
        <v>1000000</v>
      </c>
      <c r="I9" s="458">
        <v>1000000</v>
      </c>
      <c r="J9" s="459"/>
      <c r="K9" s="460"/>
      <c r="L9" s="459"/>
      <c r="M9" s="461"/>
      <c r="N9" s="462">
        <v>1548649.42</v>
      </c>
      <c r="O9" s="533"/>
      <c r="P9" s="533"/>
      <c r="Q9" s="533"/>
    </row>
    <row r="10" spans="1:17" s="514" customFormat="1" ht="12">
      <c r="A10" s="452"/>
      <c r="B10" s="453"/>
      <c r="C10" s="453"/>
      <c r="D10" s="454" t="s">
        <v>22</v>
      </c>
      <c r="E10" s="455">
        <v>8</v>
      </c>
      <c r="F10" s="456">
        <f t="shared" si="2"/>
        <v>8286000</v>
      </c>
      <c r="G10" s="457"/>
      <c r="H10" s="458">
        <v>2885000</v>
      </c>
      <c r="I10" s="458">
        <v>5400000</v>
      </c>
      <c r="J10" s="459">
        <v>1000</v>
      </c>
      <c r="K10" s="460"/>
      <c r="L10" s="459"/>
      <c r="M10" s="461"/>
      <c r="N10" s="462">
        <v>7139861.07</v>
      </c>
      <c r="O10" s="533"/>
      <c r="P10" s="533"/>
      <c r="Q10" s="533"/>
    </row>
    <row r="11" spans="1:17" s="514" customFormat="1" ht="12">
      <c r="A11" s="452"/>
      <c r="B11" s="453"/>
      <c r="C11" s="453"/>
      <c r="D11" s="454" t="s">
        <v>23</v>
      </c>
      <c r="E11" s="455">
        <v>9</v>
      </c>
      <c r="F11" s="456">
        <f t="shared" si="2"/>
        <v>4425000</v>
      </c>
      <c r="G11" s="457"/>
      <c r="H11" s="458">
        <v>3925000</v>
      </c>
      <c r="I11" s="458">
        <v>500000</v>
      </c>
      <c r="J11" s="459"/>
      <c r="K11" s="460"/>
      <c r="L11" s="459"/>
      <c r="M11" s="461"/>
      <c r="N11" s="462">
        <v>3785652.09</v>
      </c>
      <c r="O11" s="533"/>
      <c r="P11" s="533"/>
      <c r="Q11" s="533"/>
    </row>
    <row r="12" spans="1:17" s="514" customFormat="1" ht="12">
      <c r="A12" s="452"/>
      <c r="B12" s="453"/>
      <c r="C12" s="453"/>
      <c r="D12" s="454" t="s">
        <v>24</v>
      </c>
      <c r="E12" s="455">
        <v>10</v>
      </c>
      <c r="F12" s="456">
        <f t="shared" si="2"/>
        <v>2145000</v>
      </c>
      <c r="G12" s="457"/>
      <c r="H12" s="458">
        <v>2145000</v>
      </c>
      <c r="I12" s="458"/>
      <c r="J12" s="459"/>
      <c r="K12" s="460"/>
      <c r="L12" s="459"/>
      <c r="M12" s="461"/>
      <c r="N12" s="462">
        <v>1608816.45</v>
      </c>
      <c r="O12" s="533"/>
      <c r="P12" s="533"/>
      <c r="Q12" s="533"/>
    </row>
    <row r="13" spans="1:17" s="514" customFormat="1" ht="12">
      <c r="A13" s="452"/>
      <c r="B13" s="453"/>
      <c r="C13" s="453"/>
      <c r="D13" s="454" t="s">
        <v>25</v>
      </c>
      <c r="E13" s="455">
        <v>11</v>
      </c>
      <c r="F13" s="456">
        <f t="shared" si="2"/>
        <v>15800000</v>
      </c>
      <c r="G13" s="457"/>
      <c r="H13" s="458">
        <v>15800000</v>
      </c>
      <c r="I13" s="458"/>
      <c r="J13" s="459"/>
      <c r="K13" s="460"/>
      <c r="L13" s="459"/>
      <c r="M13" s="461"/>
      <c r="N13" s="462">
        <v>16034381.76</v>
      </c>
      <c r="O13" s="533"/>
      <c r="P13" s="533"/>
      <c r="Q13" s="533"/>
    </row>
    <row r="14" spans="1:17" s="514" customFormat="1" ht="12">
      <c r="A14" s="452"/>
      <c r="B14" s="453"/>
      <c r="C14" s="453"/>
      <c r="D14" s="454" t="s">
        <v>26</v>
      </c>
      <c r="E14" s="455">
        <v>12</v>
      </c>
      <c r="F14" s="456">
        <f t="shared" si="2"/>
        <v>5383000</v>
      </c>
      <c r="G14" s="457"/>
      <c r="H14" s="458">
        <v>1415000</v>
      </c>
      <c r="I14" s="458">
        <v>1636000</v>
      </c>
      <c r="J14" s="459">
        <v>32000</v>
      </c>
      <c r="K14" s="460"/>
      <c r="L14" s="459"/>
      <c r="M14" s="461">
        <v>2300000</v>
      </c>
      <c r="N14" s="462">
        <v>4007674</v>
      </c>
      <c r="O14" s="533"/>
      <c r="P14" s="533"/>
      <c r="Q14" s="533"/>
    </row>
    <row r="15" spans="1:17" s="514" customFormat="1" ht="12">
      <c r="A15" s="452"/>
      <c r="B15" s="453"/>
      <c r="C15" s="454"/>
      <c r="D15" s="454" t="s">
        <v>27</v>
      </c>
      <c r="E15" s="455">
        <v>13</v>
      </c>
      <c r="F15" s="456">
        <f t="shared" si="2"/>
        <v>14963000</v>
      </c>
      <c r="G15" s="457"/>
      <c r="H15" s="458">
        <v>13163000</v>
      </c>
      <c r="I15" s="458">
        <v>300000</v>
      </c>
      <c r="J15" s="459"/>
      <c r="K15" s="460"/>
      <c r="L15" s="459">
        <v>1500000</v>
      </c>
      <c r="M15" s="461"/>
      <c r="N15" s="462">
        <v>11073311.96</v>
      </c>
      <c r="O15" s="533"/>
      <c r="P15" s="533"/>
      <c r="Q15" s="533"/>
    </row>
    <row r="16" spans="1:17" s="513" customFormat="1" ht="12">
      <c r="A16" s="443"/>
      <c r="B16" s="463" t="s">
        <v>28</v>
      </c>
      <c r="C16" s="464"/>
      <c r="D16" s="464"/>
      <c r="E16" s="465">
        <v>14</v>
      </c>
      <c r="F16" s="466">
        <f t="shared" si="2"/>
        <v>5327000</v>
      </c>
      <c r="G16" s="467"/>
      <c r="H16" s="458">
        <v>5327000</v>
      </c>
      <c r="I16" s="458"/>
      <c r="J16" s="459"/>
      <c r="K16" s="460"/>
      <c r="L16" s="459"/>
      <c r="M16" s="461"/>
      <c r="N16" s="462">
        <v>5082410</v>
      </c>
      <c r="O16" s="532"/>
      <c r="P16" s="532"/>
      <c r="Q16" s="532"/>
    </row>
    <row r="17" spans="1:17" s="513" customFormat="1" ht="12">
      <c r="A17" s="443"/>
      <c r="B17" s="463" t="s">
        <v>30</v>
      </c>
      <c r="C17" s="464"/>
      <c r="D17" s="464"/>
      <c r="E17" s="465">
        <v>15</v>
      </c>
      <c r="F17" s="466">
        <f t="shared" si="2"/>
        <v>600000</v>
      </c>
      <c r="G17" s="467"/>
      <c r="H17" s="458">
        <v>600000</v>
      </c>
      <c r="I17" s="458"/>
      <c r="J17" s="459"/>
      <c r="K17" s="460"/>
      <c r="L17" s="459"/>
      <c r="M17" s="461"/>
      <c r="N17" s="462">
        <v>672300</v>
      </c>
      <c r="O17" s="532"/>
      <c r="P17" s="532"/>
      <c r="Q17" s="532"/>
    </row>
    <row r="18" spans="1:17" s="513" customFormat="1" ht="12">
      <c r="A18" s="443"/>
      <c r="B18" s="468" t="s">
        <v>32</v>
      </c>
      <c r="C18" s="469"/>
      <c r="D18" s="469"/>
      <c r="E18" s="470">
        <v>16</v>
      </c>
      <c r="F18" s="466">
        <f t="shared" si="2"/>
        <v>24869000</v>
      </c>
      <c r="G18" s="467"/>
      <c r="H18" s="458">
        <v>24869000</v>
      </c>
      <c r="I18" s="458"/>
      <c r="J18" s="459"/>
      <c r="K18" s="460"/>
      <c r="L18" s="459"/>
      <c r="M18" s="461"/>
      <c r="N18" s="462">
        <v>26760280</v>
      </c>
      <c r="O18" s="532"/>
      <c r="P18" s="532"/>
      <c r="Q18" s="532"/>
    </row>
    <row r="19" spans="1:17" s="513" customFormat="1" ht="12">
      <c r="A19" s="443"/>
      <c r="B19" s="468" t="s">
        <v>34</v>
      </c>
      <c r="C19" s="469"/>
      <c r="D19" s="469"/>
      <c r="E19" s="470">
        <v>17</v>
      </c>
      <c r="F19" s="466">
        <f t="shared" si="2"/>
        <v>0</v>
      </c>
      <c r="G19" s="467"/>
      <c r="H19" s="471"/>
      <c r="I19" s="458"/>
      <c r="J19" s="459"/>
      <c r="K19" s="460"/>
      <c r="L19" s="459"/>
      <c r="M19" s="461"/>
      <c r="N19" s="462">
        <v>137750</v>
      </c>
      <c r="O19" s="532"/>
      <c r="P19" s="532"/>
      <c r="Q19" s="532"/>
    </row>
    <row r="20" spans="1:17" s="513" customFormat="1" ht="12">
      <c r="A20" s="443"/>
      <c r="B20" s="468" t="s">
        <v>36</v>
      </c>
      <c r="C20" s="468"/>
      <c r="D20" s="468"/>
      <c r="E20" s="470">
        <v>18</v>
      </c>
      <c r="F20" s="466">
        <f t="shared" si="2"/>
        <v>0</v>
      </c>
      <c r="G20" s="467"/>
      <c r="H20" s="458"/>
      <c r="I20" s="458"/>
      <c r="J20" s="459"/>
      <c r="K20" s="460"/>
      <c r="L20" s="459"/>
      <c r="M20" s="461"/>
      <c r="N20" s="462"/>
      <c r="O20" s="532"/>
      <c r="P20" s="532"/>
      <c r="Q20" s="532"/>
    </row>
    <row r="21" spans="1:17" s="513" customFormat="1" ht="12">
      <c r="A21" s="443"/>
      <c r="B21" s="468" t="s">
        <v>38</v>
      </c>
      <c r="C21" s="468"/>
      <c r="D21" s="468"/>
      <c r="E21" s="470">
        <v>19</v>
      </c>
      <c r="F21" s="466">
        <f t="shared" si="2"/>
        <v>0</v>
      </c>
      <c r="G21" s="467"/>
      <c r="H21" s="458"/>
      <c r="I21" s="458"/>
      <c r="J21" s="459"/>
      <c r="K21" s="460"/>
      <c r="L21" s="459"/>
      <c r="M21" s="461"/>
      <c r="N21" s="462"/>
      <c r="O21" s="532"/>
      <c r="P21" s="532"/>
      <c r="Q21" s="532"/>
    </row>
    <row r="22" spans="1:17" s="513" customFormat="1" ht="12">
      <c r="A22" s="443"/>
      <c r="B22" s="468" t="s">
        <v>40</v>
      </c>
      <c r="C22" s="468"/>
      <c r="D22" s="468"/>
      <c r="E22" s="470">
        <v>20</v>
      </c>
      <c r="F22" s="466">
        <f t="shared" si="2"/>
        <v>1930000</v>
      </c>
      <c r="G22" s="467"/>
      <c r="H22" s="461">
        <v>1930000</v>
      </c>
      <c r="I22" s="459"/>
      <c r="J22" s="459"/>
      <c r="K22" s="460"/>
      <c r="L22" s="459"/>
      <c r="M22" s="461"/>
      <c r="N22" s="462">
        <v>1622533.66</v>
      </c>
      <c r="O22" s="532"/>
      <c r="P22" s="532"/>
      <c r="Q22" s="532"/>
    </row>
    <row r="23" spans="1:17" s="513" customFormat="1" ht="12">
      <c r="A23" s="443"/>
      <c r="B23" s="468" t="s">
        <v>42</v>
      </c>
      <c r="C23" s="468"/>
      <c r="D23" s="468"/>
      <c r="E23" s="470">
        <v>21</v>
      </c>
      <c r="F23" s="466">
        <f t="shared" si="2"/>
        <v>12408000</v>
      </c>
      <c r="G23" s="467"/>
      <c r="H23" s="461">
        <v>11935000</v>
      </c>
      <c r="I23" s="459"/>
      <c r="J23" s="459">
        <v>473000</v>
      </c>
      <c r="K23" s="460"/>
      <c r="L23" s="459"/>
      <c r="M23" s="461"/>
      <c r="N23" s="462">
        <v>13718872.23</v>
      </c>
      <c r="O23" s="532"/>
      <c r="P23" s="532"/>
      <c r="Q23" s="532"/>
    </row>
    <row r="24" spans="1:17" s="513" customFormat="1" ht="12">
      <c r="A24" s="443"/>
      <c r="B24" s="468" t="s">
        <v>44</v>
      </c>
      <c r="C24" s="468"/>
      <c r="D24" s="468"/>
      <c r="E24" s="470">
        <v>22</v>
      </c>
      <c r="F24" s="466">
        <f t="shared" si="2"/>
        <v>19856000</v>
      </c>
      <c r="G24" s="467"/>
      <c r="H24" s="461">
        <v>19389000</v>
      </c>
      <c r="I24" s="459"/>
      <c r="J24" s="459">
        <v>467000</v>
      </c>
      <c r="K24" s="460"/>
      <c r="L24" s="459"/>
      <c r="M24" s="461"/>
      <c r="N24" s="462">
        <v>30389026.11</v>
      </c>
      <c r="O24" s="532"/>
      <c r="P24" s="532"/>
      <c r="Q24" s="532"/>
    </row>
    <row r="25" spans="1:17" s="513" customFormat="1" ht="12">
      <c r="A25" s="443"/>
      <c r="B25" s="468" t="s">
        <v>45</v>
      </c>
      <c r="C25" s="468"/>
      <c r="D25" s="468"/>
      <c r="E25" s="470">
        <v>23</v>
      </c>
      <c r="F25" s="466">
        <f t="shared" si="2"/>
        <v>2174000</v>
      </c>
      <c r="G25" s="467"/>
      <c r="H25" s="461">
        <f>H41</f>
        <v>0</v>
      </c>
      <c r="I25" s="459"/>
      <c r="J25" s="459">
        <v>2174000</v>
      </c>
      <c r="K25" s="460"/>
      <c r="L25" s="459"/>
      <c r="M25" s="461"/>
      <c r="N25" s="462">
        <v>6912406.54</v>
      </c>
      <c r="O25" s="532"/>
      <c r="P25" s="532"/>
      <c r="Q25" s="532"/>
    </row>
    <row r="26" spans="1:17" s="513" customFormat="1" ht="12">
      <c r="A26" s="443"/>
      <c r="B26" s="468" t="s">
        <v>47</v>
      </c>
      <c r="C26" s="468"/>
      <c r="D26" s="468"/>
      <c r="E26" s="470">
        <v>24</v>
      </c>
      <c r="F26" s="466">
        <f t="shared" si="2"/>
        <v>10589000</v>
      </c>
      <c r="G26" s="467"/>
      <c r="H26" s="461">
        <v>10588000</v>
      </c>
      <c r="I26" s="459"/>
      <c r="J26" s="459">
        <v>1000</v>
      </c>
      <c r="K26" s="460"/>
      <c r="L26" s="459"/>
      <c r="M26" s="461"/>
      <c r="N26" s="462">
        <v>8148310</v>
      </c>
      <c r="O26" s="532"/>
      <c r="P26" s="532"/>
      <c r="Q26" s="532"/>
    </row>
    <row r="27" spans="1:17" s="513" customFormat="1" ht="12.75" thickBot="1">
      <c r="A27" s="443"/>
      <c r="B27" s="463" t="s">
        <v>49</v>
      </c>
      <c r="C27" s="463"/>
      <c r="D27" s="463"/>
      <c r="E27" s="465">
        <v>25</v>
      </c>
      <c r="F27" s="466">
        <f t="shared" si="2"/>
        <v>934000</v>
      </c>
      <c r="G27" s="467"/>
      <c r="H27" s="461">
        <v>934000</v>
      </c>
      <c r="I27" s="459"/>
      <c r="J27" s="459"/>
      <c r="K27" s="460"/>
      <c r="L27" s="459"/>
      <c r="M27" s="461"/>
      <c r="N27" s="472">
        <v>800129.21</v>
      </c>
      <c r="O27" s="532"/>
      <c r="P27" s="532"/>
      <c r="Q27" s="532"/>
    </row>
    <row r="28" spans="1:14" ht="13.5" thickBot="1">
      <c r="A28" s="473" t="s">
        <v>51</v>
      </c>
      <c r="B28" s="474"/>
      <c r="C28" s="474"/>
      <c r="D28" s="474"/>
      <c r="E28" s="436">
        <v>26</v>
      </c>
      <c r="F28" s="437">
        <f>SUM(F29:F45)</f>
        <v>216122000</v>
      </c>
      <c r="G28" s="438">
        <f aca="true" t="shared" si="3" ref="G28:N28">SUM(G29:G45)</f>
        <v>0</v>
      </c>
      <c r="H28" s="439">
        <f t="shared" si="3"/>
        <v>200324000</v>
      </c>
      <c r="I28" s="440">
        <f t="shared" si="3"/>
        <v>8836000</v>
      </c>
      <c r="J28" s="440">
        <f t="shared" si="3"/>
        <v>3162000</v>
      </c>
      <c r="K28" s="441">
        <f t="shared" si="3"/>
        <v>0</v>
      </c>
      <c r="L28" s="440">
        <f t="shared" si="3"/>
        <v>1500000</v>
      </c>
      <c r="M28" s="439">
        <f t="shared" si="3"/>
        <v>2300000</v>
      </c>
      <c r="N28" s="442">
        <f t="shared" si="3"/>
        <v>220546266.89000002</v>
      </c>
    </row>
    <row r="29" spans="1:17" s="513" customFormat="1" ht="12">
      <c r="A29" s="443" t="s">
        <v>14</v>
      </c>
      <c r="B29" s="464" t="s">
        <v>52</v>
      </c>
      <c r="C29" s="464"/>
      <c r="D29" s="464"/>
      <c r="E29" s="465">
        <v>27</v>
      </c>
      <c r="F29" s="466">
        <f t="shared" si="2"/>
        <v>96446000</v>
      </c>
      <c r="G29" s="447"/>
      <c r="H29" s="475">
        <v>96446000</v>
      </c>
      <c r="I29" s="449"/>
      <c r="J29" s="449"/>
      <c r="K29" s="450"/>
      <c r="L29" s="449"/>
      <c r="M29" s="448"/>
      <c r="N29" s="451">
        <v>89246076</v>
      </c>
      <c r="O29" s="532">
        <v>96446</v>
      </c>
      <c r="P29" s="532">
        <f>H29/1000-Q29</f>
        <v>0</v>
      </c>
      <c r="Q29" s="532">
        <v>96446</v>
      </c>
    </row>
    <row r="30" spans="1:17" s="513" customFormat="1" ht="12">
      <c r="A30" s="443"/>
      <c r="B30" s="463" t="s">
        <v>28</v>
      </c>
      <c r="C30" s="463"/>
      <c r="D30" s="463"/>
      <c r="E30" s="465">
        <v>28</v>
      </c>
      <c r="F30" s="466">
        <f t="shared" si="2"/>
        <v>5327000</v>
      </c>
      <c r="G30" s="476"/>
      <c r="H30" s="477">
        <f>H16</f>
        <v>5327000</v>
      </c>
      <c r="I30" s="478"/>
      <c r="J30" s="478"/>
      <c r="K30" s="479"/>
      <c r="L30" s="478"/>
      <c r="M30" s="477"/>
      <c r="N30" s="480">
        <v>5082410</v>
      </c>
      <c r="O30" s="532"/>
      <c r="P30" s="532"/>
      <c r="Q30" s="532"/>
    </row>
    <row r="31" spans="1:17" s="513" customFormat="1" ht="12">
      <c r="A31" s="443"/>
      <c r="B31" s="463" t="s">
        <v>30</v>
      </c>
      <c r="C31" s="463"/>
      <c r="D31" s="463"/>
      <c r="E31" s="465">
        <v>29</v>
      </c>
      <c r="F31" s="466">
        <f t="shared" si="2"/>
        <v>600000</v>
      </c>
      <c r="G31" s="476"/>
      <c r="H31" s="477">
        <f>H17</f>
        <v>600000</v>
      </c>
      <c r="I31" s="478"/>
      <c r="J31" s="478"/>
      <c r="K31" s="479"/>
      <c r="L31" s="478"/>
      <c r="M31" s="477"/>
      <c r="N31" s="480">
        <v>672300</v>
      </c>
      <c r="O31" s="532"/>
      <c r="P31" s="532"/>
      <c r="Q31" s="532"/>
    </row>
    <row r="32" spans="1:17" s="513" customFormat="1" ht="12">
      <c r="A32" s="443"/>
      <c r="B32" s="468" t="s">
        <v>32</v>
      </c>
      <c r="C32" s="469"/>
      <c r="D32" s="469"/>
      <c r="E32" s="470">
        <v>30</v>
      </c>
      <c r="F32" s="466">
        <f t="shared" si="2"/>
        <v>24869000</v>
      </c>
      <c r="G32" s="476"/>
      <c r="H32" s="477">
        <f>H18</f>
        <v>24869000</v>
      </c>
      <c r="I32" s="478"/>
      <c r="J32" s="478"/>
      <c r="K32" s="479"/>
      <c r="L32" s="478"/>
      <c r="M32" s="477"/>
      <c r="N32" s="480">
        <v>26760280</v>
      </c>
      <c r="O32" s="532"/>
      <c r="P32" s="532">
        <f>H32/1000-Q32</f>
        <v>0</v>
      </c>
      <c r="Q32" s="532">
        <v>24869</v>
      </c>
    </row>
    <row r="33" spans="1:17" s="513" customFormat="1" ht="12">
      <c r="A33" s="443"/>
      <c r="B33" s="468" t="s">
        <v>34</v>
      </c>
      <c r="C33" s="468"/>
      <c r="D33" s="468"/>
      <c r="E33" s="470">
        <v>31</v>
      </c>
      <c r="F33" s="466">
        <f t="shared" si="2"/>
        <v>0</v>
      </c>
      <c r="G33" s="476"/>
      <c r="H33" s="477">
        <f>H19</f>
        <v>0</v>
      </c>
      <c r="I33" s="478"/>
      <c r="J33" s="478"/>
      <c r="K33" s="479"/>
      <c r="L33" s="478"/>
      <c r="M33" s="477"/>
      <c r="N33" s="480">
        <v>137750</v>
      </c>
      <c r="O33" s="532"/>
      <c r="P33" s="532">
        <f>H33/1000-Q33</f>
        <v>0</v>
      </c>
      <c r="Q33" s="532">
        <v>0</v>
      </c>
    </row>
    <row r="34" spans="1:17" s="513" customFormat="1" ht="12">
      <c r="A34" s="443"/>
      <c r="B34" s="468" t="s">
        <v>54</v>
      </c>
      <c r="C34" s="468"/>
      <c r="D34" s="468"/>
      <c r="E34" s="470">
        <v>32</v>
      </c>
      <c r="F34" s="466">
        <f t="shared" si="2"/>
        <v>0</v>
      </c>
      <c r="G34" s="476"/>
      <c r="H34" s="477"/>
      <c r="I34" s="478"/>
      <c r="J34" s="478"/>
      <c r="K34" s="479"/>
      <c r="L34" s="478"/>
      <c r="M34" s="477"/>
      <c r="N34" s="480"/>
      <c r="O34" s="532"/>
      <c r="P34" s="532"/>
      <c r="Q34" s="532"/>
    </row>
    <row r="35" spans="1:17" s="513" customFormat="1" ht="12">
      <c r="A35" s="443"/>
      <c r="B35" s="468" t="s">
        <v>36</v>
      </c>
      <c r="C35" s="468"/>
      <c r="D35" s="468"/>
      <c r="E35" s="470">
        <v>33</v>
      </c>
      <c r="F35" s="466">
        <f t="shared" si="2"/>
        <v>0</v>
      </c>
      <c r="G35" s="476"/>
      <c r="H35" s="477"/>
      <c r="I35" s="478"/>
      <c r="J35" s="478"/>
      <c r="K35" s="479"/>
      <c r="L35" s="478"/>
      <c r="M35" s="477"/>
      <c r="N35" s="480"/>
      <c r="O35" s="532"/>
      <c r="P35" s="532"/>
      <c r="Q35" s="532"/>
    </row>
    <row r="36" spans="1:17" s="513" customFormat="1" ht="12">
      <c r="A36" s="443"/>
      <c r="B36" s="468" t="s">
        <v>38</v>
      </c>
      <c r="C36" s="468"/>
      <c r="D36" s="468"/>
      <c r="E36" s="470">
        <v>34</v>
      </c>
      <c r="F36" s="466">
        <f t="shared" si="2"/>
        <v>0</v>
      </c>
      <c r="G36" s="476"/>
      <c r="H36" s="477"/>
      <c r="I36" s="478"/>
      <c r="J36" s="478"/>
      <c r="K36" s="479"/>
      <c r="L36" s="478"/>
      <c r="M36" s="477"/>
      <c r="N36" s="480"/>
      <c r="O36" s="532"/>
      <c r="P36" s="532"/>
      <c r="Q36" s="532"/>
    </row>
    <row r="37" spans="1:17" s="513" customFormat="1" ht="12">
      <c r="A37" s="443"/>
      <c r="B37" s="468" t="s">
        <v>56</v>
      </c>
      <c r="C37" s="468"/>
      <c r="D37" s="468"/>
      <c r="E37" s="470">
        <v>35</v>
      </c>
      <c r="F37" s="466">
        <f t="shared" si="2"/>
        <v>1930000</v>
      </c>
      <c r="G37" s="476"/>
      <c r="H37" s="477">
        <f>H22</f>
        <v>1930000</v>
      </c>
      <c r="I37" s="478"/>
      <c r="J37" s="478"/>
      <c r="K37" s="479"/>
      <c r="L37" s="478"/>
      <c r="M37" s="477"/>
      <c r="N37" s="480">
        <v>1661866.46</v>
      </c>
      <c r="O37" s="532"/>
      <c r="P37" s="532"/>
      <c r="Q37" s="532"/>
    </row>
    <row r="38" spans="1:17" s="513" customFormat="1" ht="12">
      <c r="A38" s="443"/>
      <c r="B38" s="468" t="s">
        <v>57</v>
      </c>
      <c r="C38" s="468"/>
      <c r="D38" s="468"/>
      <c r="E38" s="470">
        <v>36</v>
      </c>
      <c r="F38" s="466">
        <f t="shared" si="2"/>
        <v>7320000</v>
      </c>
      <c r="G38" s="476"/>
      <c r="H38" s="477">
        <v>7320000</v>
      </c>
      <c r="I38" s="478"/>
      <c r="J38" s="478"/>
      <c r="K38" s="479"/>
      <c r="L38" s="478"/>
      <c r="M38" s="477"/>
      <c r="N38" s="480">
        <v>7239000</v>
      </c>
      <c r="O38" s="532"/>
      <c r="P38" s="532"/>
      <c r="Q38" s="532"/>
    </row>
    <row r="39" spans="1:17" s="513" customFormat="1" ht="12">
      <c r="A39" s="443"/>
      <c r="B39" s="468" t="s">
        <v>59</v>
      </c>
      <c r="C39" s="468"/>
      <c r="D39" s="468"/>
      <c r="E39" s="470">
        <v>37</v>
      </c>
      <c r="F39" s="466">
        <f t="shared" si="2"/>
        <v>12408000</v>
      </c>
      <c r="G39" s="476"/>
      <c r="H39" s="477">
        <v>11935000</v>
      </c>
      <c r="I39" s="478"/>
      <c r="J39" s="478">
        <v>473000</v>
      </c>
      <c r="K39" s="479"/>
      <c r="L39" s="478"/>
      <c r="M39" s="477"/>
      <c r="N39" s="480">
        <v>13718872.23</v>
      </c>
      <c r="O39" s="532"/>
      <c r="P39" s="532"/>
      <c r="Q39" s="532"/>
    </row>
    <row r="40" spans="1:17" s="513" customFormat="1" ht="12">
      <c r="A40" s="443"/>
      <c r="B40" s="468" t="s">
        <v>60</v>
      </c>
      <c r="C40" s="468"/>
      <c r="D40" s="468"/>
      <c r="E40" s="470">
        <v>38</v>
      </c>
      <c r="F40" s="466">
        <f t="shared" si="2"/>
        <v>19856000</v>
      </c>
      <c r="G40" s="476"/>
      <c r="H40" s="477">
        <f>H24</f>
        <v>19389000</v>
      </c>
      <c r="I40" s="478"/>
      <c r="J40" s="478">
        <v>467000</v>
      </c>
      <c r="K40" s="479"/>
      <c r="L40" s="478"/>
      <c r="M40" s="477"/>
      <c r="N40" s="480">
        <v>30389026.11</v>
      </c>
      <c r="O40" s="532"/>
      <c r="P40" s="532"/>
      <c r="Q40" s="532"/>
    </row>
    <row r="41" spans="1:17" s="513" customFormat="1" ht="12">
      <c r="A41" s="443"/>
      <c r="B41" s="468" t="s">
        <v>45</v>
      </c>
      <c r="C41" s="468"/>
      <c r="D41" s="468"/>
      <c r="E41" s="470">
        <v>39</v>
      </c>
      <c r="F41" s="466">
        <f t="shared" si="2"/>
        <v>2174000</v>
      </c>
      <c r="G41" s="476"/>
      <c r="H41" s="477"/>
      <c r="I41" s="478"/>
      <c r="J41" s="478">
        <v>2174000</v>
      </c>
      <c r="K41" s="479"/>
      <c r="L41" s="478"/>
      <c r="M41" s="477"/>
      <c r="N41" s="480">
        <v>6912406.54</v>
      </c>
      <c r="O41" s="532"/>
      <c r="P41" s="532"/>
      <c r="Q41" s="532"/>
    </row>
    <row r="42" spans="1:17" s="513" customFormat="1" ht="12">
      <c r="A42" s="443"/>
      <c r="B42" s="468" t="s">
        <v>61</v>
      </c>
      <c r="C42" s="468"/>
      <c r="D42" s="468"/>
      <c r="E42" s="470">
        <v>40</v>
      </c>
      <c r="F42" s="466">
        <f t="shared" si="2"/>
        <v>10589000</v>
      </c>
      <c r="G42" s="476"/>
      <c r="H42" s="477">
        <f>H26</f>
        <v>10588000</v>
      </c>
      <c r="I42" s="478"/>
      <c r="J42" s="478">
        <v>1000</v>
      </c>
      <c r="K42" s="479"/>
      <c r="L42" s="478"/>
      <c r="M42" s="477"/>
      <c r="N42" s="480">
        <v>8148310</v>
      </c>
      <c r="O42" s="532"/>
      <c r="P42" s="532"/>
      <c r="Q42" s="532"/>
    </row>
    <row r="43" spans="1:17" s="513" customFormat="1" ht="12">
      <c r="A43" s="443"/>
      <c r="B43" s="468" t="s">
        <v>62</v>
      </c>
      <c r="C43" s="468"/>
      <c r="D43" s="468"/>
      <c r="E43" s="470">
        <v>41</v>
      </c>
      <c r="F43" s="466">
        <f t="shared" si="2"/>
        <v>20984000</v>
      </c>
      <c r="G43" s="476"/>
      <c r="H43" s="477">
        <v>20937000</v>
      </c>
      <c r="I43" s="478"/>
      <c r="J43" s="478">
        <v>47000</v>
      </c>
      <c r="K43" s="479"/>
      <c r="L43" s="478"/>
      <c r="M43" s="477"/>
      <c r="N43" s="480">
        <v>25430352.27</v>
      </c>
      <c r="O43" s="532"/>
      <c r="P43" s="532"/>
      <c r="Q43" s="532"/>
    </row>
    <row r="44" spans="1:17" s="513" customFormat="1" ht="12">
      <c r="A44" s="443"/>
      <c r="B44" s="468" t="s">
        <v>63</v>
      </c>
      <c r="C44" s="468"/>
      <c r="D44" s="468"/>
      <c r="E44" s="470">
        <v>42</v>
      </c>
      <c r="F44" s="466">
        <f t="shared" si="2"/>
        <v>12636000</v>
      </c>
      <c r="G44" s="476"/>
      <c r="H44" s="481" t="s">
        <v>97</v>
      </c>
      <c r="I44" s="478">
        <f>I3</f>
        <v>8836000</v>
      </c>
      <c r="J44" s="478"/>
      <c r="K44" s="479"/>
      <c r="L44" s="478">
        <f>L15</f>
        <v>1500000</v>
      </c>
      <c r="M44" s="477">
        <f>M3</f>
        <v>2300000</v>
      </c>
      <c r="N44" s="480">
        <v>4124317.28</v>
      </c>
      <c r="O44" s="532"/>
      <c r="P44" s="532"/>
      <c r="Q44" s="532"/>
    </row>
    <row r="45" spans="1:17" s="513" customFormat="1" ht="12">
      <c r="A45" s="482"/>
      <c r="B45" s="483" t="s">
        <v>49</v>
      </c>
      <c r="C45" s="483"/>
      <c r="D45" s="483"/>
      <c r="E45" s="484">
        <v>43</v>
      </c>
      <c r="F45" s="485">
        <f t="shared" si="2"/>
        <v>983000</v>
      </c>
      <c r="G45" s="486"/>
      <c r="H45" s="487">
        <v>983000</v>
      </c>
      <c r="I45" s="488"/>
      <c r="J45" s="488"/>
      <c r="K45" s="489"/>
      <c r="L45" s="488"/>
      <c r="M45" s="487"/>
      <c r="N45" s="490">
        <v>1023300</v>
      </c>
      <c r="O45" s="532"/>
      <c r="P45" s="532"/>
      <c r="Q45" s="532"/>
    </row>
    <row r="46" spans="1:17" s="513" customFormat="1" ht="12.75" thickBot="1">
      <c r="A46" s="491" t="s">
        <v>65</v>
      </c>
      <c r="B46" s="492"/>
      <c r="C46" s="492"/>
      <c r="D46" s="492"/>
      <c r="E46" s="465">
        <v>44</v>
      </c>
      <c r="F46" s="493">
        <f>F29+F34+F38+F43+F44+F45-F4-F27</f>
        <v>260000</v>
      </c>
      <c r="G46" s="494">
        <f>G29+G34+G38+G43+G44+G45+-G4-G27</f>
        <v>0</v>
      </c>
      <c r="H46" s="494">
        <f>H29+H34+H38+H43+H45-H4-H27</f>
        <v>260000</v>
      </c>
      <c r="I46" s="494">
        <f>I29+I34+I38+I43+I44+I45-I4-I27</f>
        <v>0</v>
      </c>
      <c r="J46" s="494">
        <f>J29+J34+J38+J43+J44+J45-J4-J27</f>
        <v>0</v>
      </c>
      <c r="K46" s="494">
        <f>K29+K34+K38+K43+K44+K45-K4-K27</f>
        <v>0</v>
      </c>
      <c r="L46" s="495"/>
      <c r="M46" s="494">
        <f>M29+M34+M38+M43+M44+M45-M4-M27</f>
        <v>0</v>
      </c>
      <c r="N46" s="493">
        <f>N29+N34+N38+N43+N44+N45-N4-N27</f>
        <v>2026329.5199999744</v>
      </c>
      <c r="O46" s="532"/>
      <c r="P46" s="532"/>
      <c r="Q46" s="532"/>
    </row>
    <row r="47" spans="1:14" ht="13.5" thickBot="1">
      <c r="A47" s="473" t="s">
        <v>66</v>
      </c>
      <c r="B47" s="474"/>
      <c r="C47" s="474"/>
      <c r="D47" s="474"/>
      <c r="E47" s="436">
        <v>45</v>
      </c>
      <c r="F47" s="437">
        <f>F28-F3</f>
        <v>260000</v>
      </c>
      <c r="G47" s="438">
        <f aca="true" t="shared" si="4" ref="G47:N47">G28-G3</f>
        <v>0</v>
      </c>
      <c r="H47" s="439">
        <f t="shared" si="4"/>
        <v>260000</v>
      </c>
      <c r="I47" s="440">
        <f t="shared" si="4"/>
        <v>0</v>
      </c>
      <c r="J47" s="440">
        <f t="shared" si="4"/>
        <v>0</v>
      </c>
      <c r="K47" s="441">
        <f t="shared" si="4"/>
        <v>0</v>
      </c>
      <c r="L47" s="440">
        <f t="shared" si="4"/>
        <v>0</v>
      </c>
      <c r="M47" s="439">
        <f t="shared" si="4"/>
        <v>0</v>
      </c>
      <c r="N47" s="442">
        <f t="shared" si="4"/>
        <v>2065662.3200000226</v>
      </c>
    </row>
    <row r="48" spans="1:5" ht="12.75">
      <c r="A48" s="515" t="s">
        <v>67</v>
      </c>
      <c r="B48" s="515"/>
      <c r="C48" s="515"/>
      <c r="D48" s="516">
        <v>39881</v>
      </c>
      <c r="E48" s="517"/>
    </row>
    <row r="49" spans="1:7" ht="9" customHeight="1">
      <c r="A49" s="515"/>
      <c r="B49" s="515"/>
      <c r="C49" s="515"/>
      <c r="D49" s="515"/>
      <c r="E49" s="517"/>
      <c r="G49" s="515"/>
    </row>
    <row r="50" spans="1:10" ht="12.75">
      <c r="A50" s="518" t="s">
        <v>98</v>
      </c>
      <c r="B50" s="515"/>
      <c r="C50" s="515"/>
      <c r="D50" s="515"/>
      <c r="E50" s="517"/>
      <c r="F50" s="519"/>
      <c r="G50" s="515"/>
      <c r="J50" s="520">
        <v>5400000</v>
      </c>
    </row>
    <row r="51" spans="1:7" ht="12.75">
      <c r="A51" s="518"/>
      <c r="B51" s="518"/>
      <c r="C51" s="518"/>
      <c r="D51" s="518"/>
      <c r="E51" s="517"/>
      <c r="G51" s="515"/>
    </row>
    <row r="52" spans="1:7" ht="12.75">
      <c r="A52" s="518"/>
      <c r="B52" s="518"/>
      <c r="C52" s="518"/>
      <c r="D52" s="518"/>
      <c r="E52" s="517"/>
      <c r="G52" s="515"/>
    </row>
    <row r="53" spans="1:7" ht="12.75">
      <c r="A53" s="518"/>
      <c r="B53" s="518"/>
      <c r="C53" s="518"/>
      <c r="D53" s="518"/>
      <c r="E53" s="517"/>
      <c r="G53" s="515"/>
    </row>
    <row r="54" spans="1:7" ht="12.75">
      <c r="A54" s="518"/>
      <c r="B54" s="518"/>
      <c r="C54" s="518"/>
      <c r="D54" s="518"/>
      <c r="E54" s="517"/>
      <c r="G54" s="515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H38" sqref="H3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75390625" style="25" customWidth="1"/>
    <col min="7" max="7" width="5.125" style="0" hidden="1" customWidth="1"/>
    <col min="8" max="8" width="11.25390625" style="59" customWidth="1"/>
    <col min="9" max="9" width="7.125" style="59" bestFit="1" customWidth="1"/>
    <col min="10" max="12" width="8.00390625" style="59" customWidth="1"/>
    <col min="13" max="13" width="8.125" style="59" customWidth="1"/>
    <col min="14" max="14" width="9.625" style="59" customWidth="1"/>
    <col min="15" max="15" width="9.625" style="522" bestFit="1" customWidth="1"/>
    <col min="16" max="16" width="9.125" style="522" customWidth="1"/>
    <col min="17" max="17" width="7.875" style="522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375" t="s">
        <v>149</v>
      </c>
      <c r="B2" s="7"/>
      <c r="C2" s="550" t="s">
        <v>85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2"/>
      <c r="Q2" s="522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285770702</v>
      </c>
      <c r="G3" s="81">
        <f aca="true" t="shared" si="0" ref="G3:N3">SUM(G5:G27)</f>
        <v>0</v>
      </c>
      <c r="H3" s="82">
        <f t="shared" si="0"/>
        <v>283224000</v>
      </c>
      <c r="I3" s="83">
        <f t="shared" si="0"/>
        <v>361263</v>
      </c>
      <c r="J3" s="83">
        <f t="shared" si="0"/>
        <v>185439</v>
      </c>
      <c r="K3" s="381">
        <f t="shared" si="0"/>
        <v>0</v>
      </c>
      <c r="L3" s="83">
        <f t="shared" si="0"/>
        <v>0</v>
      </c>
      <c r="M3" s="82">
        <f t="shared" si="0"/>
        <v>2000000</v>
      </c>
      <c r="N3" s="84">
        <f t="shared" si="0"/>
        <v>281667343.4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241140263</v>
      </c>
      <c r="G4" s="86">
        <f aca="true" t="shared" si="1" ref="G4:N4">SUM(G5:G15)</f>
        <v>0</v>
      </c>
      <c r="H4" s="87">
        <f t="shared" si="1"/>
        <v>238779000</v>
      </c>
      <c r="I4" s="88">
        <f t="shared" si="1"/>
        <v>361263</v>
      </c>
      <c r="J4" s="88">
        <f t="shared" si="1"/>
        <v>0</v>
      </c>
      <c r="K4" s="382">
        <f t="shared" si="1"/>
        <v>0</v>
      </c>
      <c r="L4" s="382">
        <f t="shared" si="1"/>
        <v>0</v>
      </c>
      <c r="M4" s="87">
        <f t="shared" si="1"/>
        <v>2000000</v>
      </c>
      <c r="N4" s="89">
        <f t="shared" si="1"/>
        <v>239686895.51000002</v>
      </c>
      <c r="O4" s="522"/>
      <c r="P4" s="522"/>
      <c r="Q4" s="522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122000000</v>
      </c>
      <c r="G5" s="91"/>
      <c r="H5" s="92">
        <v>122000000</v>
      </c>
      <c r="I5" s="92"/>
      <c r="J5" s="93"/>
      <c r="K5" s="383"/>
      <c r="L5" s="93"/>
      <c r="M5" s="94"/>
      <c r="N5" s="95">
        <v>122392510.84</v>
      </c>
      <c r="O5" s="528"/>
      <c r="P5" s="528"/>
      <c r="Q5" s="528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7000000</v>
      </c>
      <c r="G6" s="91"/>
      <c r="H6" s="92">
        <v>7000000</v>
      </c>
      <c r="I6" s="92"/>
      <c r="J6" s="93"/>
      <c r="K6" s="383"/>
      <c r="L6" s="93"/>
      <c r="M6" s="94"/>
      <c r="N6" s="95">
        <v>6724716</v>
      </c>
      <c r="O6" s="528"/>
      <c r="P6" s="528"/>
      <c r="Q6" s="528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45000000</v>
      </c>
      <c r="G7" s="91"/>
      <c r="H7" s="92">
        <v>45000000</v>
      </c>
      <c r="I7" s="92"/>
      <c r="J7" s="93"/>
      <c r="K7" s="383"/>
      <c r="L7" s="93"/>
      <c r="M7" s="94"/>
      <c r="N7" s="95">
        <v>44984351.02</v>
      </c>
      <c r="O7" s="528"/>
      <c r="P7" s="528"/>
      <c r="Q7" s="528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4500000</v>
      </c>
      <c r="G8" s="91"/>
      <c r="H8" s="92">
        <v>4500000</v>
      </c>
      <c r="I8" s="92"/>
      <c r="J8" s="93"/>
      <c r="K8" s="383"/>
      <c r="L8" s="93"/>
      <c r="M8" s="94"/>
      <c r="N8" s="95">
        <v>4450080.61</v>
      </c>
      <c r="O8" s="528"/>
      <c r="P8" s="528"/>
      <c r="Q8" s="528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3850000</v>
      </c>
      <c r="G9" s="91"/>
      <c r="H9" s="92">
        <v>3850000</v>
      </c>
      <c r="I9" s="92"/>
      <c r="J9" s="93"/>
      <c r="K9" s="383"/>
      <c r="L9" s="93"/>
      <c r="M9" s="94"/>
      <c r="N9" s="95">
        <v>3858095.75</v>
      </c>
      <c r="O9" s="528"/>
      <c r="P9" s="528"/>
      <c r="Q9" s="528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17000000</v>
      </c>
      <c r="G10" s="91"/>
      <c r="H10" s="92">
        <v>17000000</v>
      </c>
      <c r="I10" s="92"/>
      <c r="J10" s="93"/>
      <c r="K10" s="383"/>
      <c r="L10" s="93"/>
      <c r="M10" s="94"/>
      <c r="N10" s="95">
        <v>17122157.84</v>
      </c>
      <c r="O10" s="528"/>
      <c r="P10" s="528"/>
      <c r="Q10" s="528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15000000</v>
      </c>
      <c r="G11" s="91"/>
      <c r="H11" s="92">
        <v>15000000</v>
      </c>
      <c r="I11" s="92"/>
      <c r="J11" s="93"/>
      <c r="K11" s="383"/>
      <c r="L11" s="93"/>
      <c r="M11" s="94"/>
      <c r="N11" s="95">
        <v>15334581.82</v>
      </c>
      <c r="O11" s="528"/>
      <c r="P11" s="528"/>
      <c r="Q11" s="528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2000000</v>
      </c>
      <c r="G12" s="91"/>
      <c r="H12" s="92">
        <v>2000000</v>
      </c>
      <c r="I12" s="92"/>
      <c r="J12" s="93"/>
      <c r="K12" s="383"/>
      <c r="L12" s="93"/>
      <c r="M12" s="94"/>
      <c r="N12" s="95">
        <v>1860276.07</v>
      </c>
      <c r="O12" s="528"/>
      <c r="P12" s="528"/>
      <c r="Q12" s="528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9000000</v>
      </c>
      <c r="G13" s="91"/>
      <c r="H13" s="92">
        <v>9000000</v>
      </c>
      <c r="I13" s="92"/>
      <c r="J13" s="93"/>
      <c r="K13" s="383"/>
      <c r="L13" s="93"/>
      <c r="M13" s="94"/>
      <c r="N13" s="95">
        <v>8941241.15</v>
      </c>
      <c r="O13" s="528"/>
      <c r="P13" s="528"/>
      <c r="Q13" s="528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4500000</v>
      </c>
      <c r="G14" s="91"/>
      <c r="H14" s="92">
        <v>2500000</v>
      </c>
      <c r="I14" s="92"/>
      <c r="J14" s="93"/>
      <c r="K14" s="383"/>
      <c r="L14" s="93"/>
      <c r="M14" s="94">
        <v>2000000</v>
      </c>
      <c r="N14" s="95">
        <v>2422285</v>
      </c>
      <c r="O14" s="528"/>
      <c r="P14" s="528"/>
      <c r="Q14" s="528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11290263</v>
      </c>
      <c r="G15" s="91"/>
      <c r="H15" s="92">
        <v>10929000</v>
      </c>
      <c r="I15" s="92">
        <v>361263</v>
      </c>
      <c r="J15" s="93"/>
      <c r="K15" s="383"/>
      <c r="L15" s="408"/>
      <c r="M15" s="94"/>
      <c r="N15" s="95">
        <v>11596599.41</v>
      </c>
      <c r="O15" s="528"/>
      <c r="P15" s="528"/>
      <c r="Q15" s="528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6000000</v>
      </c>
      <c r="G16" s="97"/>
      <c r="H16" s="98">
        <v>6000000</v>
      </c>
      <c r="I16" s="98"/>
      <c r="J16" s="99"/>
      <c r="K16" s="384"/>
      <c r="L16" s="99"/>
      <c r="M16" s="100"/>
      <c r="N16" s="101">
        <v>5947960</v>
      </c>
      <c r="O16" s="522"/>
      <c r="P16" s="522"/>
      <c r="Q16" s="522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250000</v>
      </c>
      <c r="G17" s="97"/>
      <c r="H17" s="98">
        <v>250000</v>
      </c>
      <c r="I17" s="98"/>
      <c r="J17" s="99"/>
      <c r="K17" s="384"/>
      <c r="L17" s="99"/>
      <c r="M17" s="100"/>
      <c r="N17" s="101">
        <v>243189</v>
      </c>
      <c r="O17" s="522"/>
      <c r="P17" s="522"/>
      <c r="Q17" s="522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3000000</v>
      </c>
      <c r="G18" s="97"/>
      <c r="H18" s="98">
        <v>3000000</v>
      </c>
      <c r="I18" s="98"/>
      <c r="J18" s="99"/>
      <c r="K18" s="384"/>
      <c r="L18" s="99"/>
      <c r="M18" s="100"/>
      <c r="N18" s="101">
        <v>2954695.58</v>
      </c>
      <c r="O18" s="522"/>
      <c r="P18" s="522"/>
      <c r="Q18" s="522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2155000</v>
      </c>
      <c r="G19" s="97"/>
      <c r="H19" s="98">
        <v>2155000</v>
      </c>
      <c r="I19" s="98"/>
      <c r="J19" s="99"/>
      <c r="K19" s="384"/>
      <c r="L19" s="99"/>
      <c r="M19" s="100"/>
      <c r="N19" s="101">
        <v>414000</v>
      </c>
      <c r="O19" s="522"/>
      <c r="P19" s="522"/>
      <c r="Q19" s="522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287000</v>
      </c>
      <c r="G20" s="97"/>
      <c r="H20" s="98">
        <v>287000</v>
      </c>
      <c r="I20" s="98"/>
      <c r="J20" s="99"/>
      <c r="K20" s="384"/>
      <c r="L20" s="99"/>
      <c r="M20" s="100"/>
      <c r="N20" s="101">
        <v>1474000</v>
      </c>
      <c r="O20" s="522"/>
      <c r="P20" s="522"/>
      <c r="Q20" s="522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3000000</v>
      </c>
      <c r="G21" s="97"/>
      <c r="H21" s="98">
        <v>3000000</v>
      </c>
      <c r="I21" s="98"/>
      <c r="J21" s="99"/>
      <c r="K21" s="384"/>
      <c r="L21" s="99"/>
      <c r="M21" s="100"/>
      <c r="N21" s="101">
        <v>1867481.95</v>
      </c>
      <c r="O21" s="522"/>
      <c r="P21" s="522"/>
      <c r="Q21" s="522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1123571</v>
      </c>
      <c r="G22" s="97"/>
      <c r="H22" s="100">
        <v>1000000</v>
      </c>
      <c r="I22" s="99"/>
      <c r="J22" s="99">
        <v>123571</v>
      </c>
      <c r="K22" s="384"/>
      <c r="L22" s="99"/>
      <c r="M22" s="100"/>
      <c r="N22" s="101">
        <v>1610029.99</v>
      </c>
      <c r="O22" s="522"/>
      <c r="P22" s="522"/>
      <c r="Q22" s="522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20514868</v>
      </c>
      <c r="G23" s="97"/>
      <c r="H23" s="100">
        <v>20453000</v>
      </c>
      <c r="I23" s="99"/>
      <c r="J23" s="99">
        <v>61868</v>
      </c>
      <c r="K23" s="384"/>
      <c r="L23" s="99"/>
      <c r="M23" s="100"/>
      <c r="N23" s="101">
        <v>20313972.14</v>
      </c>
      <c r="O23" s="522"/>
      <c r="P23" s="522"/>
      <c r="Q23" s="522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7700000</v>
      </c>
      <c r="G24" s="97"/>
      <c r="H24" s="100">
        <v>7700000</v>
      </c>
      <c r="I24" s="99"/>
      <c r="J24" s="99"/>
      <c r="K24" s="384"/>
      <c r="L24" s="99"/>
      <c r="M24" s="100"/>
      <c r="N24" s="101">
        <v>6637000</v>
      </c>
      <c r="O24" s="522"/>
      <c r="P24" s="522"/>
      <c r="Q24" s="522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522"/>
      <c r="P25" s="522"/>
      <c r="Q25" s="522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>
        <v>-35629.41</v>
      </c>
      <c r="O26" s="522"/>
      <c r="P26" s="522"/>
      <c r="Q26" s="522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600000</v>
      </c>
      <c r="G27" s="97"/>
      <c r="H27" s="100">
        <v>600000</v>
      </c>
      <c r="I27" s="99"/>
      <c r="J27" s="99"/>
      <c r="K27" s="384"/>
      <c r="L27" s="99"/>
      <c r="M27" s="100"/>
      <c r="N27" s="101">
        <v>553748.64</v>
      </c>
      <c r="O27" s="522"/>
      <c r="P27" s="522"/>
      <c r="Q27" s="522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288770702</v>
      </c>
      <c r="G28" s="81">
        <f aca="true" t="shared" si="3" ref="G28:N28">SUM(G29:G45)</f>
        <v>0</v>
      </c>
      <c r="H28" s="82">
        <f t="shared" si="3"/>
        <v>286224000</v>
      </c>
      <c r="I28" s="83">
        <f t="shared" si="3"/>
        <v>361263</v>
      </c>
      <c r="J28" s="83">
        <f t="shared" si="3"/>
        <v>185439</v>
      </c>
      <c r="K28" s="381">
        <f t="shared" si="3"/>
        <v>0</v>
      </c>
      <c r="L28" s="83">
        <f t="shared" si="3"/>
        <v>0</v>
      </c>
      <c r="M28" s="82">
        <f t="shared" si="3"/>
        <v>2000000</v>
      </c>
      <c r="N28" s="84">
        <f t="shared" si="3"/>
        <v>285371481.33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203235000</v>
      </c>
      <c r="G29" s="86"/>
      <c r="H29" s="324">
        <v>203235000</v>
      </c>
      <c r="I29" s="88"/>
      <c r="J29" s="88"/>
      <c r="K29" s="382"/>
      <c r="L29" s="88"/>
      <c r="M29" s="87"/>
      <c r="N29" s="89">
        <v>196789500</v>
      </c>
      <c r="O29" s="522">
        <v>203235</v>
      </c>
      <c r="P29" s="522">
        <f>H29/1000-Q29</f>
        <v>0</v>
      </c>
      <c r="Q29" s="522">
        <v>203235</v>
      </c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6000000</v>
      </c>
      <c r="G30" s="102"/>
      <c r="H30" s="103">
        <f>H16</f>
        <v>6000000</v>
      </c>
      <c r="I30" s="104"/>
      <c r="J30" s="104"/>
      <c r="K30" s="385"/>
      <c r="L30" s="104"/>
      <c r="M30" s="103"/>
      <c r="N30" s="105">
        <v>5947960</v>
      </c>
      <c r="O30" s="522"/>
      <c r="P30" s="522"/>
      <c r="Q30" s="522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250000</v>
      </c>
      <c r="G31" s="102"/>
      <c r="H31" s="103">
        <f>H17</f>
        <v>250000</v>
      </c>
      <c r="I31" s="104"/>
      <c r="J31" s="104"/>
      <c r="K31" s="385"/>
      <c r="L31" s="104"/>
      <c r="M31" s="103"/>
      <c r="N31" s="105">
        <v>243189</v>
      </c>
      <c r="O31" s="522"/>
      <c r="P31" s="522"/>
      <c r="Q31" s="522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3000000</v>
      </c>
      <c r="G32" s="102"/>
      <c r="H32" s="103">
        <f>H18</f>
        <v>3000000</v>
      </c>
      <c r="I32" s="104"/>
      <c r="J32" s="104"/>
      <c r="K32" s="385"/>
      <c r="L32" s="104"/>
      <c r="M32" s="103"/>
      <c r="N32" s="105">
        <v>2954695.58</v>
      </c>
      <c r="O32" s="522"/>
      <c r="P32" s="522">
        <f>H32/1000-Q32</f>
        <v>3000</v>
      </c>
      <c r="Q32" s="522">
        <v>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2155000</v>
      </c>
      <c r="G33" s="102"/>
      <c r="H33" s="103">
        <f>H19</f>
        <v>2155000</v>
      </c>
      <c r="I33" s="104"/>
      <c r="J33" s="104"/>
      <c r="K33" s="385"/>
      <c r="L33" s="104"/>
      <c r="M33" s="103"/>
      <c r="N33" s="105">
        <v>414000</v>
      </c>
      <c r="O33" s="522"/>
      <c r="P33" s="522">
        <f>H33/1000-Q33</f>
        <v>1737</v>
      </c>
      <c r="Q33" s="522">
        <v>418</v>
      </c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22"/>
      <c r="Q34" s="522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287000</v>
      </c>
      <c r="G35" s="102"/>
      <c r="H35" s="103">
        <f>H20</f>
        <v>287000</v>
      </c>
      <c r="I35" s="104"/>
      <c r="J35" s="104"/>
      <c r="K35" s="385"/>
      <c r="L35" s="104"/>
      <c r="M35" s="103"/>
      <c r="N35" s="105">
        <v>1474000</v>
      </c>
      <c r="O35" s="522"/>
      <c r="P35" s="522"/>
      <c r="Q35" s="522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3000000</v>
      </c>
      <c r="G36" s="102"/>
      <c r="H36" s="103">
        <f>H21</f>
        <v>3000000</v>
      </c>
      <c r="I36" s="104"/>
      <c r="J36" s="104"/>
      <c r="K36" s="385"/>
      <c r="L36" s="104"/>
      <c r="M36" s="103"/>
      <c r="N36" s="105">
        <v>1867481.95</v>
      </c>
      <c r="O36" s="522"/>
      <c r="P36" s="522"/>
      <c r="Q36" s="522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1123571</v>
      </c>
      <c r="G37" s="102"/>
      <c r="H37" s="103">
        <f>H22</f>
        <v>1000000</v>
      </c>
      <c r="I37" s="104"/>
      <c r="J37" s="104">
        <f>J22</f>
        <v>123571</v>
      </c>
      <c r="K37" s="385"/>
      <c r="L37" s="104"/>
      <c r="M37" s="103"/>
      <c r="N37" s="105">
        <v>1521706.27</v>
      </c>
      <c r="O37" s="522"/>
      <c r="P37" s="522"/>
      <c r="Q37" s="522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5544000</v>
      </c>
      <c r="G38" s="102"/>
      <c r="H38" s="103">
        <v>5544000</v>
      </c>
      <c r="I38" s="104"/>
      <c r="J38" s="104"/>
      <c r="K38" s="385"/>
      <c r="L38" s="104"/>
      <c r="M38" s="103"/>
      <c r="N38" s="105">
        <v>4869000</v>
      </c>
      <c r="O38" s="522"/>
      <c r="P38" s="522"/>
      <c r="Q38" s="522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20514868</v>
      </c>
      <c r="G39" s="102"/>
      <c r="H39" s="103">
        <f>H23</f>
        <v>20453000</v>
      </c>
      <c r="I39" s="104"/>
      <c r="J39" s="104">
        <f>J23</f>
        <v>61868</v>
      </c>
      <c r="K39" s="385"/>
      <c r="L39" s="104"/>
      <c r="M39" s="103"/>
      <c r="N39" s="105">
        <v>20313972.14</v>
      </c>
      <c r="O39" s="522"/>
      <c r="P39" s="522"/>
      <c r="Q39" s="522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7700000</v>
      </c>
      <c r="G40" s="102"/>
      <c r="H40" s="103">
        <f>H24</f>
        <v>7700000</v>
      </c>
      <c r="I40" s="104"/>
      <c r="J40" s="104"/>
      <c r="K40" s="385"/>
      <c r="L40" s="104"/>
      <c r="M40" s="103"/>
      <c r="N40" s="105">
        <v>6637000</v>
      </c>
      <c r="O40" s="522"/>
      <c r="P40" s="522"/>
      <c r="Q40" s="522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03">
        <f>H25</f>
        <v>0</v>
      </c>
      <c r="I41" s="104"/>
      <c r="J41" s="104"/>
      <c r="K41" s="385"/>
      <c r="L41" s="104"/>
      <c r="M41" s="103"/>
      <c r="N41" s="105"/>
      <c r="O41" s="522"/>
      <c r="P41" s="522"/>
      <c r="Q41" s="522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>
        <f>H26</f>
        <v>0</v>
      </c>
      <c r="I42" s="104"/>
      <c r="J42" s="104"/>
      <c r="K42" s="385"/>
      <c r="L42" s="104"/>
      <c r="M42" s="103"/>
      <c r="N42" s="105">
        <v>-35629.41</v>
      </c>
      <c r="O42" s="522"/>
      <c r="P42" s="522"/>
      <c r="Q42" s="522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32800000</v>
      </c>
      <c r="G43" s="102"/>
      <c r="H43" s="103">
        <v>32800000</v>
      </c>
      <c r="I43" s="104"/>
      <c r="J43" s="104"/>
      <c r="K43" s="385"/>
      <c r="L43" s="104"/>
      <c r="M43" s="103"/>
      <c r="N43" s="105">
        <v>31882557.24</v>
      </c>
      <c r="O43" s="522"/>
      <c r="P43" s="522"/>
      <c r="Q43" s="522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2361263</v>
      </c>
      <c r="G44" s="102"/>
      <c r="H44" s="106" t="s">
        <v>97</v>
      </c>
      <c r="I44" s="104">
        <f>I15</f>
        <v>361263</v>
      </c>
      <c r="J44" s="104"/>
      <c r="K44" s="385"/>
      <c r="L44" s="426">
        <f>L15</f>
        <v>0</v>
      </c>
      <c r="M44" s="103">
        <f>M14</f>
        <v>2000000</v>
      </c>
      <c r="N44" s="105">
        <v>9887596.94</v>
      </c>
      <c r="O44" s="522"/>
      <c r="P44" s="522"/>
      <c r="Q44" s="522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800000</v>
      </c>
      <c r="G45" s="108"/>
      <c r="H45" s="109">
        <v>800000</v>
      </c>
      <c r="I45" s="110"/>
      <c r="J45" s="110"/>
      <c r="K45" s="386"/>
      <c r="L45" s="110"/>
      <c r="M45" s="109"/>
      <c r="N45" s="111">
        <v>604451.62</v>
      </c>
      <c r="O45" s="522"/>
      <c r="P45" s="522"/>
      <c r="Q45" s="522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32">
        <f>F29+F34+F38+F43+F44+F45-F4-F27</f>
        <v>3000000</v>
      </c>
      <c r="G46" s="113">
        <f>G29+G34+G38+G43+G44+G45+-G4-G27</f>
        <v>0</v>
      </c>
      <c r="H46" s="113">
        <f>H29+H34+H38+H43+H45-H4-H27</f>
        <v>3000000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3792461.6499999915</v>
      </c>
      <c r="O46" s="522"/>
      <c r="P46" s="522"/>
      <c r="Q46" s="522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3000000</v>
      </c>
      <c r="G47" s="81">
        <f aca="true" t="shared" si="4" ref="G47:N47">G28-G3</f>
        <v>0</v>
      </c>
      <c r="H47" s="82">
        <f t="shared" si="4"/>
        <v>3000000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3704137.930000007</v>
      </c>
    </row>
    <row r="48" spans="1:5" ht="12.75">
      <c r="A48" s="47" t="s">
        <v>67</v>
      </c>
      <c r="B48" s="47"/>
      <c r="C48" s="47"/>
      <c r="D48" s="285">
        <v>39876</v>
      </c>
      <c r="E48" s="48"/>
    </row>
    <row r="49" spans="5:17" s="47" customFormat="1" ht="9" customHeight="1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22"/>
      <c r="Q49" s="522"/>
    </row>
    <row r="50" spans="1:17" s="47" customFormat="1" ht="12">
      <c r="A50" s="51" t="s">
        <v>98</v>
      </c>
      <c r="E50" s="48"/>
      <c r="F50" s="133"/>
      <c r="H50" s="59"/>
      <c r="J50" s="200">
        <v>3000000</v>
      </c>
      <c r="M50" s="59"/>
      <c r="N50" s="59"/>
      <c r="O50" s="522"/>
      <c r="P50" s="522"/>
      <c r="Q50" s="522"/>
    </row>
    <row r="51" spans="1:17" s="47" customFormat="1" ht="12">
      <c r="A51" s="51"/>
      <c r="B51" s="51"/>
      <c r="C51" s="51"/>
      <c r="D51" s="51"/>
      <c r="E51" s="48"/>
      <c r="F51" s="25"/>
      <c r="H51" s="59"/>
      <c r="I51" s="59"/>
      <c r="J51" s="59"/>
      <c r="K51" s="59"/>
      <c r="L51" s="59"/>
      <c r="M51" s="59"/>
      <c r="N51" s="59"/>
      <c r="O51" s="522"/>
      <c r="P51" s="522"/>
      <c r="Q51" s="522"/>
    </row>
    <row r="52" spans="1:17" s="59" customFormat="1" ht="12">
      <c r="A52" s="51"/>
      <c r="B52" s="51"/>
      <c r="C52" s="51"/>
      <c r="D52" s="51"/>
      <c r="E52" s="57"/>
      <c r="F52" s="25"/>
      <c r="O52" s="522"/>
      <c r="P52" s="522"/>
      <c r="Q52" s="522"/>
    </row>
    <row r="53" spans="1:17" s="59" customFormat="1" ht="12">
      <c r="A53" s="51"/>
      <c r="B53" s="51"/>
      <c r="C53" s="51"/>
      <c r="D53" s="51"/>
      <c r="E53" s="57"/>
      <c r="F53" s="25"/>
      <c r="O53" s="522"/>
      <c r="P53" s="522"/>
      <c r="Q53" s="522"/>
    </row>
    <row r="54" spans="1:17" s="59" customFormat="1" ht="12">
      <c r="A54" s="51"/>
      <c r="B54" s="51"/>
      <c r="C54" s="51"/>
      <c r="D54" s="51"/>
      <c r="E54" s="57"/>
      <c r="F54" s="25"/>
      <c r="O54" s="522"/>
      <c r="P54" s="522"/>
      <c r="Q54" s="522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3">
      <selection activeCell="A51" sqref="A5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125" style="25" customWidth="1"/>
    <col min="7" max="7" width="1.625" style="0" hidden="1" customWidth="1"/>
    <col min="8" max="8" width="11.25390625" style="59" customWidth="1"/>
    <col min="9" max="12" width="8.00390625" style="59" customWidth="1"/>
    <col min="13" max="13" width="8.125" style="59" customWidth="1"/>
    <col min="14" max="14" width="9.625" style="59" customWidth="1"/>
    <col min="15" max="15" width="10.00390625" style="522" customWidth="1"/>
    <col min="16" max="16" width="7.00390625" style="522" customWidth="1"/>
    <col min="17" max="17" width="7.25390625" style="522" customWidth="1"/>
  </cols>
  <sheetData>
    <row r="1" spans="1:16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  <c r="P1" s="534"/>
    </row>
    <row r="2" spans="1:17" s="16" customFormat="1" ht="13.5" thickBot="1">
      <c r="A2" s="375" t="s">
        <v>149</v>
      </c>
      <c r="B2" s="7"/>
      <c r="C2" s="550" t="s">
        <v>86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2"/>
      <c r="Q2" s="522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92307000</v>
      </c>
      <c r="G3" s="81">
        <f aca="true" t="shared" si="0" ref="G3:N3">SUM(G5:G27)</f>
        <v>0</v>
      </c>
      <c r="H3" s="82">
        <f t="shared" si="0"/>
        <v>89337000</v>
      </c>
      <c r="I3" s="83">
        <f t="shared" si="0"/>
        <v>1700000</v>
      </c>
      <c r="J3" s="83">
        <f t="shared" si="0"/>
        <v>0</v>
      </c>
      <c r="K3" s="381">
        <f t="shared" si="0"/>
        <v>0</v>
      </c>
      <c r="L3" s="83">
        <f t="shared" si="0"/>
        <v>620000</v>
      </c>
      <c r="M3" s="82">
        <f t="shared" si="0"/>
        <v>650000</v>
      </c>
      <c r="N3" s="84">
        <f t="shared" si="0"/>
        <v>87074469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79006000</v>
      </c>
      <c r="G4" s="86">
        <f aca="true" t="shared" si="1" ref="G4:N4">SUM(G5:G15)</f>
        <v>0</v>
      </c>
      <c r="H4" s="87">
        <f t="shared" si="1"/>
        <v>76036000</v>
      </c>
      <c r="I4" s="88">
        <f t="shared" si="1"/>
        <v>1700000</v>
      </c>
      <c r="J4" s="88">
        <f t="shared" si="1"/>
        <v>0</v>
      </c>
      <c r="K4" s="382">
        <f t="shared" si="1"/>
        <v>0</v>
      </c>
      <c r="L4" s="382">
        <f t="shared" si="1"/>
        <v>620000</v>
      </c>
      <c r="M4" s="87">
        <f t="shared" si="1"/>
        <v>650000</v>
      </c>
      <c r="N4" s="89">
        <f t="shared" si="1"/>
        <v>75331249.23</v>
      </c>
      <c r="O4" s="522"/>
      <c r="P4" s="522"/>
      <c r="Q4" s="522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35910720</v>
      </c>
      <c r="G5" s="91"/>
      <c r="H5" s="92">
        <v>34210720</v>
      </c>
      <c r="I5" s="92">
        <v>1700000</v>
      </c>
      <c r="J5" s="93"/>
      <c r="K5" s="383"/>
      <c r="L5" s="93"/>
      <c r="M5" s="94"/>
      <c r="N5" s="95">
        <v>37001459</v>
      </c>
      <c r="O5" s="528"/>
      <c r="P5" s="528"/>
      <c r="Q5" s="528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2788450</v>
      </c>
      <c r="G6" s="91"/>
      <c r="H6" s="92">
        <v>2788450</v>
      </c>
      <c r="I6" s="92"/>
      <c r="J6" s="93"/>
      <c r="K6" s="383"/>
      <c r="L6" s="93"/>
      <c r="M6" s="94"/>
      <c r="N6" s="95">
        <v>2206644</v>
      </c>
      <c r="O6" s="528"/>
      <c r="P6" s="528"/>
      <c r="Q6" s="528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13360166</v>
      </c>
      <c r="G7" s="91"/>
      <c r="H7" s="92">
        <v>13360166</v>
      </c>
      <c r="I7" s="92"/>
      <c r="J7" s="93"/>
      <c r="K7" s="390"/>
      <c r="L7" s="299"/>
      <c r="M7" s="94"/>
      <c r="N7" s="95">
        <v>13790126.66</v>
      </c>
      <c r="O7" s="528"/>
      <c r="P7" s="528"/>
      <c r="Q7" s="528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6478942</v>
      </c>
      <c r="G8" s="91"/>
      <c r="H8" s="92">
        <v>6478942</v>
      </c>
      <c r="I8" s="92"/>
      <c r="J8" s="93"/>
      <c r="K8" s="383"/>
      <c r="L8" s="93"/>
      <c r="M8" s="94"/>
      <c r="N8" s="95">
        <v>3447498.17</v>
      </c>
      <c r="O8" s="528"/>
      <c r="P8" s="528"/>
      <c r="Q8" s="528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755000</v>
      </c>
      <c r="G9" s="91"/>
      <c r="H9" s="92">
        <v>755000</v>
      </c>
      <c r="I9" s="92"/>
      <c r="J9" s="93"/>
      <c r="K9" s="383"/>
      <c r="L9" s="93"/>
      <c r="M9" s="94"/>
      <c r="N9" s="95">
        <v>453849.1</v>
      </c>
      <c r="O9" s="528"/>
      <c r="P9" s="528"/>
      <c r="Q9" s="528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2377032</v>
      </c>
      <c r="G10" s="91"/>
      <c r="H10" s="92">
        <v>2377032</v>
      </c>
      <c r="I10" s="92"/>
      <c r="J10" s="93"/>
      <c r="K10" s="383"/>
      <c r="L10" s="93"/>
      <c r="M10" s="94"/>
      <c r="N10" s="95">
        <v>3005519.98</v>
      </c>
      <c r="O10" s="528"/>
      <c r="P10" s="528"/>
      <c r="Q10" s="528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7998400</v>
      </c>
      <c r="G11" s="91"/>
      <c r="H11" s="92">
        <v>7998400</v>
      </c>
      <c r="I11" s="92"/>
      <c r="J11" s="93"/>
      <c r="K11" s="383"/>
      <c r="L11" s="93"/>
      <c r="M11" s="94"/>
      <c r="N11" s="95">
        <v>6867674.79</v>
      </c>
      <c r="O11" s="528"/>
      <c r="P11" s="528"/>
      <c r="Q11" s="528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1959000</v>
      </c>
      <c r="G12" s="91"/>
      <c r="H12" s="92">
        <v>1959000</v>
      </c>
      <c r="I12" s="92"/>
      <c r="J12" s="93"/>
      <c r="K12" s="383"/>
      <c r="L12" s="93"/>
      <c r="M12" s="94"/>
      <c r="N12" s="95">
        <v>849164.66</v>
      </c>
      <c r="O12" s="528"/>
      <c r="P12" s="528"/>
      <c r="Q12" s="528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2553000</v>
      </c>
      <c r="G13" s="91"/>
      <c r="H13" s="92">
        <v>2553000</v>
      </c>
      <c r="I13" s="92"/>
      <c r="J13" s="93"/>
      <c r="K13" s="383"/>
      <c r="L13" s="93"/>
      <c r="M13" s="94"/>
      <c r="N13" s="95">
        <v>1903160</v>
      </c>
      <c r="O13" s="528"/>
      <c r="P13" s="528"/>
      <c r="Q13" s="528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907000</v>
      </c>
      <c r="G14" s="91"/>
      <c r="H14" s="92">
        <v>257000</v>
      </c>
      <c r="I14" s="92"/>
      <c r="J14" s="93"/>
      <c r="K14" s="383"/>
      <c r="L14" s="93"/>
      <c r="M14" s="333">
        <v>650000</v>
      </c>
      <c r="N14" s="95">
        <v>626398</v>
      </c>
      <c r="O14" s="528"/>
      <c r="P14" s="528"/>
      <c r="Q14" s="528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36">
        <f t="shared" si="2"/>
        <v>3918290</v>
      </c>
      <c r="G15" s="91"/>
      <c r="H15" s="92">
        <v>3298290</v>
      </c>
      <c r="I15" s="92"/>
      <c r="J15" s="93"/>
      <c r="K15" s="383"/>
      <c r="L15" s="93">
        <v>620000</v>
      </c>
      <c r="M15" s="333"/>
      <c r="N15" s="95">
        <v>5179754.87</v>
      </c>
      <c r="O15" s="528"/>
      <c r="P15" s="528"/>
      <c r="Q15" s="528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1600000</v>
      </c>
      <c r="G16" s="97"/>
      <c r="H16" s="98">
        <v>1600000</v>
      </c>
      <c r="I16" s="98"/>
      <c r="J16" s="99"/>
      <c r="K16" s="384"/>
      <c r="L16" s="99"/>
      <c r="M16" s="100"/>
      <c r="N16" s="101">
        <v>1686740</v>
      </c>
      <c r="O16" s="522"/>
      <c r="P16" s="522"/>
      <c r="Q16" s="522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>
        <v>0</v>
      </c>
      <c r="I17" s="98"/>
      <c r="J17" s="99"/>
      <c r="K17" s="384"/>
      <c r="L17" s="99"/>
      <c r="M17" s="100"/>
      <c r="N17" s="101">
        <v>44000</v>
      </c>
      <c r="O17" s="522"/>
      <c r="P17" s="522"/>
      <c r="Q17" s="522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0</v>
      </c>
      <c r="G18" s="97"/>
      <c r="H18" s="98"/>
      <c r="I18" s="98"/>
      <c r="J18" s="99"/>
      <c r="K18" s="384"/>
      <c r="L18" s="99"/>
      <c r="M18" s="100"/>
      <c r="N18" s="101">
        <v>2660200</v>
      </c>
      <c r="O18" s="522"/>
      <c r="P18" s="522"/>
      <c r="Q18" s="522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378000</v>
      </c>
      <c r="G19" s="97"/>
      <c r="H19" s="98">
        <v>378000</v>
      </c>
      <c r="I19" s="98"/>
      <c r="J19" s="99"/>
      <c r="K19" s="384"/>
      <c r="L19" s="99"/>
      <c r="M19" s="100"/>
      <c r="N19" s="101">
        <v>521000</v>
      </c>
      <c r="O19" s="522"/>
      <c r="P19" s="522"/>
      <c r="Q19" s="522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738000</v>
      </c>
      <c r="G20" s="97"/>
      <c r="H20" s="98">
        <v>738000</v>
      </c>
      <c r="I20" s="98"/>
      <c r="J20" s="99"/>
      <c r="K20" s="384"/>
      <c r="L20" s="99"/>
      <c r="M20" s="100"/>
      <c r="N20" s="101">
        <v>444643.07</v>
      </c>
      <c r="O20" s="522"/>
      <c r="P20" s="522"/>
      <c r="Q20" s="522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522"/>
      <c r="P21" s="522"/>
      <c r="Q21" s="522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3500000</v>
      </c>
      <c r="G22" s="97"/>
      <c r="H22" s="100">
        <v>3500000</v>
      </c>
      <c r="I22" s="99"/>
      <c r="J22" s="99"/>
      <c r="K22" s="384"/>
      <c r="L22" s="99"/>
      <c r="M22" s="100"/>
      <c r="N22" s="101">
        <v>3463622.13</v>
      </c>
      <c r="O22" s="522"/>
      <c r="P22" s="522"/>
      <c r="Q22" s="522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522"/>
      <c r="P23" s="522"/>
      <c r="Q23" s="522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743000</v>
      </c>
      <c r="G24" s="97"/>
      <c r="H24" s="100">
        <v>743000</v>
      </c>
      <c r="I24" s="99"/>
      <c r="J24" s="99"/>
      <c r="K24" s="384"/>
      <c r="L24" s="99"/>
      <c r="M24" s="100"/>
      <c r="N24" s="101">
        <v>800000</v>
      </c>
      <c r="O24" s="522"/>
      <c r="P24" s="522"/>
      <c r="Q24" s="522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5572000</v>
      </c>
      <c r="G25" s="97"/>
      <c r="H25" s="100">
        <v>5572000</v>
      </c>
      <c r="I25" s="99"/>
      <c r="J25" s="99"/>
      <c r="K25" s="384"/>
      <c r="L25" s="99"/>
      <c r="M25" s="100"/>
      <c r="N25" s="101">
        <v>1362775.51</v>
      </c>
      <c r="O25" s="522"/>
      <c r="P25" s="522"/>
      <c r="Q25" s="522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522"/>
      <c r="P26" s="522"/>
      <c r="Q26" s="522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770000</v>
      </c>
      <c r="G27" s="97"/>
      <c r="H27" s="100">
        <v>770000</v>
      </c>
      <c r="I27" s="99"/>
      <c r="J27" s="99"/>
      <c r="K27" s="384"/>
      <c r="L27" s="99"/>
      <c r="M27" s="100"/>
      <c r="N27" s="101">
        <v>760239.06</v>
      </c>
      <c r="O27" s="522"/>
      <c r="P27" s="522"/>
      <c r="Q27" s="522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92727000</v>
      </c>
      <c r="G28" s="81">
        <f aca="true" t="shared" si="3" ref="G28:N28">SUM(G29:G45)</f>
        <v>0</v>
      </c>
      <c r="H28" s="82">
        <f t="shared" si="3"/>
        <v>89757000</v>
      </c>
      <c r="I28" s="83">
        <f t="shared" si="3"/>
        <v>1700000</v>
      </c>
      <c r="J28" s="83">
        <f t="shared" si="3"/>
        <v>0</v>
      </c>
      <c r="K28" s="381">
        <f t="shared" si="3"/>
        <v>0</v>
      </c>
      <c r="L28" s="83">
        <f t="shared" si="3"/>
        <v>620000</v>
      </c>
      <c r="M28" s="82">
        <f t="shared" si="3"/>
        <v>650000</v>
      </c>
      <c r="N28" s="84">
        <f t="shared" si="3"/>
        <v>89153183.48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65162000</v>
      </c>
      <c r="G29" s="86"/>
      <c r="H29" s="324">
        <v>65162000</v>
      </c>
      <c r="I29" s="88"/>
      <c r="J29" s="88"/>
      <c r="K29" s="382"/>
      <c r="L29" s="88"/>
      <c r="M29" s="87"/>
      <c r="N29" s="89">
        <v>66410000</v>
      </c>
      <c r="O29" s="522">
        <v>65162</v>
      </c>
      <c r="P29" s="522">
        <f>H29/1000-Q29</f>
        <v>0</v>
      </c>
      <c r="Q29" s="522">
        <v>65162</v>
      </c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1600000</v>
      </c>
      <c r="G30" s="102"/>
      <c r="H30" s="103">
        <f>H16</f>
        <v>1600000</v>
      </c>
      <c r="I30" s="104"/>
      <c r="J30" s="104"/>
      <c r="K30" s="385"/>
      <c r="L30" s="104"/>
      <c r="M30" s="103"/>
      <c r="N30" s="105">
        <v>1686740</v>
      </c>
      <c r="O30" s="522"/>
      <c r="P30" s="522"/>
      <c r="Q30" s="522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>
        <f>H17</f>
        <v>0</v>
      </c>
      <c r="I31" s="104"/>
      <c r="J31" s="104"/>
      <c r="K31" s="385"/>
      <c r="L31" s="104"/>
      <c r="M31" s="103"/>
      <c r="N31" s="105">
        <v>44000</v>
      </c>
      <c r="O31" s="522"/>
      <c r="P31" s="522"/>
      <c r="Q31" s="522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0</v>
      </c>
      <c r="G32" s="102"/>
      <c r="H32" s="103"/>
      <c r="I32" s="104"/>
      <c r="J32" s="104"/>
      <c r="K32" s="385"/>
      <c r="L32" s="104"/>
      <c r="M32" s="103"/>
      <c r="N32" s="105">
        <v>2660200</v>
      </c>
      <c r="O32" s="522"/>
      <c r="P32" s="522">
        <f>H32/1000-Q32</f>
        <v>0</v>
      </c>
      <c r="Q32" s="522">
        <v>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378000</v>
      </c>
      <c r="G33" s="102"/>
      <c r="H33" s="103">
        <f>H19</f>
        <v>378000</v>
      </c>
      <c r="I33" s="104"/>
      <c r="J33" s="104"/>
      <c r="K33" s="385"/>
      <c r="L33" s="104"/>
      <c r="M33" s="103"/>
      <c r="N33" s="105">
        <v>521000</v>
      </c>
      <c r="O33" s="522"/>
      <c r="P33" s="522">
        <f>H33/1000-Q33</f>
        <v>0</v>
      </c>
      <c r="Q33" s="522">
        <v>378</v>
      </c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22"/>
      <c r="Q34" s="522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738000</v>
      </c>
      <c r="G35" s="102"/>
      <c r="H35" s="103">
        <f>H20</f>
        <v>738000</v>
      </c>
      <c r="I35" s="104"/>
      <c r="J35" s="104"/>
      <c r="K35" s="385"/>
      <c r="L35" s="104"/>
      <c r="M35" s="103"/>
      <c r="N35" s="105">
        <v>444643.07</v>
      </c>
      <c r="O35" s="522"/>
      <c r="P35" s="522"/>
      <c r="Q35" s="522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522"/>
      <c r="P36" s="522"/>
      <c r="Q36" s="522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3500000</v>
      </c>
      <c r="G37" s="102"/>
      <c r="H37" s="103">
        <f>H22</f>
        <v>3500000</v>
      </c>
      <c r="I37" s="104"/>
      <c r="J37" s="104"/>
      <c r="K37" s="385"/>
      <c r="L37" s="104"/>
      <c r="M37" s="103"/>
      <c r="N37" s="105">
        <v>3463622.13</v>
      </c>
      <c r="O37" s="522"/>
      <c r="P37" s="522"/>
      <c r="Q37" s="522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254000</v>
      </c>
      <c r="G38" s="102"/>
      <c r="H38" s="103">
        <v>254000</v>
      </c>
      <c r="I38" s="104"/>
      <c r="J38" s="104"/>
      <c r="K38" s="385"/>
      <c r="L38" s="104"/>
      <c r="M38" s="103"/>
      <c r="N38" s="105">
        <v>80000</v>
      </c>
      <c r="O38" s="522"/>
      <c r="P38" s="522"/>
      <c r="Q38" s="522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522"/>
      <c r="P39" s="522"/>
      <c r="Q39" s="522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743000</v>
      </c>
      <c r="G40" s="102"/>
      <c r="H40" s="103">
        <f>H24</f>
        <v>743000</v>
      </c>
      <c r="I40" s="104"/>
      <c r="J40" s="104"/>
      <c r="K40" s="385"/>
      <c r="L40" s="104"/>
      <c r="M40" s="103"/>
      <c r="N40" s="105">
        <v>800000</v>
      </c>
      <c r="O40" s="522"/>
      <c r="P40" s="522"/>
      <c r="Q40" s="522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5572000</v>
      </c>
      <c r="G41" s="102"/>
      <c r="H41" s="103">
        <f>H25</f>
        <v>5572000</v>
      </c>
      <c r="I41" s="104"/>
      <c r="J41" s="104">
        <f>J25</f>
        <v>0</v>
      </c>
      <c r="K41" s="385"/>
      <c r="L41" s="104"/>
      <c r="M41" s="103"/>
      <c r="N41" s="105">
        <v>1362775.51</v>
      </c>
      <c r="O41" s="522"/>
      <c r="P41" s="522"/>
      <c r="Q41" s="522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522"/>
      <c r="P42" s="522"/>
      <c r="Q42" s="522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5">
        <f t="shared" si="2"/>
        <v>10740000</v>
      </c>
      <c r="G43" s="102"/>
      <c r="H43" s="103">
        <v>10740000</v>
      </c>
      <c r="I43" s="104"/>
      <c r="J43" s="104"/>
      <c r="K43" s="385"/>
      <c r="L43" s="104"/>
      <c r="M43" s="282">
        <f>M15</f>
        <v>0</v>
      </c>
      <c r="N43" s="105">
        <v>7290485.79</v>
      </c>
      <c r="O43" s="522"/>
      <c r="P43" s="522"/>
      <c r="Q43" s="522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5">
        <f t="shared" si="2"/>
        <v>2970000</v>
      </c>
      <c r="G44" s="102"/>
      <c r="H44" s="106" t="s">
        <v>97</v>
      </c>
      <c r="I44" s="104">
        <f>I3</f>
        <v>1700000</v>
      </c>
      <c r="J44" s="104"/>
      <c r="K44" s="385">
        <f>K3</f>
        <v>0</v>
      </c>
      <c r="L44" s="104">
        <f>L15</f>
        <v>620000</v>
      </c>
      <c r="M44" s="103">
        <f>M14</f>
        <v>650000</v>
      </c>
      <c r="N44" s="105">
        <v>3317773.78</v>
      </c>
      <c r="O44" s="522"/>
      <c r="P44" s="522"/>
      <c r="Q44" s="522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1070000</v>
      </c>
      <c r="G45" s="108"/>
      <c r="H45" s="109">
        <v>1070000</v>
      </c>
      <c r="I45" s="110"/>
      <c r="J45" s="110"/>
      <c r="K45" s="386"/>
      <c r="L45" s="110"/>
      <c r="M45" s="109"/>
      <c r="N45" s="111">
        <v>1071943.2</v>
      </c>
      <c r="O45" s="522"/>
      <c r="P45" s="522"/>
      <c r="Q45" s="522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32">
        <f>F29+F34+F38+F43+F44+F45-F4-F27</f>
        <v>420000</v>
      </c>
      <c r="G46" s="113">
        <f>G29+G34+G38+G43+G44+G45+-G4-G27</f>
        <v>0</v>
      </c>
      <c r="H46" s="113">
        <f>H29+H34+H38+H43+H45-H4-H27</f>
        <v>420000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2078714.4800000065</v>
      </c>
      <c r="O46" s="522"/>
      <c r="P46" s="522"/>
      <c r="Q46" s="522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420000</v>
      </c>
      <c r="G47" s="81">
        <f aca="true" t="shared" si="4" ref="G47:N47">G28-G3</f>
        <v>0</v>
      </c>
      <c r="H47" s="82">
        <f t="shared" si="4"/>
        <v>420000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2078714.4800000042</v>
      </c>
    </row>
    <row r="48" spans="1:13" ht="12.75">
      <c r="A48" s="47" t="s">
        <v>67</v>
      </c>
      <c r="B48" s="47"/>
      <c r="C48" s="47"/>
      <c r="D48" s="285">
        <v>39881</v>
      </c>
      <c r="E48" s="48"/>
      <c r="F48" s="318"/>
      <c r="G48" s="329"/>
      <c r="H48" s="329"/>
      <c r="I48" s="329"/>
      <c r="J48" s="329"/>
      <c r="K48" s="329"/>
      <c r="L48" s="329"/>
      <c r="M48" s="318"/>
    </row>
    <row r="49" spans="5:17" s="47" customFormat="1" ht="9" customHeight="1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22"/>
      <c r="Q49" s="522"/>
    </row>
    <row r="50" spans="1:17" s="47" customFormat="1" ht="12">
      <c r="A50" s="51" t="s">
        <v>98</v>
      </c>
      <c r="E50" s="48"/>
      <c r="F50" s="133"/>
      <c r="H50" s="59"/>
      <c r="J50" s="428"/>
      <c r="M50" s="59"/>
      <c r="N50" s="59"/>
      <c r="O50" s="522"/>
      <c r="P50" s="522"/>
      <c r="Q50" s="522"/>
    </row>
    <row r="51" spans="5:17" s="329" customFormat="1" ht="12">
      <c r="E51" s="330"/>
      <c r="F51" s="331"/>
      <c r="O51" s="522"/>
      <c r="P51" s="522"/>
      <c r="Q51" s="522"/>
    </row>
    <row r="52" spans="1:17" s="59" customFormat="1" ht="12">
      <c r="A52" s="51"/>
      <c r="B52" s="51"/>
      <c r="C52" s="51"/>
      <c r="D52" s="51"/>
      <c r="E52" s="57"/>
      <c r="F52" s="25"/>
      <c r="O52" s="522"/>
      <c r="P52" s="522"/>
      <c r="Q52" s="522"/>
    </row>
    <row r="53" spans="1:17" s="59" customFormat="1" ht="12">
      <c r="A53" s="51"/>
      <c r="B53" s="51"/>
      <c r="C53" s="51"/>
      <c r="D53" s="51"/>
      <c r="E53" s="57"/>
      <c r="F53" s="25"/>
      <c r="O53" s="522"/>
      <c r="P53" s="522"/>
      <c r="Q53" s="522"/>
    </row>
    <row r="54" spans="1:17" s="59" customFormat="1" ht="12">
      <c r="A54" s="51"/>
      <c r="B54" s="51"/>
      <c r="C54" s="51"/>
      <c r="D54" s="51"/>
      <c r="E54" s="57"/>
      <c r="F54" s="25"/>
      <c r="O54" s="522"/>
      <c r="P54" s="522"/>
      <c r="Q54" s="522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D5" sqref="D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00390625" style="25" customWidth="1"/>
    <col min="7" max="7" width="5.125" style="0" hidden="1" customWidth="1"/>
    <col min="8" max="8" width="10.875" style="154" customWidth="1"/>
    <col min="9" max="12" width="8.00390625" style="59" customWidth="1"/>
    <col min="13" max="13" width="8.125" style="59" customWidth="1"/>
    <col min="14" max="14" width="10.625" style="59" customWidth="1"/>
    <col min="15" max="15" width="9.625" style="317" hidden="1" customWidth="1"/>
    <col min="16" max="16" width="7.125" style="522" customWidth="1"/>
    <col min="17" max="17" width="6.125" style="522" customWidth="1"/>
    <col min="18" max="18" width="7.75390625" style="522" customWidth="1"/>
  </cols>
  <sheetData>
    <row r="1" spans="1:17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160" t="s">
        <v>2</v>
      </c>
      <c r="I1" s="547" t="s">
        <v>3</v>
      </c>
      <c r="J1" s="548"/>
      <c r="K1" s="548"/>
      <c r="L1" s="548"/>
      <c r="M1" s="549"/>
      <c r="N1" s="69" t="s">
        <v>4</v>
      </c>
      <c r="P1" s="535"/>
      <c r="Q1" s="536"/>
    </row>
    <row r="2" spans="1:18" s="16" customFormat="1" ht="13.5" thickBot="1">
      <c r="A2" s="375" t="s">
        <v>149</v>
      </c>
      <c r="B2" s="7"/>
      <c r="C2" s="550" t="s">
        <v>87</v>
      </c>
      <c r="D2" s="551"/>
      <c r="E2" s="9" t="s">
        <v>5</v>
      </c>
      <c r="F2" s="126">
        <v>2009</v>
      </c>
      <c r="G2" s="12" t="s">
        <v>7</v>
      </c>
      <c r="H2" s="161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8"/>
      <c r="P2" s="522"/>
      <c r="Q2" s="522"/>
      <c r="R2" s="522"/>
    </row>
    <row r="3" spans="1:17" ht="13.5" thickBot="1">
      <c r="A3" s="17" t="s">
        <v>13</v>
      </c>
      <c r="B3" s="18"/>
      <c r="C3" s="18"/>
      <c r="D3" s="18"/>
      <c r="E3" s="19">
        <v>1</v>
      </c>
      <c r="F3" s="127">
        <f>SUM(F5:F27)</f>
        <v>164351000</v>
      </c>
      <c r="G3" s="81">
        <f aca="true" t="shared" si="0" ref="G3:N3">SUM(G5:G27)</f>
        <v>0</v>
      </c>
      <c r="H3" s="152">
        <f t="shared" si="0"/>
        <v>158553000</v>
      </c>
      <c r="I3" s="83">
        <f t="shared" si="0"/>
        <v>2453000</v>
      </c>
      <c r="J3" s="83">
        <f t="shared" si="0"/>
        <v>0</v>
      </c>
      <c r="K3" s="381">
        <f t="shared" si="0"/>
        <v>0</v>
      </c>
      <c r="L3" s="83">
        <f t="shared" si="0"/>
        <v>1345000</v>
      </c>
      <c r="M3" s="82">
        <f t="shared" si="0"/>
        <v>2000000</v>
      </c>
      <c r="N3" s="84">
        <f t="shared" si="0"/>
        <v>164177117.4</v>
      </c>
      <c r="P3" s="537"/>
      <c r="Q3" s="537"/>
    </row>
    <row r="4" spans="1:18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130847000</v>
      </c>
      <c r="G4" s="86">
        <f aca="true" t="shared" si="1" ref="G4:N4">SUM(G5:G15)</f>
        <v>0</v>
      </c>
      <c r="H4" s="153">
        <f t="shared" si="1"/>
        <v>125049000</v>
      </c>
      <c r="I4" s="88">
        <f t="shared" si="1"/>
        <v>2453000</v>
      </c>
      <c r="J4" s="88">
        <f t="shared" si="1"/>
        <v>0</v>
      </c>
      <c r="K4" s="382">
        <f t="shared" si="1"/>
        <v>0</v>
      </c>
      <c r="L4" s="382">
        <f t="shared" si="1"/>
        <v>1345000</v>
      </c>
      <c r="M4" s="87">
        <f t="shared" si="1"/>
        <v>2000000</v>
      </c>
      <c r="N4" s="89">
        <f t="shared" si="1"/>
        <v>127347678.61</v>
      </c>
      <c r="O4" s="318">
        <f>SUM(H4:M4)</f>
        <v>130847000</v>
      </c>
      <c r="P4" s="522"/>
      <c r="Q4" s="522"/>
      <c r="R4" s="522"/>
    </row>
    <row r="5" spans="1:18" s="65" customFormat="1" ht="12">
      <c r="A5" s="61"/>
      <c r="B5" s="62"/>
      <c r="C5" s="62" t="s">
        <v>16</v>
      </c>
      <c r="D5" s="63" t="s">
        <v>17</v>
      </c>
      <c r="E5" s="64">
        <v>3</v>
      </c>
      <c r="F5" s="159">
        <f>SUM(H5:M5)</f>
        <v>65000000</v>
      </c>
      <c r="G5" s="91"/>
      <c r="H5" s="334">
        <v>63580000</v>
      </c>
      <c r="I5" s="298">
        <v>1420000</v>
      </c>
      <c r="J5" s="142"/>
      <c r="K5" s="388"/>
      <c r="L5" s="142"/>
      <c r="M5" s="143"/>
      <c r="N5" s="162">
        <v>63034766</v>
      </c>
      <c r="O5" s="319"/>
      <c r="P5" s="528"/>
      <c r="Q5" s="522"/>
      <c r="R5" s="528"/>
    </row>
    <row r="6" spans="1:18" s="65" customFormat="1" ht="12">
      <c r="A6" s="61"/>
      <c r="B6" s="62"/>
      <c r="C6" s="62"/>
      <c r="D6" s="63" t="s">
        <v>18</v>
      </c>
      <c r="E6" s="64">
        <v>4</v>
      </c>
      <c r="F6" s="159">
        <f aca="true" t="shared" si="2" ref="F6:F45">SUM(H6:M6)</f>
        <v>2200000</v>
      </c>
      <c r="G6" s="91"/>
      <c r="H6" s="335">
        <v>2200000</v>
      </c>
      <c r="I6" s="298"/>
      <c r="J6" s="142"/>
      <c r="K6" s="388"/>
      <c r="L6" s="142"/>
      <c r="M6" s="143"/>
      <c r="N6" s="162">
        <v>1961310</v>
      </c>
      <c r="O6" s="319"/>
      <c r="P6" s="528"/>
      <c r="Q6" s="522"/>
      <c r="R6" s="528"/>
    </row>
    <row r="7" spans="1:18" s="65" customFormat="1" ht="12">
      <c r="A7" s="61"/>
      <c r="B7" s="62"/>
      <c r="C7" s="62"/>
      <c r="D7" s="63" t="s">
        <v>19</v>
      </c>
      <c r="E7" s="64">
        <v>5</v>
      </c>
      <c r="F7" s="159">
        <f t="shared" si="2"/>
        <v>23400000</v>
      </c>
      <c r="G7" s="91"/>
      <c r="H7" s="335">
        <v>22889000</v>
      </c>
      <c r="I7" s="298">
        <v>511000</v>
      </c>
      <c r="J7" s="142"/>
      <c r="K7" s="388"/>
      <c r="L7" s="142"/>
      <c r="M7" s="143"/>
      <c r="N7" s="162">
        <v>22888467.45</v>
      </c>
      <c r="O7" s="319"/>
      <c r="P7" s="528"/>
      <c r="Q7" s="522"/>
      <c r="R7" s="528"/>
    </row>
    <row r="8" spans="1:18" s="65" customFormat="1" ht="12">
      <c r="A8" s="61"/>
      <c r="B8" s="62"/>
      <c r="C8" s="62"/>
      <c r="D8" s="63" t="s">
        <v>20</v>
      </c>
      <c r="E8" s="64">
        <v>6</v>
      </c>
      <c r="F8" s="159">
        <f t="shared" si="2"/>
        <v>2900000</v>
      </c>
      <c r="G8" s="91"/>
      <c r="H8" s="335">
        <v>2778000</v>
      </c>
      <c r="I8" s="298">
        <v>122000</v>
      </c>
      <c r="J8" s="142"/>
      <c r="K8" s="388"/>
      <c r="L8" s="142"/>
      <c r="M8" s="143"/>
      <c r="N8" s="162">
        <v>2555600.41</v>
      </c>
      <c r="O8" s="319"/>
      <c r="P8" s="528"/>
      <c r="Q8" s="522"/>
      <c r="R8" s="528"/>
    </row>
    <row r="9" spans="1:18" s="65" customFormat="1" ht="12">
      <c r="A9" s="61"/>
      <c r="B9" s="62"/>
      <c r="C9" s="62"/>
      <c r="D9" s="63" t="s">
        <v>21</v>
      </c>
      <c r="E9" s="64">
        <v>7</v>
      </c>
      <c r="F9" s="159">
        <f t="shared" si="2"/>
        <v>1100000</v>
      </c>
      <c r="G9" s="91"/>
      <c r="H9" s="335">
        <v>1060000</v>
      </c>
      <c r="I9" s="298">
        <v>40000</v>
      </c>
      <c r="J9" s="142"/>
      <c r="K9" s="388"/>
      <c r="L9" s="142"/>
      <c r="M9" s="143"/>
      <c r="N9" s="162">
        <v>1034872.75</v>
      </c>
      <c r="O9" s="319"/>
      <c r="P9" s="528"/>
      <c r="Q9" s="522"/>
      <c r="R9" s="528"/>
    </row>
    <row r="10" spans="1:18" s="65" customFormat="1" ht="12">
      <c r="A10" s="61"/>
      <c r="B10" s="62"/>
      <c r="C10" s="62"/>
      <c r="D10" s="63" t="s">
        <v>22</v>
      </c>
      <c r="E10" s="64">
        <v>8</v>
      </c>
      <c r="F10" s="159">
        <f t="shared" si="2"/>
        <v>5800000</v>
      </c>
      <c r="G10" s="91"/>
      <c r="H10" s="335">
        <v>5640000</v>
      </c>
      <c r="I10" s="298">
        <v>160000</v>
      </c>
      <c r="J10" s="142"/>
      <c r="K10" s="388"/>
      <c r="L10" s="142"/>
      <c r="M10" s="143"/>
      <c r="N10" s="162">
        <v>5924129.56</v>
      </c>
      <c r="O10" s="319"/>
      <c r="P10" s="528"/>
      <c r="Q10" s="522"/>
      <c r="R10" s="528"/>
    </row>
    <row r="11" spans="1:18" s="65" customFormat="1" ht="12">
      <c r="A11" s="61"/>
      <c r="B11" s="62"/>
      <c r="C11" s="62"/>
      <c r="D11" s="63" t="s">
        <v>23</v>
      </c>
      <c r="E11" s="64">
        <v>9</v>
      </c>
      <c r="F11" s="159">
        <f t="shared" si="2"/>
        <v>7000000</v>
      </c>
      <c r="G11" s="91"/>
      <c r="H11" s="335">
        <v>6800000</v>
      </c>
      <c r="I11" s="298">
        <v>200000</v>
      </c>
      <c r="J11" s="142"/>
      <c r="K11" s="388"/>
      <c r="L11" s="142"/>
      <c r="M11" s="143"/>
      <c r="N11" s="162">
        <v>7072232.14</v>
      </c>
      <c r="O11" s="319"/>
      <c r="P11" s="528"/>
      <c r="Q11" s="522"/>
      <c r="R11" s="528"/>
    </row>
    <row r="12" spans="1:18" s="65" customFormat="1" ht="12">
      <c r="A12" s="61"/>
      <c r="B12" s="62"/>
      <c r="C12" s="62"/>
      <c r="D12" s="63" t="s">
        <v>24</v>
      </c>
      <c r="E12" s="64">
        <v>10</v>
      </c>
      <c r="F12" s="159">
        <f t="shared" si="2"/>
        <v>2000000</v>
      </c>
      <c r="G12" s="91"/>
      <c r="H12" s="335">
        <v>2000000</v>
      </c>
      <c r="I12" s="298"/>
      <c r="J12" s="142"/>
      <c r="K12" s="388"/>
      <c r="L12" s="142"/>
      <c r="M12" s="143"/>
      <c r="N12" s="162">
        <v>1537679.35</v>
      </c>
      <c r="O12" s="319"/>
      <c r="P12" s="528"/>
      <c r="Q12" s="522"/>
      <c r="R12" s="528"/>
    </row>
    <row r="13" spans="1:18" s="65" customFormat="1" ht="12">
      <c r="A13" s="61"/>
      <c r="B13" s="62"/>
      <c r="C13" s="62"/>
      <c r="D13" s="63" t="s">
        <v>25</v>
      </c>
      <c r="E13" s="64">
        <v>11</v>
      </c>
      <c r="F13" s="159">
        <f t="shared" si="2"/>
        <v>6800000</v>
      </c>
      <c r="G13" s="91"/>
      <c r="H13" s="335">
        <v>6800000</v>
      </c>
      <c r="I13" s="298"/>
      <c r="J13" s="142"/>
      <c r="K13" s="388"/>
      <c r="L13" s="142"/>
      <c r="M13" s="143"/>
      <c r="N13" s="162">
        <v>6695393.44</v>
      </c>
      <c r="O13" s="319"/>
      <c r="P13" s="528"/>
      <c r="Q13" s="522"/>
      <c r="R13" s="528"/>
    </row>
    <row r="14" spans="1:18" s="65" customFormat="1" ht="12">
      <c r="A14" s="61"/>
      <c r="B14" s="62"/>
      <c r="C14" s="62"/>
      <c r="D14" s="63" t="s">
        <v>26</v>
      </c>
      <c r="E14" s="64">
        <v>12</v>
      </c>
      <c r="F14" s="159">
        <f t="shared" si="2"/>
        <v>4500000</v>
      </c>
      <c r="G14" s="91"/>
      <c r="H14" s="335">
        <v>2500000</v>
      </c>
      <c r="I14" s="298"/>
      <c r="J14" s="142"/>
      <c r="K14" s="388"/>
      <c r="L14" s="142"/>
      <c r="M14" s="94">
        <v>2000000</v>
      </c>
      <c r="N14" s="162">
        <v>3742788</v>
      </c>
      <c r="O14" s="319"/>
      <c r="P14" s="528"/>
      <c r="Q14" s="522"/>
      <c r="R14" s="528"/>
    </row>
    <row r="15" spans="1:18" s="65" customFormat="1" ht="12">
      <c r="A15" s="61"/>
      <c r="B15" s="62"/>
      <c r="C15" s="63"/>
      <c r="D15" s="63" t="s">
        <v>27</v>
      </c>
      <c r="E15" s="64">
        <v>13</v>
      </c>
      <c r="F15" s="159">
        <f t="shared" si="2"/>
        <v>10147000</v>
      </c>
      <c r="G15" s="91"/>
      <c r="H15" s="335">
        <f>10147000-1345000</f>
        <v>8802000</v>
      </c>
      <c r="I15" s="298"/>
      <c r="J15" s="142"/>
      <c r="K15" s="388"/>
      <c r="L15" s="93">
        <v>1345000</v>
      </c>
      <c r="M15" s="143"/>
      <c r="N15" s="162">
        <v>10900439.51</v>
      </c>
      <c r="O15" s="319"/>
      <c r="P15" s="528"/>
      <c r="Q15" s="522"/>
      <c r="R15" s="528"/>
    </row>
    <row r="16" spans="1:18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4500000</v>
      </c>
      <c r="G16" s="97"/>
      <c r="H16" s="175">
        <v>4500000</v>
      </c>
      <c r="I16" s="139"/>
      <c r="J16" s="140"/>
      <c r="K16" s="389"/>
      <c r="L16" s="140"/>
      <c r="M16" s="141"/>
      <c r="N16" s="162">
        <v>4460990</v>
      </c>
      <c r="O16" s="318"/>
      <c r="P16" s="522"/>
      <c r="Q16" s="522"/>
      <c r="R16" s="522"/>
    </row>
    <row r="17" spans="1:18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241000</v>
      </c>
      <c r="G17" s="97"/>
      <c r="H17" s="175">
        <v>241000</v>
      </c>
      <c r="I17" s="139"/>
      <c r="J17" s="140"/>
      <c r="K17" s="389"/>
      <c r="L17" s="140"/>
      <c r="M17" s="141"/>
      <c r="N17" s="162">
        <v>241040</v>
      </c>
      <c r="O17" s="318"/>
      <c r="P17" s="522"/>
      <c r="Q17" s="522"/>
      <c r="R17" s="522"/>
    </row>
    <row r="18" spans="1:18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572000</v>
      </c>
      <c r="G18" s="97"/>
      <c r="H18" s="175">
        <v>572000</v>
      </c>
      <c r="I18" s="139"/>
      <c r="J18" s="140"/>
      <c r="K18" s="389"/>
      <c r="L18" s="140"/>
      <c r="M18" s="141"/>
      <c r="N18" s="162">
        <v>4972745</v>
      </c>
      <c r="O18" s="318"/>
      <c r="P18" s="522"/>
      <c r="Q18" s="522"/>
      <c r="R18" s="522"/>
    </row>
    <row r="19" spans="1:18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52000</v>
      </c>
      <c r="G19" s="97"/>
      <c r="H19" s="175">
        <v>52000</v>
      </c>
      <c r="I19" s="139"/>
      <c r="J19" s="140"/>
      <c r="K19" s="389"/>
      <c r="L19" s="140"/>
      <c r="M19" s="141"/>
      <c r="N19" s="162"/>
      <c r="O19" s="318"/>
      <c r="P19" s="522"/>
      <c r="Q19" s="522"/>
      <c r="R19" s="522"/>
    </row>
    <row r="20" spans="1:18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100000</v>
      </c>
      <c r="G20" s="97"/>
      <c r="H20" s="175">
        <v>100000</v>
      </c>
      <c r="I20" s="139"/>
      <c r="J20" s="140"/>
      <c r="K20" s="389"/>
      <c r="L20" s="140"/>
      <c r="M20" s="141"/>
      <c r="N20" s="162">
        <v>40000</v>
      </c>
      <c r="O20" s="318"/>
      <c r="P20" s="522"/>
      <c r="Q20" s="522"/>
      <c r="R20" s="522"/>
    </row>
    <row r="21" spans="1:18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175">
        <v>0</v>
      </c>
      <c r="I21" s="139"/>
      <c r="J21" s="140"/>
      <c r="K21" s="389"/>
      <c r="L21" s="140"/>
      <c r="M21" s="141"/>
      <c r="N21" s="162"/>
      <c r="O21" s="318"/>
      <c r="P21" s="522"/>
      <c r="Q21" s="522"/>
      <c r="R21" s="522"/>
    </row>
    <row r="22" spans="1:18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75">
        <v>0</v>
      </c>
      <c r="I22" s="139"/>
      <c r="J22" s="140"/>
      <c r="K22" s="389"/>
      <c r="L22" s="140"/>
      <c r="M22" s="141"/>
      <c r="N22" s="162">
        <v>68353.92</v>
      </c>
      <c r="O22" s="318"/>
      <c r="P22" s="522"/>
      <c r="Q22" s="522"/>
      <c r="R22" s="522"/>
    </row>
    <row r="23" spans="1:18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320000</v>
      </c>
      <c r="G23" s="97"/>
      <c r="H23" s="175">
        <v>320000</v>
      </c>
      <c r="I23" s="139"/>
      <c r="J23" s="140"/>
      <c r="K23" s="389"/>
      <c r="L23" s="140"/>
      <c r="M23" s="141"/>
      <c r="N23" s="162">
        <v>375000</v>
      </c>
      <c r="O23" s="318"/>
      <c r="P23" s="522"/>
      <c r="Q23" s="522"/>
      <c r="R23" s="522"/>
    </row>
    <row r="24" spans="1:18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24919000</v>
      </c>
      <c r="G24" s="97"/>
      <c r="H24" s="175">
        <v>24919000</v>
      </c>
      <c r="I24" s="139"/>
      <c r="J24" s="140"/>
      <c r="K24" s="389"/>
      <c r="L24" s="140"/>
      <c r="M24" s="141"/>
      <c r="N24" s="162">
        <v>21944814.8</v>
      </c>
      <c r="O24" s="318"/>
      <c r="P24" s="522"/>
      <c r="Q24" s="522"/>
      <c r="R24" s="522"/>
    </row>
    <row r="25" spans="1:18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75">
        <v>0</v>
      </c>
      <c r="I25" s="139"/>
      <c r="J25" s="140"/>
      <c r="K25" s="389"/>
      <c r="L25" s="140"/>
      <c r="M25" s="141"/>
      <c r="N25" s="162"/>
      <c r="O25" s="318"/>
      <c r="P25" s="522"/>
      <c r="Q25" s="522"/>
      <c r="R25" s="522"/>
    </row>
    <row r="26" spans="1:18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75"/>
      <c r="I26" s="139"/>
      <c r="J26" s="140"/>
      <c r="K26" s="389"/>
      <c r="L26" s="140"/>
      <c r="M26" s="141"/>
      <c r="N26" s="162"/>
      <c r="O26" s="318"/>
      <c r="P26" s="522"/>
      <c r="Q26" s="522"/>
      <c r="R26" s="522"/>
    </row>
    <row r="27" spans="1:18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2800000</v>
      </c>
      <c r="G27" s="97"/>
      <c r="H27" s="176">
        <v>2800000</v>
      </c>
      <c r="I27" s="139"/>
      <c r="J27" s="140"/>
      <c r="K27" s="389"/>
      <c r="L27" s="140"/>
      <c r="M27" s="141"/>
      <c r="N27" s="162">
        <v>4726495.07</v>
      </c>
      <c r="O27" s="318"/>
      <c r="P27" s="522"/>
      <c r="Q27" s="522"/>
      <c r="R27" s="522"/>
    </row>
    <row r="28" spans="1:17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165517000</v>
      </c>
      <c r="G28" s="81">
        <f aca="true" t="shared" si="3" ref="G28:N28">SUM(G29:G45)</f>
        <v>0</v>
      </c>
      <c r="H28" s="158">
        <f t="shared" si="3"/>
        <v>159719000</v>
      </c>
      <c r="I28" s="156">
        <f t="shared" si="3"/>
        <v>2453000</v>
      </c>
      <c r="J28" s="83">
        <f t="shared" si="3"/>
        <v>0</v>
      </c>
      <c r="K28" s="381">
        <f t="shared" si="3"/>
        <v>0</v>
      </c>
      <c r="L28" s="83">
        <f t="shared" si="3"/>
        <v>1345000</v>
      </c>
      <c r="M28" s="82">
        <f t="shared" si="3"/>
        <v>2000000</v>
      </c>
      <c r="N28" s="84">
        <f t="shared" si="3"/>
        <v>165959195.47</v>
      </c>
      <c r="P28" s="537"/>
      <c r="Q28" s="537"/>
    </row>
    <row r="29" spans="1:18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107787000</v>
      </c>
      <c r="G29" s="86"/>
      <c r="H29" s="325">
        <v>107787000</v>
      </c>
      <c r="I29" s="137"/>
      <c r="J29" s="88"/>
      <c r="K29" s="382"/>
      <c r="L29" s="88"/>
      <c r="M29" s="87"/>
      <c r="N29" s="177">
        <v>99782000</v>
      </c>
      <c r="O29" s="316">
        <v>99757000</v>
      </c>
      <c r="P29" s="522">
        <f>H29/1000-Q29</f>
        <v>107787</v>
      </c>
      <c r="Q29" s="522">
        <f>H29/1000-R29</f>
        <v>0</v>
      </c>
      <c r="R29" s="522">
        <v>107787</v>
      </c>
    </row>
    <row r="30" spans="1:18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4500000</v>
      </c>
      <c r="G30" s="102"/>
      <c r="H30" s="174">
        <f>H16</f>
        <v>4500000</v>
      </c>
      <c r="I30" s="157"/>
      <c r="J30" s="104"/>
      <c r="K30" s="385"/>
      <c r="L30" s="104"/>
      <c r="M30" s="103"/>
      <c r="N30" s="178">
        <v>4460990</v>
      </c>
      <c r="O30" s="318"/>
      <c r="P30" s="522"/>
      <c r="Q30" s="522"/>
      <c r="R30" s="522"/>
    </row>
    <row r="31" spans="1:18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241000</v>
      </c>
      <c r="G31" s="102"/>
      <c r="H31" s="174">
        <f>H17</f>
        <v>241000</v>
      </c>
      <c r="I31" s="157"/>
      <c r="J31" s="104"/>
      <c r="K31" s="385"/>
      <c r="L31" s="104"/>
      <c r="M31" s="103"/>
      <c r="N31" s="178">
        <v>241040</v>
      </c>
      <c r="O31" s="318"/>
      <c r="P31" s="522"/>
      <c r="Q31" s="522"/>
      <c r="R31" s="522"/>
    </row>
    <row r="32" spans="1:18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572000</v>
      </c>
      <c r="G32" s="102"/>
      <c r="H32" s="174">
        <f>H18</f>
        <v>572000</v>
      </c>
      <c r="I32" s="157"/>
      <c r="J32" s="104"/>
      <c r="K32" s="385"/>
      <c r="L32" s="104"/>
      <c r="M32" s="103"/>
      <c r="N32" s="178">
        <v>4972745</v>
      </c>
      <c r="O32" s="318">
        <v>1280000</v>
      </c>
      <c r="P32" s="522">
        <v>0</v>
      </c>
      <c r="Q32" s="522">
        <f>H32/1000-R32</f>
        <v>572</v>
      </c>
      <c r="R32" s="522">
        <v>0</v>
      </c>
    </row>
    <row r="33" spans="1:18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52000</v>
      </c>
      <c r="G33" s="102"/>
      <c r="H33" s="174">
        <f>H19</f>
        <v>52000</v>
      </c>
      <c r="I33" s="157"/>
      <c r="J33" s="104"/>
      <c r="K33" s="385"/>
      <c r="L33" s="104"/>
      <c r="M33" s="103"/>
      <c r="N33" s="178"/>
      <c r="O33" s="318"/>
      <c r="P33" s="522"/>
      <c r="Q33" s="522">
        <f>H33/1000-R33</f>
        <v>0</v>
      </c>
      <c r="R33" s="522">
        <v>52</v>
      </c>
    </row>
    <row r="34" spans="1:18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74">
        <v>0</v>
      </c>
      <c r="I34" s="157"/>
      <c r="J34" s="104"/>
      <c r="K34" s="385"/>
      <c r="L34" s="104"/>
      <c r="M34" s="103"/>
      <c r="N34" s="178"/>
      <c r="O34" s="318"/>
      <c r="P34" s="522"/>
      <c r="Q34" s="522"/>
      <c r="R34" s="522"/>
    </row>
    <row r="35" spans="1:18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100000</v>
      </c>
      <c r="G35" s="102"/>
      <c r="H35" s="174">
        <f>H20</f>
        <v>100000</v>
      </c>
      <c r="I35" s="157"/>
      <c r="J35" s="104"/>
      <c r="K35" s="385"/>
      <c r="L35" s="104"/>
      <c r="M35" s="103"/>
      <c r="N35" s="178">
        <v>40000</v>
      </c>
      <c r="O35" s="318"/>
      <c r="P35" s="522"/>
      <c r="Q35" s="522"/>
      <c r="R35" s="522"/>
    </row>
    <row r="36" spans="1:18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74">
        <f>H21</f>
        <v>0</v>
      </c>
      <c r="I36" s="157"/>
      <c r="J36" s="104"/>
      <c r="K36" s="385"/>
      <c r="L36" s="104"/>
      <c r="M36" s="103"/>
      <c r="N36" s="178"/>
      <c r="O36" s="318"/>
      <c r="P36" s="522"/>
      <c r="Q36" s="522"/>
      <c r="R36" s="522"/>
    </row>
    <row r="37" spans="1:18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0</v>
      </c>
      <c r="G37" s="102"/>
      <c r="H37" s="174">
        <f>H22</f>
        <v>0</v>
      </c>
      <c r="I37" s="157"/>
      <c r="J37" s="104"/>
      <c r="K37" s="385"/>
      <c r="L37" s="104"/>
      <c r="M37" s="103"/>
      <c r="N37" s="178">
        <v>68353.92</v>
      </c>
      <c r="O37" s="318"/>
      <c r="P37" s="522"/>
      <c r="Q37" s="522"/>
      <c r="R37" s="522"/>
    </row>
    <row r="38" spans="1:18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5213000</v>
      </c>
      <c r="G38" s="102"/>
      <c r="H38" s="174">
        <v>5213000</v>
      </c>
      <c r="I38" s="157"/>
      <c r="J38" s="104"/>
      <c r="K38" s="385"/>
      <c r="L38" s="104"/>
      <c r="M38" s="103"/>
      <c r="N38" s="178">
        <v>5307000</v>
      </c>
      <c r="O38" s="316">
        <v>5307000</v>
      </c>
      <c r="P38" s="522"/>
      <c r="Q38" s="522"/>
      <c r="R38" s="522"/>
    </row>
    <row r="39" spans="1:18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320000</v>
      </c>
      <c r="G39" s="102"/>
      <c r="H39" s="174">
        <f>H23</f>
        <v>320000</v>
      </c>
      <c r="I39" s="157"/>
      <c r="J39" s="104"/>
      <c r="K39" s="385"/>
      <c r="L39" s="104"/>
      <c r="M39" s="103"/>
      <c r="N39" s="178">
        <v>375000</v>
      </c>
      <c r="O39" s="318">
        <v>0</v>
      </c>
      <c r="P39" s="522"/>
      <c r="Q39" s="522"/>
      <c r="R39" s="522"/>
    </row>
    <row r="40" spans="1:18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24919000</v>
      </c>
      <c r="G40" s="102"/>
      <c r="H40" s="174">
        <f>H24</f>
        <v>24919000</v>
      </c>
      <c r="I40" s="157"/>
      <c r="J40" s="104"/>
      <c r="K40" s="385"/>
      <c r="L40" s="104"/>
      <c r="M40" s="103"/>
      <c r="N40" s="178">
        <v>21944814.8</v>
      </c>
      <c r="O40" s="318">
        <f>17545000+2185000</f>
        <v>19730000</v>
      </c>
      <c r="P40" s="522"/>
      <c r="Q40" s="522"/>
      <c r="R40" s="522"/>
    </row>
    <row r="41" spans="1:18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74">
        <f>H25</f>
        <v>0</v>
      </c>
      <c r="I41" s="157"/>
      <c r="J41" s="104"/>
      <c r="K41" s="385"/>
      <c r="L41" s="104"/>
      <c r="M41" s="103"/>
      <c r="N41" s="178"/>
      <c r="O41" s="318"/>
      <c r="P41" s="522"/>
      <c r="Q41" s="522"/>
      <c r="R41" s="522"/>
    </row>
    <row r="42" spans="1:18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74">
        <f>H26</f>
        <v>0</v>
      </c>
      <c r="I42" s="157"/>
      <c r="J42" s="104"/>
      <c r="K42" s="385"/>
      <c r="L42" s="104"/>
      <c r="M42" s="103"/>
      <c r="N42" s="178"/>
      <c r="O42" s="318"/>
      <c r="P42" s="522"/>
      <c r="Q42" s="522"/>
      <c r="R42" s="522"/>
    </row>
    <row r="43" spans="1:18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12715000</v>
      </c>
      <c r="G43" s="102"/>
      <c r="H43" s="174">
        <v>12715000</v>
      </c>
      <c r="I43" s="157"/>
      <c r="J43" s="104"/>
      <c r="K43" s="385"/>
      <c r="L43" s="104"/>
      <c r="M43" s="103"/>
      <c r="N43" s="178">
        <v>16543903.44</v>
      </c>
      <c r="O43" s="318"/>
      <c r="P43" s="522"/>
      <c r="Q43" s="522"/>
      <c r="R43" s="522"/>
    </row>
    <row r="44" spans="1:18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5798000</v>
      </c>
      <c r="G44" s="102"/>
      <c r="H44" s="326" t="s">
        <v>97</v>
      </c>
      <c r="I44" s="157">
        <f>I3</f>
        <v>2453000</v>
      </c>
      <c r="J44" s="104"/>
      <c r="K44" s="385"/>
      <c r="L44" s="104">
        <f>L3</f>
        <v>1345000</v>
      </c>
      <c r="M44" s="103">
        <f>M4</f>
        <v>2000000</v>
      </c>
      <c r="N44" s="178">
        <v>6578875.83</v>
      </c>
      <c r="O44" s="318"/>
      <c r="P44" s="522"/>
      <c r="Q44" s="522"/>
      <c r="R44" s="522"/>
    </row>
    <row r="45" spans="1:18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3300000</v>
      </c>
      <c r="G45" s="108"/>
      <c r="H45" s="327">
        <v>3300000</v>
      </c>
      <c r="I45" s="220"/>
      <c r="J45" s="110"/>
      <c r="K45" s="386"/>
      <c r="L45" s="110"/>
      <c r="M45" s="109"/>
      <c r="N45" s="179">
        <v>5644472.48</v>
      </c>
      <c r="O45" s="318"/>
      <c r="P45" s="522"/>
      <c r="Q45" s="522"/>
      <c r="R45" s="522"/>
    </row>
    <row r="46" spans="1:18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1166000</v>
      </c>
      <c r="G46" s="113">
        <f>G29+G34+G38+G43+G44+G45+-G4-G27</f>
        <v>0</v>
      </c>
      <c r="H46" s="328">
        <f>H29+H34+H38+H43+H45-H4-H27</f>
        <v>1166000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1782078.0700000003</v>
      </c>
      <c r="O46" s="318"/>
      <c r="P46" s="522"/>
      <c r="Q46" s="522"/>
      <c r="R46" s="522"/>
    </row>
    <row r="47" spans="1:17" ht="13.5" thickBot="1">
      <c r="A47" s="37" t="s">
        <v>66</v>
      </c>
      <c r="B47" s="38"/>
      <c r="C47" s="38"/>
      <c r="D47" s="38"/>
      <c r="E47" s="19">
        <v>45</v>
      </c>
      <c r="F47" s="127">
        <f>F28-F3</f>
        <v>1166000</v>
      </c>
      <c r="G47" s="81">
        <f aca="true" t="shared" si="4" ref="G47:N47">G28-G3</f>
        <v>0</v>
      </c>
      <c r="H47" s="158">
        <f t="shared" si="4"/>
        <v>1166000</v>
      </c>
      <c r="I47" s="156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1782078.0699999928</v>
      </c>
      <c r="P47" s="537"/>
      <c r="Q47" s="537"/>
    </row>
    <row r="48" spans="1:5" ht="12.75">
      <c r="A48" s="47" t="s">
        <v>67</v>
      </c>
      <c r="B48" s="47"/>
      <c r="C48" s="47"/>
      <c r="D48" s="151">
        <v>39885</v>
      </c>
      <c r="E48" s="48"/>
    </row>
    <row r="49" spans="5:18" s="47" customFormat="1" ht="9" customHeight="1">
      <c r="E49" s="48"/>
      <c r="F49" s="25"/>
      <c r="H49" s="154"/>
      <c r="I49" s="59"/>
      <c r="J49" s="59"/>
      <c r="K49" s="59"/>
      <c r="L49" s="59"/>
      <c r="M49" s="59"/>
      <c r="N49" s="59"/>
      <c r="O49" s="318"/>
      <c r="P49" s="522"/>
      <c r="Q49" s="522"/>
      <c r="R49" s="522"/>
    </row>
    <row r="50" spans="1:18" s="47" customFormat="1" ht="12">
      <c r="A50" s="51" t="s">
        <v>98</v>
      </c>
      <c r="E50" s="48"/>
      <c r="F50" s="133"/>
      <c r="H50" s="154"/>
      <c r="I50" s="59"/>
      <c r="J50" s="200"/>
      <c r="K50" s="59"/>
      <c r="L50" s="59"/>
      <c r="M50" s="59"/>
      <c r="N50" s="59"/>
      <c r="O50" s="318"/>
      <c r="P50" s="522"/>
      <c r="Q50" s="522"/>
      <c r="R50" s="522"/>
    </row>
    <row r="51" spans="5:18" s="51" customFormat="1" ht="12">
      <c r="E51" s="53"/>
      <c r="F51" s="134"/>
      <c r="H51" s="155"/>
      <c r="I51" s="75"/>
      <c r="J51" s="75"/>
      <c r="K51" s="75"/>
      <c r="L51" s="75"/>
      <c r="M51" s="75"/>
      <c r="N51" s="75"/>
      <c r="O51" s="318"/>
      <c r="P51" s="522"/>
      <c r="Q51" s="522"/>
      <c r="R51" s="522"/>
    </row>
    <row r="52" spans="5:18" s="51" customFormat="1" ht="12">
      <c r="E52" s="53"/>
      <c r="F52" s="134"/>
      <c r="H52" s="155"/>
      <c r="I52" s="75"/>
      <c r="J52" s="75"/>
      <c r="K52" s="75"/>
      <c r="L52" s="75"/>
      <c r="M52" s="75"/>
      <c r="N52" s="75"/>
      <c r="O52" s="318"/>
      <c r="P52" s="522"/>
      <c r="Q52" s="522"/>
      <c r="R52" s="522"/>
    </row>
    <row r="53" spans="1:18" s="47" customFormat="1" ht="12">
      <c r="A53" s="51"/>
      <c r="B53" s="51"/>
      <c r="C53" s="51"/>
      <c r="D53" s="51"/>
      <c r="E53" s="48"/>
      <c r="F53" s="25"/>
      <c r="H53" s="154"/>
      <c r="I53" s="59"/>
      <c r="J53" s="59"/>
      <c r="K53" s="59"/>
      <c r="L53" s="59"/>
      <c r="M53" s="59"/>
      <c r="N53" s="59"/>
      <c r="O53" s="318"/>
      <c r="P53" s="522"/>
      <c r="Q53" s="522"/>
      <c r="R53" s="522"/>
    </row>
    <row r="54" spans="1:18" s="59" customFormat="1" ht="12">
      <c r="A54" s="51"/>
      <c r="B54" s="51"/>
      <c r="C54" s="51"/>
      <c r="D54" s="51"/>
      <c r="E54" s="57"/>
      <c r="F54" s="25"/>
      <c r="H54" s="154"/>
      <c r="O54" s="317"/>
      <c r="P54" s="522"/>
      <c r="Q54" s="522"/>
      <c r="R54" s="522"/>
    </row>
    <row r="55" spans="1:18" s="59" customFormat="1" ht="12">
      <c r="A55" s="51"/>
      <c r="B55" s="51"/>
      <c r="C55" s="51"/>
      <c r="D55" s="51"/>
      <c r="E55" s="57"/>
      <c r="F55" s="25"/>
      <c r="H55" s="154"/>
      <c r="O55" s="317"/>
      <c r="P55" s="522"/>
      <c r="Q55" s="522"/>
      <c r="R55" s="522"/>
    </row>
    <row r="56" spans="1:18" s="59" customFormat="1" ht="12">
      <c r="A56" s="51"/>
      <c r="B56" s="51"/>
      <c r="C56" s="51"/>
      <c r="D56" s="51"/>
      <c r="E56" s="57"/>
      <c r="F56" s="25"/>
      <c r="H56" s="154"/>
      <c r="O56" s="317"/>
      <c r="P56" s="522"/>
      <c r="Q56" s="522"/>
      <c r="R56" s="522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" bottom="0.23" header="0.1968503937007874" footer="0.17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D5" sqref="D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4.00390625" style="25" customWidth="1"/>
    <col min="7" max="7" width="5.125" style="0" hidden="1" customWidth="1"/>
    <col min="8" max="8" width="12.25390625" style="59" customWidth="1"/>
    <col min="9" max="9" width="9.25390625" style="59" customWidth="1"/>
    <col min="10" max="10" width="8.875" style="59" customWidth="1"/>
    <col min="11" max="12" width="8.00390625" style="59" customWidth="1"/>
    <col min="13" max="13" width="9.375" style="59" customWidth="1"/>
    <col min="14" max="14" width="11.625" style="47" customWidth="1"/>
    <col min="15" max="15" width="7.00390625" style="522" customWidth="1"/>
    <col min="16" max="16" width="7.375" style="522" customWidth="1"/>
    <col min="17" max="17" width="8.875" style="530" customWidth="1"/>
    <col min="18" max="18" width="10.125" style="59" customWidth="1"/>
    <col min="19" max="19" width="8.25390625" style="0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244" t="s">
        <v>4</v>
      </c>
    </row>
    <row r="2" spans="1:18" s="16" customFormat="1" ht="13.5" thickBot="1">
      <c r="A2" s="375" t="s">
        <v>149</v>
      </c>
      <c r="B2" s="7"/>
      <c r="C2" s="550" t="s">
        <v>131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245">
        <v>2008</v>
      </c>
      <c r="O2" s="522"/>
      <c r="P2" s="522"/>
      <c r="Q2" s="530"/>
      <c r="R2" s="59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 aca="true" t="shared" si="0" ref="F3:N3">SUM(F5:F27)</f>
        <v>2866971702</v>
      </c>
      <c r="G3" s="81">
        <f t="shared" si="0"/>
        <v>0</v>
      </c>
      <c r="H3" s="82">
        <f t="shared" si="0"/>
        <v>2754389000</v>
      </c>
      <c r="I3" s="83">
        <f t="shared" si="0"/>
        <v>55732263</v>
      </c>
      <c r="J3" s="83">
        <f t="shared" si="0"/>
        <v>32195439</v>
      </c>
      <c r="K3" s="381">
        <f t="shared" si="0"/>
        <v>0</v>
      </c>
      <c r="L3" s="83">
        <f t="shared" si="0"/>
        <v>0</v>
      </c>
      <c r="M3" s="82">
        <f t="shared" si="0"/>
        <v>24655000</v>
      </c>
      <c r="N3" s="246">
        <f t="shared" si="0"/>
        <v>2778432051.7499995</v>
      </c>
    </row>
    <row r="4" spans="1:18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 aca="true" t="shared" si="1" ref="F4:N4">SUM(F5:F15)</f>
        <v>1898698263</v>
      </c>
      <c r="G4" s="86">
        <f t="shared" si="1"/>
        <v>0</v>
      </c>
      <c r="H4" s="87">
        <f t="shared" si="1"/>
        <v>1816507000</v>
      </c>
      <c r="I4" s="88">
        <f t="shared" si="1"/>
        <v>55732263</v>
      </c>
      <c r="J4" s="88">
        <f t="shared" si="1"/>
        <v>1804000</v>
      </c>
      <c r="K4" s="382">
        <f t="shared" si="1"/>
        <v>0</v>
      </c>
      <c r="L4" s="382">
        <f t="shared" si="1"/>
        <v>0</v>
      </c>
      <c r="M4" s="87">
        <f t="shared" si="1"/>
        <v>24655000</v>
      </c>
      <c r="N4" s="247">
        <f t="shared" si="1"/>
        <v>1822660275.9099998</v>
      </c>
      <c r="O4" s="522"/>
      <c r="P4" s="522"/>
      <c r="Q4" s="530"/>
      <c r="R4" s="59"/>
    </row>
    <row r="5" spans="1:18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 aca="true" t="shared" si="2" ref="F5:F27">SUM(H5:M5)</f>
        <v>895172720</v>
      </c>
      <c r="G5" s="91"/>
      <c r="H5" s="207">
        <f>LF!H5+'FF'!H5+PrF!H5+FSS!H5+PřF!H5+'FI'!H5+PdF!H5+FSpS!H5+ESF!H5</f>
        <v>880895720</v>
      </c>
      <c r="I5" s="150">
        <f>LF!I5+'FF'!I5+PrF!I5+FSS!I5+PřF!I5+'FI'!I5+PdF!I5+FSpS!I5+ESF!I5</f>
        <v>14267000</v>
      </c>
      <c r="J5" s="150">
        <f>LF!J5+'FF'!J5+PrF!J5+FSS!J5+PřF!J5+'FI'!J5+PdF!J5+FSpS!J5+ESF!J5</f>
        <v>10000</v>
      </c>
      <c r="K5" s="377">
        <f>LF!K5+'FF'!K5+PrF!K5+FSS!K5+PřF!K5+'FI'!K5+PdF!K5+FSpS!K5+ESF!K5</f>
        <v>0</v>
      </c>
      <c r="L5" s="150"/>
      <c r="M5" s="208">
        <f>LF!M5+'FF'!M5+PrF!M5+FSS!M5+PřF!M5+'FI'!M5+PdF!M5+FSpS!M5+ESF!M5</f>
        <v>0</v>
      </c>
      <c r="N5" s="248">
        <f>LF!N5+'FF'!N5+PrF!N5+FSS!N5+PřF!N5+'FI'!N5+PdF!N5+FSpS!N5+ESF!N5</f>
        <v>869461581.61</v>
      </c>
      <c r="O5" s="528"/>
      <c r="P5" s="528"/>
      <c r="Q5" s="531"/>
      <c r="R5" s="199"/>
    </row>
    <row r="6" spans="1:18" s="65" customFormat="1" ht="12">
      <c r="A6" s="61"/>
      <c r="B6" s="62"/>
      <c r="C6" s="62"/>
      <c r="D6" s="63" t="s">
        <v>18</v>
      </c>
      <c r="E6" s="64">
        <v>4</v>
      </c>
      <c r="F6" s="129">
        <f t="shared" si="2"/>
        <v>34205450</v>
      </c>
      <c r="G6" s="91"/>
      <c r="H6" s="207">
        <f>LF!H6+'FF'!H6+PrF!H6+FSS!H6+PřF!H6+'FI'!H6+PdF!H6+FSpS!H6+ESF!H6</f>
        <v>34205450</v>
      </c>
      <c r="I6" s="150">
        <f>LF!I6+'FF'!I6+PrF!I6+FSS!I6+PřF!I6+'FI'!I6+PdF!I6+FSpS!I6+ESF!I6</f>
        <v>0</v>
      </c>
      <c r="J6" s="150">
        <f>LF!J6+'FF'!J6+PrF!J6+FSS!J6+PřF!J6+'FI'!J6+PdF!J6+FSpS!J6+ESF!J6</f>
        <v>0</v>
      </c>
      <c r="K6" s="377">
        <f>LF!K6+'FF'!K6+PrF!K6+FSS!K6+PřF!K6+'FI'!K6+PdF!K6+FSpS!K6+ESF!K6</f>
        <v>0</v>
      </c>
      <c r="L6" s="150"/>
      <c r="M6" s="208">
        <f>LF!M6+'FF'!M6+PrF!M6+FSS!M6+PřF!M6+'FI'!M6+PdF!M6+FSpS!M6+ESF!M6</f>
        <v>0</v>
      </c>
      <c r="N6" s="248">
        <f>LF!N6+'FF'!N6+PrF!N6+FSS!N6+PřF!N6+'FI'!N6+PdF!N6+FSpS!N6+ESF!N6</f>
        <v>32231613</v>
      </c>
      <c r="O6" s="528"/>
      <c r="P6" s="528"/>
      <c r="Q6" s="531"/>
      <c r="R6" s="199"/>
    </row>
    <row r="7" spans="1:18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322937166</v>
      </c>
      <c r="G7" s="91"/>
      <c r="H7" s="207">
        <f>LF!H7+'FF'!H7+PrF!H7+FSS!H7+PřF!H7+'FI'!H7+PdF!H7+FSpS!H7+ESF!H7</f>
        <v>321649166</v>
      </c>
      <c r="I7" s="150">
        <f>LF!I7+'FF'!I7+PrF!I7+FSS!I7+PřF!I7+'FI'!I7+PdF!I7+FSpS!I7+ESF!I7</f>
        <v>1284000</v>
      </c>
      <c r="J7" s="150">
        <f>LF!J7+'FF'!J7+PrF!J7+FSS!J7+PřF!J7+'FI'!J7+PdF!J7+FSpS!J7+ESF!J7</f>
        <v>4000</v>
      </c>
      <c r="K7" s="377">
        <f>LF!K7+'FF'!K7+PrF!K7+FSS!K7+PřF!K7+'FI'!K7+PdF!K7+FSpS!K7+ESF!K7</f>
        <v>0</v>
      </c>
      <c r="L7" s="150"/>
      <c r="M7" s="208">
        <f>LF!M7+'FF'!M7+PrF!M7+FSS!M7+PřF!M7+'FI'!M7+PdF!M7+FSpS!M7+ESF!M7</f>
        <v>0</v>
      </c>
      <c r="N7" s="248">
        <f>LF!N7+'FF'!N7+PrF!N7+FSS!N7+PřF!N7+'FI'!N7+PdF!N7+FSpS!N7+ESF!N7</f>
        <v>316942184.28</v>
      </c>
      <c r="O7" s="528"/>
      <c r="P7" s="528"/>
      <c r="Q7" s="531"/>
      <c r="R7" s="199"/>
    </row>
    <row r="8" spans="1:18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83110942</v>
      </c>
      <c r="G8" s="91"/>
      <c r="H8" s="207">
        <f>LF!H8+'FF'!H8+PrF!H8+FSS!H8+PřF!H8+'FI'!H8+PdF!H8+FSpS!H8+ESF!H8</f>
        <v>73737942</v>
      </c>
      <c r="I8" s="150">
        <f>LF!I8+'FF'!I8+PrF!I8+FSS!I8+PřF!I8+'FI'!I8+PdF!I8+FSpS!I8+ESF!I8</f>
        <v>9373000</v>
      </c>
      <c r="J8" s="150">
        <f>LF!J8+'FF'!J8+PrF!J8+FSS!J8+PřF!J8+'FI'!J8+PdF!J8+FSpS!J8+ESF!J8</f>
        <v>0</v>
      </c>
      <c r="K8" s="377">
        <f>LF!K8+'FF'!K8+PrF!K8+FSS!K8+PřF!K8+'FI'!K8+PdF!K8+FSpS!K8+ESF!K8</f>
        <v>0</v>
      </c>
      <c r="L8" s="150"/>
      <c r="M8" s="208">
        <f>LF!M8+'FF'!M8+PrF!M8+FSS!M8+PřF!M8+'FI'!M8+PdF!M8+FSpS!M8+ESF!M8</f>
        <v>0</v>
      </c>
      <c r="N8" s="248">
        <f>LF!N8+'FF'!N8+PrF!N8+FSS!N8+PřF!N8+'FI'!N8+PdF!N8+FSpS!N8+ESF!N8</f>
        <v>54221107.81</v>
      </c>
      <c r="O8" s="528"/>
      <c r="P8" s="528"/>
      <c r="Q8" s="531"/>
      <c r="R8" s="199"/>
    </row>
    <row r="9" spans="1:18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20938000</v>
      </c>
      <c r="G9" s="91"/>
      <c r="H9" s="207">
        <f>LF!H9+'FF'!H9+PrF!H9+FSS!H9+PřF!H9+'FI'!H9+PdF!H9+FSpS!H9+ESF!H9</f>
        <v>18217000</v>
      </c>
      <c r="I9" s="150">
        <f>LF!I9+'FF'!I9+PrF!I9+FSS!I9+PřF!I9+'FI'!I9+PdF!I9+FSpS!I9+ESF!I9</f>
        <v>2721000</v>
      </c>
      <c r="J9" s="150">
        <f>LF!J9+'FF'!J9+PrF!J9+FSS!J9+PřF!J9+'FI'!J9+PdF!J9+FSpS!J9+ESF!J9</f>
        <v>0</v>
      </c>
      <c r="K9" s="377">
        <f>LF!K9+'FF'!K9+PrF!K9+FSS!K9+PřF!K9+'FI'!K9+PdF!K9+FSpS!K9+ESF!K9</f>
        <v>0</v>
      </c>
      <c r="L9" s="150"/>
      <c r="M9" s="208">
        <f>LF!M9+'FF'!M9+PrF!M9+FSS!M9+PřF!M9+'FI'!M9+PdF!M9+FSpS!M9+ESF!M9</f>
        <v>0</v>
      </c>
      <c r="N9" s="248">
        <f>LF!N9+'FF'!N9+PrF!N9+FSS!N9+PřF!N9+'FI'!N9+PdF!N9+FSpS!N9+ESF!N9</f>
        <v>20075785.37</v>
      </c>
      <c r="O9" s="528"/>
      <c r="P9" s="528"/>
      <c r="Q9" s="531"/>
      <c r="R9" s="199"/>
    </row>
    <row r="10" spans="1:18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88529032</v>
      </c>
      <c r="G10" s="91"/>
      <c r="H10" s="207">
        <f>LF!H10+'FF'!H10+PrF!H10+FSS!H10+PřF!H10+'FI'!H10+PdF!H10+FSpS!H10+ESF!H10</f>
        <v>78418032</v>
      </c>
      <c r="I10" s="150">
        <f>LF!I10+'FF'!I10+PrF!I10+FSS!I10+PřF!I10+'FI'!I10+PdF!I10+FSpS!I10+ESF!I10</f>
        <v>10003000</v>
      </c>
      <c r="J10" s="150">
        <f>LF!J10+'FF'!J10+PrF!J10+FSS!J10+PřF!J10+'FI'!J10+PdF!J10+FSpS!J10+ESF!J10</f>
        <v>108000</v>
      </c>
      <c r="K10" s="377">
        <f>LF!K10+'FF'!K10+PrF!K10+FSS!K10+PřF!K10+'FI'!K10+PdF!K10+FSpS!K10+ESF!K10</f>
        <v>0</v>
      </c>
      <c r="L10" s="150"/>
      <c r="M10" s="208">
        <f>LF!M10+'FF'!M10+PrF!M10+FSS!M10+PřF!M10+'FI'!M10+PdF!M10+FSpS!M10+ESF!M10</f>
        <v>0</v>
      </c>
      <c r="N10" s="248">
        <f>LF!N10+'FF'!N10+PrF!N10+FSS!N10+PřF!N10+'FI'!N10+PdF!N10+FSpS!N10+ESF!N10</f>
        <v>82777487.77</v>
      </c>
      <c r="O10" s="528"/>
      <c r="P10" s="528"/>
      <c r="Q10" s="531"/>
      <c r="R10" s="199"/>
    </row>
    <row r="11" spans="1:18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89894400</v>
      </c>
      <c r="G11" s="91"/>
      <c r="H11" s="207">
        <f>LF!H11+'FF'!H11+PrF!H11+FSS!H11+PřF!H11+'FI'!H11+PdF!H11+FSpS!H11+ESF!H11</f>
        <v>85278400</v>
      </c>
      <c r="I11" s="150">
        <f>LF!I11+'FF'!I11+PrF!I11+FSS!I11+PřF!I11+'FI'!I11+PdF!I11+FSpS!I11+ESF!I11</f>
        <v>4557000</v>
      </c>
      <c r="J11" s="150">
        <f>LF!J11+'FF'!J11+PrF!J11+FSS!J11+PřF!J11+'FI'!J11+PdF!J11+FSpS!J11+ESF!J11</f>
        <v>59000</v>
      </c>
      <c r="K11" s="377">
        <f>LF!K11+'FF'!K11+PrF!K11+FSS!K11+PřF!K11+'FI'!K11+PdF!K11+FSpS!K11+ESF!K11</f>
        <v>0</v>
      </c>
      <c r="L11" s="150"/>
      <c r="M11" s="208">
        <f>LF!M11+'FF'!M11+PrF!M11+FSS!M11+PřF!M11+'FI'!M11+PdF!M11+FSpS!M11+ESF!M11</f>
        <v>0</v>
      </c>
      <c r="N11" s="248">
        <f>LF!N11+'FF'!N11+PrF!N11+FSS!N11+PřF!N11+'FI'!N11+PdF!N11+FSpS!N11+ESF!N11</f>
        <v>86570428</v>
      </c>
      <c r="O11" s="528"/>
      <c r="P11" s="528"/>
      <c r="Q11" s="531"/>
      <c r="R11" s="199"/>
    </row>
    <row r="12" spans="1:18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14904000</v>
      </c>
      <c r="G12" s="91"/>
      <c r="H12" s="207">
        <f>LF!H12+'FF'!H12+PrF!H12+FSS!H12+PřF!H12+'FI'!H12+PdF!H12+FSpS!H12+ESF!H12</f>
        <v>14879000</v>
      </c>
      <c r="I12" s="150">
        <f>LF!I12+'FF'!I12+PrF!I12+FSS!I12+PřF!I12+'FI'!I12+PdF!I12+FSpS!I12+ESF!I12</f>
        <v>25000</v>
      </c>
      <c r="J12" s="150">
        <f>LF!J12+'FF'!J12+PrF!J12+FSS!J12+PřF!J12+'FI'!J12+PdF!J12+FSpS!J12+ESF!J12</f>
        <v>0</v>
      </c>
      <c r="K12" s="377">
        <f>LF!K12+'FF'!K12+PrF!K12+FSS!K12+PřF!K12+'FI'!K12+PdF!K12+FSpS!K12+ESF!K12</f>
        <v>0</v>
      </c>
      <c r="L12" s="150"/>
      <c r="M12" s="208">
        <f>LF!M12+'FF'!M12+PrF!M12+FSS!M12+PřF!M12+'FI'!M12+PdF!M12+FSpS!M12+ESF!M12</f>
        <v>0</v>
      </c>
      <c r="N12" s="248">
        <f>LF!N12+'FF'!N12+PrF!N12+FSS!N12+PřF!N12+'FI'!N12+PdF!N12+FSpS!N12+ESF!N12</f>
        <v>11386761.14</v>
      </c>
      <c r="O12" s="528"/>
      <c r="P12" s="528"/>
      <c r="Q12" s="531"/>
      <c r="R12" s="199"/>
    </row>
    <row r="13" spans="1:18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184216000</v>
      </c>
      <c r="G13" s="91"/>
      <c r="H13" s="207">
        <f>LF!H13+'FF'!H13+PrF!H13+FSS!H13+PřF!H13+'FI'!H13+PdF!H13+FSpS!H13+ESF!H13</f>
        <v>181414000</v>
      </c>
      <c r="I13" s="150">
        <f>LF!I13+'FF'!I13+PrF!I13+FSS!I13+PřF!I13+'FI'!I13+PdF!I13+FSpS!I13+ESF!I13</f>
        <v>2802000</v>
      </c>
      <c r="J13" s="150">
        <f>LF!J13+'FF'!J13+PrF!J13+FSS!J13+PřF!J13+'FI'!J13+PdF!J13+FSpS!J13+ESF!J13</f>
        <v>0</v>
      </c>
      <c r="K13" s="377">
        <f>LF!K13+'FF'!K13+PrF!K13+FSS!K13+PřF!K13+'FI'!K13+PdF!K13+FSpS!K13+ESF!K13</f>
        <v>0</v>
      </c>
      <c r="L13" s="150"/>
      <c r="M13" s="208">
        <f>LF!M13+'FF'!M13+PrF!M13+FSS!M13+PřF!M13+'FI'!M13+PdF!M13+FSpS!M13+ESF!M13</f>
        <v>0</v>
      </c>
      <c r="N13" s="248">
        <f>LF!N13+'FF'!N13+PrF!N13+FSS!N13+PřF!N13+'FI'!N13+PdF!N13+FSpS!N13+ESF!N13</f>
        <v>179020509.78</v>
      </c>
      <c r="O13" s="528"/>
      <c r="P13" s="528"/>
      <c r="Q13" s="531"/>
      <c r="R13" s="199"/>
    </row>
    <row r="14" spans="1:18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35264000</v>
      </c>
      <c r="G14" s="91"/>
      <c r="H14" s="207">
        <f>LF!H14+'FF'!H14+PrF!H14+FSS!H14+PřF!H14+'FI'!H14+PdF!H14+FSpS!H14+ESF!H14</f>
        <v>8672000</v>
      </c>
      <c r="I14" s="150">
        <f>LF!I14+'FF'!I14+PrF!I14+FSS!I14+PřF!I14+'FI'!I14+PdF!I14+FSpS!I14+ESF!I14</f>
        <v>1882000</v>
      </c>
      <c r="J14" s="150">
        <f>LF!J14+'FF'!J14+PrF!J14+FSS!J14+PřF!J14+'FI'!J14+PdF!J14+FSpS!J14+ESF!J14</f>
        <v>55000</v>
      </c>
      <c r="K14" s="377">
        <f>LF!K14+'FF'!K14+PrF!K14+FSS!K14+PřF!K14+'FI'!K14+PdF!K14+FSpS!K14+ESF!K14</f>
        <v>0</v>
      </c>
      <c r="L14" s="150"/>
      <c r="M14" s="208">
        <f>LF!M14+'FF'!M14+PrF!M14+FSS!M14+PřF!M14+'FI'!M14+PdF!M14+FSpS!M14+ESF!M14</f>
        <v>24655000</v>
      </c>
      <c r="N14" s="248">
        <f>LF!N14+'FF'!N14+PrF!N14+FSS!N14+PřF!N14+'FI'!N14+PdF!N14+FSpS!N14+ESF!N14</f>
        <v>26689034</v>
      </c>
      <c r="O14" s="528"/>
      <c r="P14" s="528"/>
      <c r="Q14" s="531"/>
      <c r="R14" s="199"/>
    </row>
    <row r="15" spans="1:18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129526553</v>
      </c>
      <c r="G15" s="91"/>
      <c r="H15" s="207">
        <f>LF!H15+'FF'!H15+PrF!H15+FSS!H15+PřF!H15+'FI'!H15+PdF!H15+FSpS!H15+ESF!H15</f>
        <v>119140290</v>
      </c>
      <c r="I15" s="150">
        <f>LF!I15+'FF'!I15+PrF!I15+FSS!I15+PřF!I15+'FI'!I15+PdF!I15+FSpS!I15+ESF!I15</f>
        <v>8818263</v>
      </c>
      <c r="J15" s="150">
        <f>LF!J15+'FF'!J15+PrF!J15+FSS!J15+PřF!J15+'FI'!J15+PdF!J15+FSpS!J15+ESF!J15</f>
        <v>1568000</v>
      </c>
      <c r="K15" s="377">
        <f>LF!K15+'FF'!K15+PrF!K15+FSS!K15+PřF!K15+'FI'!K15+PdF!K15+FSpS!K15+ESF!K15</f>
        <v>0</v>
      </c>
      <c r="L15" s="150"/>
      <c r="M15" s="208">
        <f>LF!M15+'FF'!M15+PrF!M15+FSS!M15+PřF!M15+'FI'!M15+PdF!M15+FSpS!M15+ESF!M15</f>
        <v>0</v>
      </c>
      <c r="N15" s="248">
        <f>LF!N15+'FF'!N15+PrF!N15+FSS!N15+PřF!N15+'FI'!N15+PdF!N15+FSpS!N15+ESF!N15</f>
        <v>143283783.15</v>
      </c>
      <c r="O15" s="528"/>
      <c r="P15" s="528"/>
      <c r="Q15" s="531"/>
      <c r="R15" s="199"/>
    </row>
    <row r="16" spans="1:18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115840000</v>
      </c>
      <c r="G16" s="97"/>
      <c r="H16" s="207">
        <f>LF!H16+'FF'!H16+PrF!H16+FSS!H16+PřF!H16+'FI'!H16+PdF!H16+FSpS!H16+ESF!H16</f>
        <v>115840000</v>
      </c>
      <c r="I16" s="150">
        <f>LF!I16+'FF'!I16+PrF!I16+FSS!I16+PřF!I16+'FI'!I16+PdF!I16+FSpS!I16+ESF!I16</f>
        <v>0</v>
      </c>
      <c r="J16" s="150">
        <f>LF!J16+'FF'!J16+PrF!J16+FSS!J16+PřF!J16+'FI'!J16+PdF!J16+FSpS!J16+ESF!J16</f>
        <v>0</v>
      </c>
      <c r="K16" s="377">
        <f>LF!K16+'FF'!K16+PrF!K16+FSS!K16+PřF!K16+'FI'!K16+PdF!K16+FSpS!K16+ESF!K16</f>
        <v>0</v>
      </c>
      <c r="L16" s="150"/>
      <c r="M16" s="208">
        <f>LF!M16+'FF'!M16+PrF!M16+FSS!M16+PřF!M16+'FI'!M16+PdF!M16+FSpS!M16+ESF!M16</f>
        <v>0</v>
      </c>
      <c r="N16" s="146">
        <f>LF!N16+'FF'!N16+PrF!N16+FSS!N16+PřF!N16+'FI'!N16+PdF!N16+FSpS!N16+ESF!N16</f>
        <v>113189000</v>
      </c>
      <c r="O16" s="522"/>
      <c r="P16" s="522"/>
      <c r="Q16" s="530"/>
      <c r="R16" s="59"/>
    </row>
    <row r="17" spans="1:18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7241000</v>
      </c>
      <c r="G17" s="97"/>
      <c r="H17" s="207">
        <f>LF!H17+'FF'!H17+PrF!H17+FSS!H17+PřF!H17+'FI'!H17+PdF!H17+FSpS!H17+ESF!H17</f>
        <v>7241000</v>
      </c>
      <c r="I17" s="150">
        <f>LF!I17+'FF'!I17+PrF!I17+FSS!I17+PřF!I17+'FI'!I17+PdF!I17+FSpS!I17+ESF!I17</f>
        <v>0</v>
      </c>
      <c r="J17" s="150">
        <f>LF!J17+'FF'!J17+PrF!J17+FSS!J17+PřF!J17+'FI'!J17+PdF!J17+FSpS!J17+ESF!J17</f>
        <v>0</v>
      </c>
      <c r="K17" s="377">
        <f>LF!K17+'FF'!K17+PrF!K17+FSS!K17+PřF!K17+'FI'!K17+PdF!K17+FSpS!K17+ESF!K17</f>
        <v>0</v>
      </c>
      <c r="L17" s="150"/>
      <c r="M17" s="208">
        <f>LF!M17+'FF'!M17+PrF!M17+FSS!M17+PřF!M17+'FI'!M17+PdF!M17+FSpS!M17+ESF!M17</f>
        <v>0</v>
      </c>
      <c r="N17" s="146">
        <f>LF!N17+'FF'!N17+PrF!N17+FSS!N17+PřF!N17+'FI'!N17+PdF!N17+FSpS!N17+ESF!N17</f>
        <v>8958176</v>
      </c>
      <c r="O17" s="522"/>
      <c r="P17" s="522"/>
      <c r="Q17" s="530"/>
      <c r="R17" s="59"/>
    </row>
    <row r="18" spans="1:18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56137000</v>
      </c>
      <c r="G18" s="97"/>
      <c r="H18" s="207">
        <f>LF!H18+'FF'!H18+PrF!H18+FSS!H18+PřF!H18+'FI'!H18+PdF!H18+FSpS!H18+ESF!H18</f>
        <v>56137000</v>
      </c>
      <c r="I18" s="150">
        <f>LF!I18+'FF'!I18+PrF!I18+FSS!I18+PřF!I18+'FI'!I18+PdF!I18+FSpS!I18+ESF!I18</f>
        <v>0</v>
      </c>
      <c r="J18" s="150">
        <f>LF!J18+'FF'!J18+PrF!J18+FSS!J18+PřF!J18+'FI'!J18+PdF!J18+FSpS!J18+ESF!J18</f>
        <v>0</v>
      </c>
      <c r="K18" s="377">
        <f>LF!K18+'FF'!K18+PrF!K18+FSS!K18+PřF!K18+'FI'!K18+PdF!K18+FSpS!K18+ESF!K18</f>
        <v>0</v>
      </c>
      <c r="L18" s="150"/>
      <c r="M18" s="208">
        <f>LF!M18+'FF'!M18+PrF!M18+FSS!M18+PřF!M18+'FI'!M18+PdF!M18+FSpS!M18+ESF!M18</f>
        <v>0</v>
      </c>
      <c r="N18" s="146">
        <f>LF!N18+'FF'!N18+PrF!N18+FSS!N18+PřF!N18+'FI'!N18+PdF!N18+FSpS!N18+ESF!N18</f>
        <v>72566767.35</v>
      </c>
      <c r="O18" s="522"/>
      <c r="P18" s="522"/>
      <c r="Q18" s="530"/>
      <c r="R18" s="59"/>
    </row>
    <row r="19" spans="1:18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7550000</v>
      </c>
      <c r="G19" s="97"/>
      <c r="H19" s="207">
        <f>LF!H19+'FF'!H19+PrF!H19+FSS!H19+PřF!H19+'FI'!H19+PdF!H19+FSpS!H19+ESF!H19</f>
        <v>7550000</v>
      </c>
      <c r="I19" s="150">
        <f>LF!I19+'FF'!I19+PrF!I19+FSS!I19+PřF!I19+'FI'!I19+PdF!I19+FSpS!I19+ESF!I19</f>
        <v>0</v>
      </c>
      <c r="J19" s="150">
        <f>LF!J19+'FF'!J19+PrF!J19+FSS!J19+PřF!J19+'FI'!J19+PdF!J19+FSpS!J19+ESF!J19</f>
        <v>0</v>
      </c>
      <c r="K19" s="377">
        <f>LF!K19+'FF'!K19+PrF!K19+FSS!K19+PřF!K19+'FI'!K19+PdF!K19+FSpS!K19+ESF!K19</f>
        <v>0</v>
      </c>
      <c r="L19" s="150"/>
      <c r="M19" s="208">
        <f>LF!M19+'FF'!M19+PrF!M19+FSS!M19+PřF!M19+'FI'!M19+PdF!M19+FSpS!M19+ESF!M19</f>
        <v>0</v>
      </c>
      <c r="N19" s="146">
        <f>LF!N19+'FF'!N19+PrF!N19+FSS!N19+PřF!N19+'FI'!N19+PdF!N19+FSpS!N19+ESF!N19</f>
        <v>7626363.05</v>
      </c>
      <c r="O19" s="522"/>
      <c r="P19" s="522"/>
      <c r="Q19" s="530"/>
      <c r="R19" s="59"/>
    </row>
    <row r="20" spans="1:18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4625000</v>
      </c>
      <c r="G20" s="97"/>
      <c r="H20" s="207">
        <f>LF!H20+'FF'!H20+PrF!H20+FSS!H20+PřF!H20+'FI'!H20+PdF!H20+FSpS!H20+ESF!H20</f>
        <v>4625000</v>
      </c>
      <c r="I20" s="150">
        <f>LF!I20+'FF'!I20+PrF!I20+FSS!I20+PřF!I20+'FI'!I20+PdF!I20+FSpS!I20+ESF!I20</f>
        <v>0</v>
      </c>
      <c r="J20" s="150">
        <f>LF!J20+'FF'!J20+PrF!J20+FSS!J20+PřF!J20+'FI'!J20+PdF!J20+FSpS!J20+ESF!J20</f>
        <v>0</v>
      </c>
      <c r="K20" s="377">
        <f>LF!K20+'FF'!K20+PrF!K20+FSS!K20+PřF!K20+'FI'!K20+PdF!K20+FSpS!K20+ESF!K20</f>
        <v>0</v>
      </c>
      <c r="L20" s="150"/>
      <c r="M20" s="208">
        <f>LF!M20+'FF'!M20+PrF!M20+FSS!M20+PřF!M20+'FI'!M20+PdF!M20+FSpS!M20+ESF!M20</f>
        <v>0</v>
      </c>
      <c r="N20" s="146">
        <f>LF!N20+'FF'!N20+PrF!N20+FSS!N20+PřF!N20+'FI'!N20+PdF!N20+FSpS!N20+ESF!N20</f>
        <v>3619589.9999999995</v>
      </c>
      <c r="O20" s="522"/>
      <c r="P20" s="522"/>
      <c r="Q20" s="530"/>
      <c r="R20" s="59"/>
    </row>
    <row r="21" spans="1:18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15500000</v>
      </c>
      <c r="G21" s="97"/>
      <c r="H21" s="207">
        <f>LF!H21+'FF'!H21+PrF!H21+FSS!H21+PřF!H21+'FI'!H21+PdF!H21+FSpS!H21+ESF!H21</f>
        <v>15500000</v>
      </c>
      <c r="I21" s="150">
        <f>LF!I21+'FF'!I21+PrF!I21+FSS!I21+PřF!I21+'FI'!I21+PdF!I21+FSpS!I21+ESF!I21</f>
        <v>0</v>
      </c>
      <c r="J21" s="150">
        <f>LF!J21+'FF'!J21+PrF!J21+FSS!J21+PřF!J21+'FI'!J21+PdF!J21+FSpS!J21+ESF!J21</f>
        <v>0</v>
      </c>
      <c r="K21" s="377">
        <f>LF!K21+'FF'!K21+PrF!K21+FSS!K21+PřF!K21+'FI'!K21+PdF!K21+FSpS!K21+ESF!K21</f>
        <v>0</v>
      </c>
      <c r="L21" s="150"/>
      <c r="M21" s="208">
        <f>LF!M21+'FF'!M21+PrF!M21+FSS!M21+PřF!M21+'FI'!M21+PdF!M21+FSpS!M21+ESF!M21</f>
        <v>0</v>
      </c>
      <c r="N21" s="146">
        <f>LF!N21+'FF'!N21+PrF!N21+FSS!N21+PřF!N21+'FI'!N21+PdF!N21+FSpS!N21+ESF!N21</f>
        <v>4457262.71</v>
      </c>
      <c r="O21" s="522"/>
      <c r="P21" s="522"/>
      <c r="Q21" s="530"/>
      <c r="R21" s="59"/>
    </row>
    <row r="22" spans="1:18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18130571</v>
      </c>
      <c r="G22" s="97"/>
      <c r="H22" s="207">
        <f>LF!H22+'FF'!H22+PrF!H22+FSS!H22+PřF!H22+'FI'!H22+PdF!H22+FSpS!H22+ESF!H22</f>
        <v>16680000</v>
      </c>
      <c r="I22" s="150">
        <f>LF!I22+'FF'!I22+PrF!I22+FSS!I22+PřF!I22+'FI'!I22+PdF!I22+FSpS!I22+ESF!I22</f>
        <v>0</v>
      </c>
      <c r="J22" s="150">
        <f>LF!J22+'FF'!J22+PrF!J22+FSS!J22+PřF!J22+'FI'!J22+PdF!J22+FSpS!J22+ESF!J22</f>
        <v>1450571</v>
      </c>
      <c r="K22" s="377">
        <f>LF!K22+'FF'!K22+PrF!K22+FSS!K22+PřF!K22+'FI'!K22+PdF!K22+FSpS!K22+ESF!K22</f>
        <v>0</v>
      </c>
      <c r="L22" s="150"/>
      <c r="M22" s="208">
        <f>LF!M22+'FF'!M22+PrF!M22+FSS!M22+PřF!M22+'FI'!M22+PdF!M22+FSpS!M22+ESF!M22</f>
        <v>0</v>
      </c>
      <c r="N22" s="146">
        <f>LF!N22+'FF'!N22+PrF!N22+FSS!N22+PřF!N22+'FI'!N22+PdF!N22+FSpS!N22+ESF!N22</f>
        <v>20178572.680000003</v>
      </c>
      <c r="O22" s="522"/>
      <c r="P22" s="522"/>
      <c r="Q22" s="530"/>
      <c r="R22" s="59"/>
    </row>
    <row r="23" spans="1:18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330826868</v>
      </c>
      <c r="G23" s="97"/>
      <c r="H23" s="207">
        <f>LF!H23+'FF'!H23+PrF!H23+FSS!H23+PřF!H23+'FI'!H23+PdF!H23+FSpS!H23+ESF!H23</f>
        <v>322912000</v>
      </c>
      <c r="I23" s="150">
        <f>LF!I23+'FF'!I23+PrF!I23+FSS!I23+PřF!I23+'FI'!I23+PdF!I23+FSpS!I23+ESF!I23</f>
        <v>0</v>
      </c>
      <c r="J23" s="150">
        <f>LF!J23+'FF'!J23+PrF!J23+FSS!J23+PřF!J23+'FI'!J23+PdF!J23+FSpS!J23+ESF!J23</f>
        <v>7914868</v>
      </c>
      <c r="K23" s="377">
        <f>LF!K23+'FF'!K23+PrF!K23+FSS!K23+PřF!K23+'FI'!K23+PdF!K23+FSpS!K23+ESF!K23</f>
        <v>0</v>
      </c>
      <c r="L23" s="150"/>
      <c r="M23" s="208">
        <f>LF!M23+'FF'!M23+PrF!M23+FSS!M23+PřF!M23+'FI'!M23+PdF!M23+FSpS!M23+ESF!M23</f>
        <v>0</v>
      </c>
      <c r="N23" s="146">
        <f>LF!N23+'FF'!N23+PrF!N23+FSS!N23+PřF!N23+'FI'!N23+PdF!N23+FSpS!N23+ESF!N23</f>
        <v>323251991.86</v>
      </c>
      <c r="O23" s="522"/>
      <c r="P23" s="522"/>
      <c r="Q23" s="530"/>
      <c r="R23" s="59"/>
    </row>
    <row r="24" spans="1:18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276872000</v>
      </c>
      <c r="G24" s="97"/>
      <c r="H24" s="207">
        <f>LF!H24+'FF'!H24+PrF!H24+FSS!H24+PřF!H24+'FI'!H24+PdF!H24+FSpS!H24+ESF!H24</f>
        <v>274774000</v>
      </c>
      <c r="I24" s="150">
        <f>LF!I24+'FF'!I24+PrF!I24+FSS!I24+PřF!I24+'FI'!I24+PdF!I24+FSpS!I24+ESF!I24</f>
        <v>0</v>
      </c>
      <c r="J24" s="150">
        <f>LF!J24+'FF'!J24+PrF!J24+FSS!J24+PřF!J24+'FI'!J24+PdF!J24+FSpS!J24+ESF!J24</f>
        <v>2098000</v>
      </c>
      <c r="K24" s="377">
        <f>LF!K24+'FF'!K24+PrF!K24+FSS!K24+PřF!K24+'FI'!K24+PdF!K24+FSpS!K24+ESF!K24</f>
        <v>0</v>
      </c>
      <c r="L24" s="150"/>
      <c r="M24" s="208">
        <f>LF!M24+'FF'!M24+PrF!M24+FSS!M24+PřF!M24+'FI'!M24+PdF!M24+FSpS!M24+ESF!M24</f>
        <v>0</v>
      </c>
      <c r="N24" s="146">
        <f>LF!N24+'FF'!N24+PrF!N24+FSS!N24+PřF!N24+'FI'!N24+PdF!N24+FSpS!N24+ESF!N24</f>
        <v>282839956.66</v>
      </c>
      <c r="O24" s="522"/>
      <c r="P24" s="522"/>
      <c r="Q24" s="530"/>
      <c r="R24" s="59"/>
    </row>
    <row r="25" spans="1:18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66401000</v>
      </c>
      <c r="G25" s="97"/>
      <c r="H25" s="207">
        <f>LF!H25+'FF'!H25+PrF!H25+FSS!H25+PřF!H25+'FI'!H25+PdF!H25+FSpS!H25+ESF!H25</f>
        <v>48307000</v>
      </c>
      <c r="I25" s="150">
        <f>LF!I25+'FF'!I25+PrF!I25+FSS!I25+PřF!I25+'FI'!I25+PdF!I25+FSpS!I25+ESF!I25</f>
        <v>0</v>
      </c>
      <c r="J25" s="150">
        <f>LF!J25+'FF'!J25+PrF!J25+FSS!J25+PřF!J25+'FI'!J25+PdF!J25+FSpS!J25+ESF!J25</f>
        <v>18094000</v>
      </c>
      <c r="K25" s="377">
        <f>LF!K25+'FF'!K25+PrF!K25+FSS!K25+PřF!K25+'FI'!K25+PdF!K25+FSpS!K25+ESF!K25</f>
        <v>0</v>
      </c>
      <c r="L25" s="150"/>
      <c r="M25" s="208">
        <f>LF!M25+'FF'!M25+PrF!M25+FSS!M25+PřF!M25+'FI'!M25+PdF!M25+FSpS!M25+ESF!M25</f>
        <v>0</v>
      </c>
      <c r="N25" s="146">
        <f>LF!N25+'FF'!N25+PrF!N25+FSS!N25+PřF!N25+'FI'!N25+PdF!N25+FSpS!N25+ESF!N25</f>
        <v>47404327.41</v>
      </c>
      <c r="O25" s="522"/>
      <c r="P25" s="522"/>
      <c r="Q25" s="530"/>
      <c r="R25" s="59"/>
    </row>
    <row r="26" spans="1:18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40354000</v>
      </c>
      <c r="G26" s="97"/>
      <c r="H26" s="207">
        <f>LF!H26+'FF'!H26+PrF!H26+FSS!H26+PřF!H26+'FI'!H26+PdF!H26+FSpS!H26+ESF!H26</f>
        <v>39520000</v>
      </c>
      <c r="I26" s="150">
        <f>LF!I26+'FF'!I26+PrF!I26+FSS!I26+PřF!I26+'FI'!I26+PdF!I26+FSpS!I26+ESF!I26</f>
        <v>0</v>
      </c>
      <c r="J26" s="150">
        <f>LF!J26+'FF'!J26+PrF!J26+FSS!J26+PřF!J26+'FI'!J26+PdF!J26+FSpS!J26+ESF!J26</f>
        <v>834000</v>
      </c>
      <c r="K26" s="377">
        <f>LF!K26+'FF'!K26+PrF!K26+FSS!K26+PřF!K26+'FI'!K26+PdF!K26+FSpS!K26+ESF!K26</f>
        <v>0</v>
      </c>
      <c r="L26" s="150"/>
      <c r="M26" s="208">
        <f>LF!M26+'FF'!M26+PrF!M26+FSS!M26+PřF!M26+'FI'!M26+PdF!M26+FSpS!M26+ESF!M26</f>
        <v>0</v>
      </c>
      <c r="N26" s="146">
        <f>LF!N26+'FF'!N26+PrF!N26+FSS!N26+PřF!N26+'FI'!N26+PdF!N26+FSpS!N26+ESF!N26</f>
        <v>37743188.940000005</v>
      </c>
      <c r="O26" s="522"/>
      <c r="P26" s="522"/>
      <c r="Q26" s="530"/>
      <c r="R26" s="59"/>
    </row>
    <row r="27" spans="1:18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28796000</v>
      </c>
      <c r="G27" s="97"/>
      <c r="H27" s="207">
        <f>LF!H27+'FF'!H27+PrF!H27+FSS!H27+PřF!H27+'FI'!H27+PdF!H27+FSpS!H27+ESF!H27</f>
        <v>28796000</v>
      </c>
      <c r="I27" s="150">
        <f>LF!I27+'FF'!I27+PrF!I27+FSS!I27+PřF!I27+'FI'!I27+PdF!I27+FSpS!I27+ESF!I27</f>
        <v>0</v>
      </c>
      <c r="J27" s="150">
        <f>LF!J27+'FF'!J27+PrF!J27+FSS!J27+PřF!J27+'FI'!J27+PdF!J27+FSpS!J27+ESF!J27</f>
        <v>0</v>
      </c>
      <c r="K27" s="377">
        <f>LF!K27+'FF'!K27+PrF!K27+FSS!K27+PřF!K27+'FI'!K27+PdF!K27+FSpS!K27+ESF!K27</f>
        <v>0</v>
      </c>
      <c r="L27" s="150"/>
      <c r="M27" s="208">
        <f>LF!M27+'FF'!M27+PrF!M27+FSS!M27+PřF!M27+'FI'!M27+PdF!M27+FSpS!M27+ESF!M27</f>
        <v>0</v>
      </c>
      <c r="N27" s="146">
        <f>LF!N27+'FF'!N27+PrF!N27+FSS!N27+PřF!N27+'FI'!N27+PdF!N27+FSpS!N27+ESF!N27</f>
        <v>33936579.18000001</v>
      </c>
      <c r="O27" s="522"/>
      <c r="P27" s="522"/>
      <c r="Q27" s="530"/>
      <c r="R27" s="59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 aca="true" t="shared" si="3" ref="F28:N28">SUM(F29:F45)</f>
        <v>2881313702</v>
      </c>
      <c r="G28" s="81">
        <f t="shared" si="3"/>
        <v>0</v>
      </c>
      <c r="H28" s="82">
        <f t="shared" si="3"/>
        <v>2768731000</v>
      </c>
      <c r="I28" s="83">
        <f t="shared" si="3"/>
        <v>55732263</v>
      </c>
      <c r="J28" s="83">
        <f t="shared" si="3"/>
        <v>32195439</v>
      </c>
      <c r="K28" s="381">
        <f t="shared" si="3"/>
        <v>0</v>
      </c>
      <c r="L28" s="83">
        <f t="shared" si="3"/>
        <v>0</v>
      </c>
      <c r="M28" s="82">
        <f t="shared" si="3"/>
        <v>24655000</v>
      </c>
      <c r="N28" s="246">
        <f t="shared" si="3"/>
        <v>2827215069.1599994</v>
      </c>
    </row>
    <row r="29" spans="1:18" s="25" customFormat="1" ht="12">
      <c r="A29" s="21" t="s">
        <v>14</v>
      </c>
      <c r="B29" s="27" t="s">
        <v>52</v>
      </c>
      <c r="C29" s="27"/>
      <c r="D29" s="27"/>
      <c r="E29" s="213">
        <v>27</v>
      </c>
      <c r="F29" s="128">
        <f aca="true" t="shared" si="4" ref="F29:F45">SUM(H29:M29)</f>
        <v>1349501000</v>
      </c>
      <c r="G29" s="86"/>
      <c r="H29" s="207">
        <f>LF!H29+'FF'!H29+PrF!H29+FSS!H29+PřF!H29+'FI'!H29+PdF!H29+FSpS!H29+ESF!H29</f>
        <v>1349478000</v>
      </c>
      <c r="I29" s="150">
        <f>LF!I29+'FF'!I29+PrF!I29+FSS!I29+PřF!I29+'FI'!I29+PdF!I29+FSpS!I29+ESF!I29</f>
        <v>0</v>
      </c>
      <c r="J29" s="150">
        <f>LF!J29+'FF'!J29+PrF!J29+FSS!J29+PřF!J29+'FI'!J29+PdF!J29+FSpS!J29+ESF!J29</f>
        <v>23000</v>
      </c>
      <c r="K29" s="377">
        <f>LF!K29+'FF'!K29+PrF!K29+FSS!K29+PřF!K29+'FI'!K29+PdF!K29+FSpS!K29+ESF!K29</f>
        <v>0</v>
      </c>
      <c r="L29" s="150"/>
      <c r="M29" s="208">
        <f>LF!M29+'FF'!M29+PrF!M29+FSS!M29+PřF!M29+'FI'!M29+PdF!M29+FSpS!M29+ESF!M29</f>
        <v>0</v>
      </c>
      <c r="N29" s="247">
        <f>LF!N29+'FF'!N29+PrF!N29+FSS!N29+PřF!N29+'FI'!N29+PdF!N29+FSpS!N29+ESF!N29</f>
        <v>1309876547.94</v>
      </c>
      <c r="O29" s="522"/>
      <c r="P29" s="522">
        <f>H29/1000-Q29</f>
        <v>0</v>
      </c>
      <c r="Q29" s="522">
        <f>(LF!Q29+'FF'!Q29+PrF!Q29+FSS!Q29+PřF!Q29+'FI'!Q29+PdF!Q29+FSpS!Q29+ESF!R29)</f>
        <v>1349478</v>
      </c>
      <c r="R29" s="296"/>
    </row>
    <row r="30" spans="1:18" s="25" customFormat="1" ht="12">
      <c r="A30" s="21"/>
      <c r="B30" s="30" t="s">
        <v>28</v>
      </c>
      <c r="C30" s="30"/>
      <c r="D30" s="30"/>
      <c r="E30" s="213">
        <v>28</v>
      </c>
      <c r="F30" s="130">
        <f t="shared" si="4"/>
        <v>115840000</v>
      </c>
      <c r="G30" s="102"/>
      <c r="H30" s="207">
        <f>LF!H30+'FF'!H30+PrF!H30+FSS!H30+PřF!H30+'FI'!H30+PdF!H30+FSpS!H30+ESF!H30</f>
        <v>115840000</v>
      </c>
      <c r="I30" s="150">
        <f>LF!I30+'FF'!I30+PrF!I30+FSS!I30+PřF!I30+'FI'!I30+PdF!I30+FSpS!I30+ESF!I30</f>
        <v>0</v>
      </c>
      <c r="J30" s="150">
        <f>LF!J30+'FF'!J30+PrF!J30+FSS!J30+PřF!J30+'FI'!J30+PdF!J30+FSpS!J30+ESF!J30</f>
        <v>0</v>
      </c>
      <c r="K30" s="377">
        <f>LF!K30+'FF'!K30+PrF!K30+FSS!K30+PřF!K30+'FI'!K30+PdF!K30+FSpS!K30+ESF!K30</f>
        <v>0</v>
      </c>
      <c r="L30" s="150"/>
      <c r="M30" s="208">
        <f>LF!M30+'FF'!M30+PrF!M30+FSS!M30+PřF!M30+'FI'!M30+PdF!M30+FSpS!M30+ESF!M30</f>
        <v>0</v>
      </c>
      <c r="N30" s="146">
        <f>LF!N30+'FF'!N30+PrF!N30+FSS!N30+PřF!N30+'FI'!N30+PdF!N30+FSpS!N30+ESF!N30</f>
        <v>113189000</v>
      </c>
      <c r="O30" s="538"/>
      <c r="P30" s="522"/>
      <c r="Q30" s="530"/>
      <c r="R30" s="59"/>
    </row>
    <row r="31" spans="1:18" s="25" customFormat="1" ht="12">
      <c r="A31" s="21"/>
      <c r="B31" s="30" t="s">
        <v>30</v>
      </c>
      <c r="C31" s="30"/>
      <c r="D31" s="30"/>
      <c r="E31" s="213">
        <v>29</v>
      </c>
      <c r="F31" s="130">
        <f t="shared" si="4"/>
        <v>7241000</v>
      </c>
      <c r="G31" s="102"/>
      <c r="H31" s="207">
        <f>LF!H31+'FF'!H31+PrF!H31+FSS!H31+PřF!H31+'FI'!H31+PdF!H31+FSpS!H31+ESF!H31</f>
        <v>7241000</v>
      </c>
      <c r="I31" s="150">
        <f>LF!I31+'FF'!I31+PrF!I31+FSS!I31+PřF!I31+'FI'!I31+PdF!I31+FSpS!I31+ESF!I31</f>
        <v>0</v>
      </c>
      <c r="J31" s="150">
        <f>LF!J31+'FF'!J31+PrF!J31+FSS!J31+PřF!J31+'FI'!J31+PdF!J31+FSpS!J31+ESF!J31</f>
        <v>0</v>
      </c>
      <c r="K31" s="377">
        <f>LF!K31+'FF'!K31+PrF!K31+FSS!K31+PřF!K31+'FI'!K31+PdF!K31+FSpS!K31+ESF!K31</f>
        <v>0</v>
      </c>
      <c r="L31" s="150"/>
      <c r="M31" s="208">
        <f>LF!M31+'FF'!M31+PrF!M31+FSS!M31+PřF!M31+'FI'!M31+PdF!M31+FSpS!M31+ESF!M31</f>
        <v>0</v>
      </c>
      <c r="N31" s="146">
        <f>LF!N31+'FF'!N31+PrF!N31+FSS!N31+PřF!N31+'FI'!N31+PdF!N31+FSpS!N31+ESF!N31</f>
        <v>8958176</v>
      </c>
      <c r="O31" s="538"/>
      <c r="P31" s="522"/>
      <c r="Q31" s="530"/>
      <c r="R31" s="59"/>
    </row>
    <row r="32" spans="1:18" s="25" customFormat="1" ht="12">
      <c r="A32" s="21"/>
      <c r="B32" s="31" t="s">
        <v>32</v>
      </c>
      <c r="C32" s="32"/>
      <c r="D32" s="32"/>
      <c r="E32" s="214">
        <v>30</v>
      </c>
      <c r="F32" s="130">
        <f t="shared" si="4"/>
        <v>56137000</v>
      </c>
      <c r="G32" s="102"/>
      <c r="H32" s="207">
        <f>LF!H32+'FF'!H32+PrF!H32+FSS!H32+PřF!H32+'FI'!H32+PdF!H32+FSpS!H32+ESF!H32</f>
        <v>56137000</v>
      </c>
      <c r="I32" s="150">
        <f>LF!I32+'FF'!I32+PrF!I32+FSS!I32+PřF!I32+'FI'!I32+PdF!I32+FSpS!I32+ESF!I32</f>
        <v>0</v>
      </c>
      <c r="J32" s="150">
        <f>LF!J32+'FF'!J32+PrF!J32+FSS!J32+PřF!J32+'FI'!J32+PdF!J32+FSpS!J32+ESF!J32</f>
        <v>0</v>
      </c>
      <c r="K32" s="377">
        <f>LF!K32+'FF'!K32+PrF!K32+FSS!K32+PřF!K32+'FI'!K32+PdF!K32+FSpS!K32+ESF!K32</f>
        <v>0</v>
      </c>
      <c r="L32" s="150"/>
      <c r="M32" s="208">
        <f>LF!M32+'FF'!M32+PrF!M32+FSS!M32+PřF!M32+'FI'!M32+PdF!M32+FSpS!M32+ESF!M32</f>
        <v>0</v>
      </c>
      <c r="N32" s="146">
        <f>LF!N32+'FF'!N32+PrF!N32+FSS!N32+PřF!N32+'FI'!N32+PdF!N32+FSpS!N32+ESF!N32</f>
        <v>72566767.35</v>
      </c>
      <c r="O32" s="538"/>
      <c r="P32" s="522">
        <f>H32/1000-Q32</f>
        <v>18141</v>
      </c>
      <c r="Q32" s="522">
        <f>LF!Q32+'FF'!Q32+PrF!Q32+FSS!Q32+PřF!Q32+'FI'!Q32+PdF!Q32+FSpS!Q32+ESF!R32</f>
        <v>37996</v>
      </c>
      <c r="R32" s="59"/>
    </row>
    <row r="33" spans="1:18" s="25" customFormat="1" ht="12">
      <c r="A33" s="21"/>
      <c r="B33" s="31" t="s">
        <v>34</v>
      </c>
      <c r="C33" s="31"/>
      <c r="D33" s="31"/>
      <c r="E33" s="214">
        <v>31</v>
      </c>
      <c r="F33" s="130">
        <f t="shared" si="4"/>
        <v>7550000</v>
      </c>
      <c r="G33" s="102"/>
      <c r="H33" s="207">
        <f>LF!H33+'FF'!H33+PrF!H33+FSS!H33+PřF!H33+'FI'!H33+PdF!H33+FSpS!H33+ESF!H33</f>
        <v>7550000</v>
      </c>
      <c r="I33" s="150">
        <f>LF!I33+'FF'!I33+PrF!I33+FSS!I33+PřF!I33+'FI'!I33+PdF!I33+FSpS!I33+ESF!I33</f>
        <v>0</v>
      </c>
      <c r="J33" s="150">
        <f>LF!J33+'FF'!J33+PrF!J33+FSS!J33+PřF!J33+'FI'!J33+PdF!J33+FSpS!J33+ESF!J33</f>
        <v>0</v>
      </c>
      <c r="K33" s="377">
        <f>LF!K33+'FF'!K33+PrF!K33+FSS!K33+PřF!K33+'FI'!K33+PdF!K33+FSpS!K33+ESF!K33</f>
        <v>0</v>
      </c>
      <c r="L33" s="150"/>
      <c r="M33" s="208">
        <f>LF!M33+'FF'!M33+PrF!M33+FSS!M33+PřF!M33+'FI'!M33+PdF!M33+FSpS!M33+ESF!M33</f>
        <v>0</v>
      </c>
      <c r="N33" s="146">
        <f>LF!N33+'FF'!N33+PrF!N33+FSS!N33+PřF!N33+'FI'!N33+PdF!N33+FSpS!N33+ESF!N33</f>
        <v>7626363.05</v>
      </c>
      <c r="O33" s="538"/>
      <c r="P33" s="522">
        <f>H33/1000-Q33</f>
        <v>1802</v>
      </c>
      <c r="Q33" s="522">
        <f>LF!Q33+'FF'!Q33+PrF!Q33+FSS!Q33+PřF!Q33+'FI'!Q33+PdF!Q33+FSpS!Q33+ESF!R33</f>
        <v>5748</v>
      </c>
      <c r="R33" s="59"/>
    </row>
    <row r="34" spans="1:18" s="25" customFormat="1" ht="12">
      <c r="A34" s="21"/>
      <c r="B34" s="31" t="s">
        <v>54</v>
      </c>
      <c r="C34" s="31"/>
      <c r="D34" s="31"/>
      <c r="E34" s="214">
        <v>32</v>
      </c>
      <c r="F34" s="130">
        <f t="shared" si="4"/>
        <v>0</v>
      </c>
      <c r="G34" s="102"/>
      <c r="H34" s="207">
        <f>LF!H34+'FF'!H34+PrF!H34+FSS!H34+PřF!H34+'FI'!H34+PdF!H34+FSpS!H34+ESF!H34</f>
        <v>0</v>
      </c>
      <c r="I34" s="150">
        <f>LF!I34+'FF'!I34+PrF!I34+FSS!I34+PřF!I34+'FI'!I34+PdF!I34+FSpS!I34+ESF!I34</f>
        <v>0</v>
      </c>
      <c r="J34" s="150">
        <f>LF!J34+'FF'!J34+PrF!J34+FSS!J34+PřF!J34+'FI'!J34+PdF!J34+FSpS!J34+ESF!J34</f>
        <v>0</v>
      </c>
      <c r="K34" s="377">
        <f>LF!K34+'FF'!K34+PrF!K34+FSS!K34+PřF!K34+'FI'!K34+PdF!K34+FSpS!K34+ESF!K34</f>
        <v>0</v>
      </c>
      <c r="L34" s="150"/>
      <c r="M34" s="208">
        <f>LF!M34+'FF'!M34+PrF!M34+FSS!M34+PřF!M34+'FI'!M34+PdF!M34+FSpS!M34+ESF!M34</f>
        <v>0</v>
      </c>
      <c r="N34" s="146">
        <f>LF!N34+'FF'!N34+PrF!N34+FSS!N34+PřF!N34+'FI'!N34+PdF!N34+FSpS!N34+ESF!N34</f>
        <v>0</v>
      </c>
      <c r="O34" s="538"/>
      <c r="P34" s="522"/>
      <c r="Q34" s="530"/>
      <c r="R34" s="59"/>
    </row>
    <row r="35" spans="1:18" s="25" customFormat="1" ht="12">
      <c r="A35" s="21"/>
      <c r="B35" s="31" t="s">
        <v>36</v>
      </c>
      <c r="C35" s="31"/>
      <c r="D35" s="31"/>
      <c r="E35" s="214">
        <v>33</v>
      </c>
      <c r="F35" s="130">
        <f t="shared" si="4"/>
        <v>4625000</v>
      </c>
      <c r="G35" s="102"/>
      <c r="H35" s="207">
        <f>LF!H35+'FF'!H35+PrF!H35+FSS!H35+PřF!H35+'FI'!H35+PdF!H35+FSpS!H35+ESF!H35</f>
        <v>4625000</v>
      </c>
      <c r="I35" s="150">
        <f>LF!I35+'FF'!I35+PrF!I35+FSS!I35+PřF!I35+'FI'!I35+PdF!I35+FSpS!I35+ESF!I35</f>
        <v>0</v>
      </c>
      <c r="J35" s="150">
        <f>LF!J35+'FF'!J35+PrF!J35+FSS!J35+PřF!J35+'FI'!J35+PdF!J35+FSpS!J35+ESF!J35</f>
        <v>0</v>
      </c>
      <c r="K35" s="377">
        <f>LF!K35+'FF'!K35+PrF!K35+FSS!K35+PřF!K35+'FI'!K35+PdF!K35+FSpS!K35+ESF!K35</f>
        <v>0</v>
      </c>
      <c r="L35" s="150"/>
      <c r="M35" s="208">
        <f>LF!M35+'FF'!M35+PrF!M35+FSS!M35+PřF!M35+'FI'!M35+PdF!M35+FSpS!M35+ESF!M35</f>
        <v>0</v>
      </c>
      <c r="N35" s="146">
        <f>LF!N35+'FF'!N35+PrF!N35+FSS!N35+PřF!N35+'FI'!N35+PdF!N35+FSpS!N35+ESF!N35</f>
        <v>3619589.9999999995</v>
      </c>
      <c r="O35" s="538"/>
      <c r="P35" s="522"/>
      <c r="Q35" s="530"/>
      <c r="R35" s="59"/>
    </row>
    <row r="36" spans="1:18" s="25" customFormat="1" ht="12">
      <c r="A36" s="21"/>
      <c r="B36" s="31" t="s">
        <v>38</v>
      </c>
      <c r="C36" s="31"/>
      <c r="D36" s="31"/>
      <c r="E36" s="214">
        <v>34</v>
      </c>
      <c r="F36" s="130">
        <f t="shared" si="4"/>
        <v>15939000</v>
      </c>
      <c r="G36" s="102"/>
      <c r="H36" s="207">
        <f>LF!H36+'FF'!H36+PrF!H36+FSS!H36+PřF!H36+'FI'!H36+PdF!H36+FSpS!H36+ESF!H36</f>
        <v>15500000</v>
      </c>
      <c r="I36" s="150">
        <f>LF!I36+'FF'!I36+PrF!I36+FSS!I36+PřF!I36+'FI'!I36+PdF!I36+FSpS!I36+ESF!I36</f>
        <v>0</v>
      </c>
      <c r="J36" s="150">
        <f>LF!J36+'FF'!J36+PrF!J36+FSS!J36+PřF!J36+'FI'!J36+PdF!J36+FSpS!J36+ESF!J36</f>
        <v>439000</v>
      </c>
      <c r="K36" s="377">
        <f>LF!K36+'FF'!K36+PrF!K36+FSS!K36+PřF!K36+'FI'!K36+PdF!K36+FSpS!K36+ESF!K36</f>
        <v>0</v>
      </c>
      <c r="L36" s="150"/>
      <c r="M36" s="208">
        <f>LF!M36+'FF'!M36+PrF!M36+FSS!M36+PřF!M36+'FI'!M36+PdF!M36+FSpS!M36+ESF!M36</f>
        <v>0</v>
      </c>
      <c r="N36" s="146">
        <f>LF!N36+'FF'!N36+PrF!N36+FSS!N36+PřF!N36+'FI'!N36+PdF!N36+FSpS!N36+ESF!N36</f>
        <v>4457262.71</v>
      </c>
      <c r="O36" s="538"/>
      <c r="P36" s="522"/>
      <c r="Q36" s="530"/>
      <c r="R36" s="59"/>
    </row>
    <row r="37" spans="1:18" s="25" customFormat="1" ht="12">
      <c r="A37" s="21"/>
      <c r="B37" s="31" t="s">
        <v>56</v>
      </c>
      <c r="C37" s="31"/>
      <c r="D37" s="31"/>
      <c r="E37" s="214">
        <v>35</v>
      </c>
      <c r="F37" s="130">
        <f t="shared" si="4"/>
        <v>17691571</v>
      </c>
      <c r="G37" s="102"/>
      <c r="H37" s="207">
        <f>LF!H37+'FF'!H37+PrF!H37+FSS!H37+PřF!H37+'FI'!H37+PdF!H37+FSpS!H37+ESF!H37</f>
        <v>16680000</v>
      </c>
      <c r="I37" s="150">
        <f>LF!I37+'FF'!I37+PrF!I37+FSS!I37+PřF!I37+'FI'!I37+PdF!I37+FSpS!I37+ESF!I37</f>
        <v>0</v>
      </c>
      <c r="J37" s="150">
        <f>LF!J37+'FF'!J37+PrF!J37+FSS!J37+PřF!J37+'FI'!J37+PdF!J37+FSpS!J37+ESF!J37</f>
        <v>1011571</v>
      </c>
      <c r="K37" s="377">
        <f>LF!K37+'FF'!K37+PrF!K37+FSS!K37+PřF!K37+'FI'!K37+PdF!K37+FSpS!K37+ESF!K37</f>
        <v>0</v>
      </c>
      <c r="L37" s="150"/>
      <c r="M37" s="208">
        <f>LF!M37+'FF'!M37+PrF!M37+FSS!M37+PřF!M37+'FI'!M37+PdF!M37+FSpS!M37+ESF!M37</f>
        <v>0</v>
      </c>
      <c r="N37" s="146">
        <f>LF!N37+'FF'!N37+PrF!N37+FSS!N37+PřF!N37+'FI'!N37+PdF!N37+FSpS!N37+ESF!N37</f>
        <v>20173368.75</v>
      </c>
      <c r="O37" s="538"/>
      <c r="P37" s="522"/>
      <c r="Q37" s="530"/>
      <c r="R37" s="59"/>
    </row>
    <row r="38" spans="1:18" s="25" customFormat="1" ht="12">
      <c r="A38" s="21"/>
      <c r="B38" s="31" t="s">
        <v>57</v>
      </c>
      <c r="C38" s="31"/>
      <c r="D38" s="31"/>
      <c r="E38" s="214">
        <v>36</v>
      </c>
      <c r="F38" s="130">
        <f t="shared" si="4"/>
        <v>123764000</v>
      </c>
      <c r="G38" s="102"/>
      <c r="H38" s="207">
        <f>LF!H38+'FF'!H38+PrF!H38+FSS!H38+PřF!H38+'FI'!H38+PdF!H38+FSpS!H38+ESF!H38</f>
        <v>123764000</v>
      </c>
      <c r="I38" s="150">
        <f>LF!I38+'FF'!I38+PrF!I38+FSS!I38+PřF!I38+'FI'!I38+PdF!I38+FSpS!I38+ESF!I38</f>
        <v>0</v>
      </c>
      <c r="J38" s="150">
        <f>LF!J38+'FF'!J38+PrF!J38+FSS!J38+PřF!J38+'FI'!J38+PdF!J38+FSpS!J38+ESF!J38</f>
        <v>0</v>
      </c>
      <c r="K38" s="377">
        <f>LF!K38+'FF'!K38+PrF!K38+FSS!K38+PřF!K38+'FI'!K38+PdF!K38+FSpS!K38+ESF!K38</f>
        <v>0</v>
      </c>
      <c r="L38" s="150"/>
      <c r="M38" s="208">
        <f>LF!M38+'FF'!M38+PrF!M38+FSS!M38+PřF!M38+'FI'!M38+PdF!M38+FSpS!M38+ESF!M38</f>
        <v>0</v>
      </c>
      <c r="N38" s="146">
        <f>LF!N38+'FF'!N38+PrF!N38+FSS!N38+PřF!N38+'FI'!N38+PdF!N38+FSpS!N38+ESF!N38</f>
        <v>121970000</v>
      </c>
      <c r="O38" s="538"/>
      <c r="P38" s="522"/>
      <c r="Q38" s="530"/>
      <c r="R38" s="59"/>
    </row>
    <row r="39" spans="1:18" s="25" customFormat="1" ht="12">
      <c r="A39" s="21"/>
      <c r="B39" s="31" t="s">
        <v>59</v>
      </c>
      <c r="C39" s="31"/>
      <c r="D39" s="31"/>
      <c r="E39" s="214">
        <v>37</v>
      </c>
      <c r="F39" s="130">
        <f t="shared" si="4"/>
        <v>330826868</v>
      </c>
      <c r="G39" s="102"/>
      <c r="H39" s="207">
        <f>LF!H39+'FF'!H39+PrF!H39+FSS!H39+PřF!H39+'FI'!H39+PdF!H39+FSpS!H39+ESF!H39</f>
        <v>322912000</v>
      </c>
      <c r="I39" s="150">
        <f>LF!I39+'FF'!I39+PrF!I39+FSS!I39+PřF!I39+'FI'!I39+PdF!I39+FSpS!I39+ESF!I39</f>
        <v>0</v>
      </c>
      <c r="J39" s="150">
        <f>LF!J39+'FF'!J39+PrF!J39+FSS!J39+PřF!J39+'FI'!J39+PdF!J39+FSpS!J39+ESF!J39</f>
        <v>7914868</v>
      </c>
      <c r="K39" s="377">
        <f>LF!K39+'FF'!K39+PrF!K39+FSS!K39+PřF!K39+'FI'!K39+PdF!K39+FSpS!K39+ESF!K39</f>
        <v>0</v>
      </c>
      <c r="L39" s="150"/>
      <c r="M39" s="208">
        <f>LF!M39+'FF'!M39+PrF!M39+FSS!M39+PřF!M39+'FI'!M39+PdF!M39+FSpS!M39+ESF!M39</f>
        <v>0</v>
      </c>
      <c r="N39" s="146">
        <f>LF!N39+'FF'!N39+PrF!N39+FSS!N39+PřF!N39+'FI'!N39+PdF!N39+FSpS!N39+ESF!N39</f>
        <v>323251991.86</v>
      </c>
      <c r="O39" s="538"/>
      <c r="P39" s="522"/>
      <c r="Q39" s="530"/>
      <c r="R39" s="59"/>
    </row>
    <row r="40" spans="1:18" s="25" customFormat="1" ht="12">
      <c r="A40" s="21"/>
      <c r="B40" s="31" t="s">
        <v>60</v>
      </c>
      <c r="C40" s="31"/>
      <c r="D40" s="31"/>
      <c r="E40" s="214">
        <v>38</v>
      </c>
      <c r="F40" s="130">
        <f t="shared" si="4"/>
        <v>276872000</v>
      </c>
      <c r="G40" s="102"/>
      <c r="H40" s="207">
        <f>LF!H40+'FF'!H40+PrF!H40+FSS!H40+PřF!H40+'FI'!H40+PdF!H40+FSpS!H40+ESF!H40</f>
        <v>274774000</v>
      </c>
      <c r="I40" s="150">
        <f>LF!I40+'FF'!I40+PrF!I40+FSS!I40+PřF!I40+'FI'!I40+PdF!I40+FSpS!I40+ESF!I40</f>
        <v>0</v>
      </c>
      <c r="J40" s="150">
        <f>LF!J40+'FF'!J40+PrF!J40+FSS!J40+PřF!J40+'FI'!J40+PdF!J40+FSpS!J40+ESF!J40</f>
        <v>2098000</v>
      </c>
      <c r="K40" s="377">
        <f>LF!K40+'FF'!K40+PrF!K40+FSS!K40+PřF!K40+'FI'!K40+PdF!K40+FSpS!K40+ESF!K40</f>
        <v>0</v>
      </c>
      <c r="L40" s="150"/>
      <c r="M40" s="208">
        <f>LF!M40+'FF'!M40+PrF!M40+FSS!M40+PřF!M40+'FI'!M40+PdF!M40+FSpS!M40+ESF!M40</f>
        <v>0</v>
      </c>
      <c r="N40" s="146">
        <f>LF!N40+'FF'!N40+PrF!N40+FSS!N40+PřF!N40+'FI'!N40+PdF!N40+FSpS!N40+ESF!N40</f>
        <v>282839956.66</v>
      </c>
      <c r="O40" s="538"/>
      <c r="P40" s="522"/>
      <c r="Q40" s="530"/>
      <c r="R40" s="59"/>
    </row>
    <row r="41" spans="1:18" s="25" customFormat="1" ht="12">
      <c r="A41" s="21"/>
      <c r="B41" s="31" t="s">
        <v>45</v>
      </c>
      <c r="C41" s="31"/>
      <c r="D41" s="31"/>
      <c r="E41" s="214">
        <v>39</v>
      </c>
      <c r="F41" s="130">
        <f t="shared" si="4"/>
        <v>66401000</v>
      </c>
      <c r="G41" s="102"/>
      <c r="H41" s="207">
        <f>LF!H41+'FF'!H41+PrF!H41+FSS!H41+PřF!H41+'FI'!H41+PdF!H41+FSpS!H41+ESF!H41</f>
        <v>48307000</v>
      </c>
      <c r="I41" s="150">
        <f>LF!I41+'FF'!I41+PrF!I41+FSS!I41+PřF!I41+'FI'!I41+PdF!I41+FSpS!I41+ESF!I41</f>
        <v>0</v>
      </c>
      <c r="J41" s="150">
        <f>LF!J41+'FF'!J41+PrF!J41+FSS!J41+PřF!J41+'FI'!J41+PdF!J41+FSpS!J41+ESF!J41</f>
        <v>18094000</v>
      </c>
      <c r="K41" s="377">
        <f>LF!K41+'FF'!K41+PrF!K41+FSS!K41+PřF!K41+'FI'!K41+PdF!K41+FSpS!K41+ESF!K41</f>
        <v>0</v>
      </c>
      <c r="L41" s="150"/>
      <c r="M41" s="208">
        <f>LF!M41+'FF'!M41+PrF!M41+FSS!M41+PřF!M41+'FI'!M41+PdF!M41+FSpS!M41+ESF!M41</f>
        <v>0</v>
      </c>
      <c r="N41" s="146">
        <f>LF!N41+'FF'!N41+PrF!N41+FSS!N41+PřF!N41+'FI'!N41+PdF!N41+FSpS!N41+ESF!N41</f>
        <v>47404327.41</v>
      </c>
      <c r="O41" s="538"/>
      <c r="P41" s="522"/>
      <c r="Q41" s="530"/>
      <c r="R41" s="59"/>
    </row>
    <row r="42" spans="1:18" s="25" customFormat="1" ht="12">
      <c r="A42" s="21"/>
      <c r="B42" s="31" t="s">
        <v>61</v>
      </c>
      <c r="C42" s="31"/>
      <c r="D42" s="31"/>
      <c r="E42" s="214">
        <v>40</v>
      </c>
      <c r="F42" s="130">
        <f t="shared" si="4"/>
        <v>40354000</v>
      </c>
      <c r="G42" s="102"/>
      <c r="H42" s="207">
        <f>LF!H42+'FF'!H42+PrF!H42+FSS!H42+PřF!H42+'FI'!H42+PdF!H42+FSpS!H42+ESF!H42</f>
        <v>39520000</v>
      </c>
      <c r="I42" s="150">
        <f>LF!I42+'FF'!I42+PrF!I42+FSS!I42+PřF!I42+'FI'!I42+PdF!I42+FSpS!I42+ESF!I42</f>
        <v>0</v>
      </c>
      <c r="J42" s="150">
        <f>LF!J42+'FF'!J42+PrF!J42+FSS!J42+PřF!J42+'FI'!J42+PdF!J42+FSpS!J42+ESF!J42</f>
        <v>834000</v>
      </c>
      <c r="K42" s="377">
        <f>LF!K42+'FF'!K42+PrF!K42+FSS!K42+PřF!K42+'FI'!K42+PdF!K42+FSpS!K42+ESF!K42</f>
        <v>0</v>
      </c>
      <c r="L42" s="150"/>
      <c r="M42" s="208">
        <f>LF!M42+'FF'!M42+PrF!M42+FSS!M42+PřF!M42+'FI'!M42+PdF!M42+FSpS!M42+ESF!M42</f>
        <v>0</v>
      </c>
      <c r="N42" s="146">
        <f>LF!N42+'FF'!N42+PrF!N42+FSS!N42+PřF!N42+'FI'!N42+PdF!N42+FSpS!N42+ESF!N42</f>
        <v>37743188.940000005</v>
      </c>
      <c r="O42" s="538"/>
      <c r="P42" s="522"/>
      <c r="Q42" s="530"/>
      <c r="R42" s="59"/>
    </row>
    <row r="43" spans="1:18" s="25" customFormat="1" ht="12">
      <c r="A43" s="21"/>
      <c r="B43" s="31" t="s">
        <v>62</v>
      </c>
      <c r="C43" s="31"/>
      <c r="D43" s="31"/>
      <c r="E43" s="214">
        <v>41</v>
      </c>
      <c r="F43" s="130">
        <f t="shared" si="4"/>
        <v>356531000</v>
      </c>
      <c r="G43" s="102"/>
      <c r="H43" s="207">
        <f>LF!H43+'FF'!H43+PrF!H43+FSS!H43+PřF!H43+'FI'!H43+PdF!H43+FSpS!H43+ESF!H43</f>
        <v>354750000</v>
      </c>
      <c r="I43" s="150">
        <f>LF!I43+'FF'!I43+PrF!I43+FSS!I43+PřF!I43+'FI'!I43+PdF!I43+FSpS!I43+ESF!I43</f>
        <v>0</v>
      </c>
      <c r="J43" s="150">
        <f>LF!J43+'FF'!J43+PrF!J43+FSS!J43+PřF!J43+'FI'!J43+PdF!J43+FSpS!J43+ESF!J43</f>
        <v>1781000</v>
      </c>
      <c r="K43" s="377">
        <f>LF!K43+'FF'!K43+PrF!K43+FSS!K43+PřF!K43+'FI'!K43+PdF!K43+FSpS!K43+ESF!K43</f>
        <v>0</v>
      </c>
      <c r="L43" s="150"/>
      <c r="M43" s="208">
        <f>LF!M43+'FF'!M43+PrF!M43+FSS!M43+PřF!M43+'FI'!M43+PdF!M43+FSpS!M43+ESF!M43</f>
        <v>0</v>
      </c>
      <c r="N43" s="146">
        <f>LF!N43+'FF'!N43+PrF!N43+FSS!N43+PřF!N43+'FI'!N43+PdF!N43+FSpS!N43+ESF!N43</f>
        <v>361352200.1</v>
      </c>
      <c r="O43" s="538"/>
      <c r="P43" s="522"/>
      <c r="Q43" s="530"/>
      <c r="R43" s="59"/>
    </row>
    <row r="44" spans="1:18" s="25" customFormat="1" ht="12">
      <c r="A44" s="21"/>
      <c r="B44" s="31" t="s">
        <v>63</v>
      </c>
      <c r="C44" s="31"/>
      <c r="D44" s="31"/>
      <c r="E44" s="214">
        <v>42</v>
      </c>
      <c r="F44" s="130">
        <f t="shared" si="4"/>
        <v>80387263</v>
      </c>
      <c r="G44" s="102"/>
      <c r="H44" s="207"/>
      <c r="I44" s="150">
        <f>LF!I44+'FF'!I44+PrF!I44+FSS!I44+PřF!I44+'FI'!I44+PdF!I44+FSpS!I44+ESF!I44</f>
        <v>55732263</v>
      </c>
      <c r="J44" s="150">
        <f>LF!J44+'FF'!J44+PrF!J44+FSS!J44+PřF!J44+'FI'!J44+PdF!J44+FSpS!J44+ESF!J44</f>
        <v>0</v>
      </c>
      <c r="K44" s="377">
        <f>LF!K44+'FF'!K44+PrF!K44+FSS!K44+PřF!K44+'FI'!K44+PdF!K44+FSpS!K44+ESF!K44</f>
        <v>0</v>
      </c>
      <c r="L44" s="150"/>
      <c r="M44" s="208">
        <f>LF!M44+'FF'!M44+PrF!M44+FSS!M44+PřF!M44+'FI'!M44+PdF!M44+FSpS!M44+ESF!M44</f>
        <v>24655000</v>
      </c>
      <c r="N44" s="146">
        <f>LF!N44+'FF'!N44+PrF!N44+FSS!N44+PřF!N44+'FI'!N44+PdF!N44+FSpS!N44+ESF!N44</f>
        <v>73825701.17</v>
      </c>
      <c r="O44" s="538"/>
      <c r="P44" s="522"/>
      <c r="Q44" s="530"/>
      <c r="R44" s="59"/>
    </row>
    <row r="45" spans="1:18" s="25" customFormat="1" ht="12">
      <c r="A45" s="40"/>
      <c r="B45" s="41" t="s">
        <v>49</v>
      </c>
      <c r="C45" s="41"/>
      <c r="D45" s="41"/>
      <c r="E45" s="215">
        <v>43</v>
      </c>
      <c r="F45" s="131">
        <f t="shared" si="4"/>
        <v>31653000</v>
      </c>
      <c r="G45" s="108"/>
      <c r="H45" s="218">
        <f>LF!H45+'FF'!H45+PrF!H45+FSS!H45+PřF!H45+'FI'!H45+PdF!H45+FSpS!H45+ESF!H45</f>
        <v>31653000</v>
      </c>
      <c r="I45" s="219">
        <f>LF!I45+'FF'!I45+PrF!I45+FSS!I45+PřF!I45+'FI'!I45+PdF!I45+FSpS!I45+ESF!I45</f>
        <v>0</v>
      </c>
      <c r="J45" s="219">
        <f>LF!J45+'FF'!J45+PrF!J45+FSS!J45+PřF!J45+'FI'!J45+PdF!J45+FSpS!J45+ESF!J45</f>
        <v>0</v>
      </c>
      <c r="K45" s="387">
        <f>LF!K45+'FF'!K45+PrF!K45+FSS!K45+PřF!K45+'FI'!K45+PdF!K45+FSpS!K45+ESF!K45</f>
        <v>0</v>
      </c>
      <c r="L45" s="219"/>
      <c r="M45" s="243">
        <f>LF!M45+'FF'!M45+PrF!M45+FSS!M45+PřF!M45+'FI'!M45+PdF!M45+FSpS!M45+ESF!M45</f>
        <v>0</v>
      </c>
      <c r="N45" s="249">
        <f>LF!N45+'FF'!N45+PrF!N45+FSS!N45+PřF!N45+'FI'!N45+PdF!N45+FSpS!N45+ESF!N45</f>
        <v>38360627.22</v>
      </c>
      <c r="O45" s="538"/>
      <c r="P45" s="522"/>
      <c r="Q45" s="530"/>
      <c r="R45" s="59"/>
    </row>
    <row r="46" spans="1:18" s="25" customFormat="1" ht="12.75" thickBot="1">
      <c r="A46" s="44" t="s">
        <v>65</v>
      </c>
      <c r="B46" s="45"/>
      <c r="C46" s="45"/>
      <c r="D46" s="45"/>
      <c r="E46" s="213">
        <v>44</v>
      </c>
      <c r="F46" s="114">
        <f>F29+F34+F38+F43+F44+F45-F4-F27</f>
        <v>14342000</v>
      </c>
      <c r="G46" s="113">
        <f>G29+G34+G38+G43+G44+G45+-G4-G27</f>
        <v>0</v>
      </c>
      <c r="H46" s="113">
        <f>H29+H34+H38+H43+H45-H4-H27</f>
        <v>14342000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250">
        <f>N29+N34+N38+N43+N44+N45-N4-N27</f>
        <v>48788221.34000021</v>
      </c>
      <c r="O46" s="522"/>
      <c r="P46" s="522"/>
      <c r="Q46" s="530"/>
      <c r="R46" s="59"/>
    </row>
    <row r="47" spans="1:14" ht="13.5" thickBot="1">
      <c r="A47" s="37" t="s">
        <v>66</v>
      </c>
      <c r="B47" s="38"/>
      <c r="C47" s="38"/>
      <c r="D47" s="38"/>
      <c r="E47" s="216">
        <v>45</v>
      </c>
      <c r="F47" s="127">
        <f aca="true" t="shared" si="5" ref="F47:N47">F28-F3</f>
        <v>14342000</v>
      </c>
      <c r="G47" s="81">
        <f t="shared" si="5"/>
        <v>0</v>
      </c>
      <c r="H47" s="82">
        <f t="shared" si="5"/>
        <v>14342000</v>
      </c>
      <c r="I47" s="83">
        <f t="shared" si="5"/>
        <v>0</v>
      </c>
      <c r="J47" s="83">
        <f t="shared" si="5"/>
        <v>0</v>
      </c>
      <c r="K47" s="381">
        <f t="shared" si="5"/>
        <v>0</v>
      </c>
      <c r="L47" s="83">
        <f t="shared" si="5"/>
        <v>0</v>
      </c>
      <c r="M47" s="82">
        <f t="shared" si="5"/>
        <v>0</v>
      </c>
      <c r="N47" s="246">
        <f t="shared" si="5"/>
        <v>48783017.40999985</v>
      </c>
    </row>
    <row r="48" spans="1:5" ht="12.75">
      <c r="A48" s="47"/>
      <c r="B48" s="47"/>
      <c r="C48" s="47"/>
      <c r="D48" s="47"/>
      <c r="E48" s="48"/>
    </row>
    <row r="49" spans="5:18" s="47" customFormat="1" ht="8.25" customHeight="1">
      <c r="E49" s="48"/>
      <c r="F49" s="25"/>
      <c r="H49" s="59"/>
      <c r="I49" s="59"/>
      <c r="J49" s="59"/>
      <c r="K49" s="59"/>
      <c r="L49" s="59"/>
      <c r="M49" s="59"/>
      <c r="O49" s="522"/>
      <c r="P49" s="522"/>
      <c r="Q49" s="530"/>
      <c r="R49" s="59"/>
    </row>
    <row r="50" spans="1:18" s="47" customFormat="1" ht="12">
      <c r="A50" s="51" t="s">
        <v>98</v>
      </c>
      <c r="E50" s="48"/>
      <c r="F50" s="133"/>
      <c r="H50" s="59"/>
      <c r="J50" s="200">
        <f>LF!J52+'FF'!J50+PrF!J50+FSS!J50+PřF!J50+'FI'!J50+PdF!J50+FSpS!J50+ESF!J50</f>
        <v>10400000</v>
      </c>
      <c r="M50" s="59"/>
      <c r="N50" s="251"/>
      <c r="O50" s="522"/>
      <c r="P50" s="522"/>
      <c r="Q50" s="530"/>
      <c r="R50" s="59"/>
    </row>
    <row r="51" spans="5:18" s="51" customFormat="1" ht="12">
      <c r="E51" s="53"/>
      <c r="F51" s="134"/>
      <c r="H51" s="75"/>
      <c r="I51" s="75"/>
      <c r="J51" s="75"/>
      <c r="K51" s="75"/>
      <c r="L51" s="75"/>
      <c r="M51" s="75"/>
      <c r="O51" s="522"/>
      <c r="P51" s="522"/>
      <c r="Q51" s="530"/>
      <c r="R51" s="75"/>
    </row>
    <row r="52" spans="5:18" s="51" customFormat="1" ht="12">
      <c r="E52" s="53"/>
      <c r="F52" s="134"/>
      <c r="H52" s="75"/>
      <c r="I52" s="75"/>
      <c r="J52" s="75"/>
      <c r="K52" s="75"/>
      <c r="L52" s="75"/>
      <c r="M52" s="75"/>
      <c r="O52" s="522"/>
      <c r="P52" s="522"/>
      <c r="Q52" s="530"/>
      <c r="R52" s="75"/>
    </row>
    <row r="53" spans="5:18" s="51" customFormat="1" ht="12">
      <c r="E53" s="53"/>
      <c r="F53" s="134"/>
      <c r="H53" s="75"/>
      <c r="I53" s="75"/>
      <c r="J53" s="75"/>
      <c r="K53" s="75"/>
      <c r="L53" s="75"/>
      <c r="M53" s="75"/>
      <c r="O53" s="522"/>
      <c r="P53" s="522"/>
      <c r="Q53" s="530"/>
      <c r="R53" s="75"/>
    </row>
    <row r="54" spans="1:18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O54" s="522"/>
      <c r="P54" s="522"/>
      <c r="Q54" s="530"/>
      <c r="R54" s="59"/>
    </row>
    <row r="55" spans="1:17" s="59" customFormat="1" ht="12">
      <c r="A55" s="51"/>
      <c r="B55" s="51"/>
      <c r="C55" s="51"/>
      <c r="D55" s="51"/>
      <c r="E55" s="57"/>
      <c r="F55" s="25"/>
      <c r="N55" s="47"/>
      <c r="O55" s="522"/>
      <c r="P55" s="522"/>
      <c r="Q55" s="530"/>
    </row>
    <row r="56" spans="1:17" s="59" customFormat="1" ht="12">
      <c r="A56" s="51"/>
      <c r="B56" s="51"/>
      <c r="C56" s="51"/>
      <c r="D56" s="51"/>
      <c r="E56" s="57"/>
      <c r="F56" s="25"/>
      <c r="N56" s="47"/>
      <c r="O56" s="522"/>
      <c r="P56" s="522"/>
      <c r="Q56" s="530"/>
    </row>
    <row r="57" spans="1:17" s="59" customFormat="1" ht="12">
      <c r="A57" s="51"/>
      <c r="B57" s="51"/>
      <c r="C57" s="51"/>
      <c r="D57" s="51"/>
      <c r="E57" s="57"/>
      <c r="F57" s="25"/>
      <c r="N57" s="47"/>
      <c r="O57" s="522"/>
      <c r="P57" s="522"/>
      <c r="Q57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L15" sqref="L1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25390625" style="25" customWidth="1"/>
    <col min="7" max="7" width="5.125" style="0" hidden="1" customWidth="1"/>
    <col min="8" max="8" width="11.25390625" style="59" customWidth="1"/>
    <col min="9" max="12" width="8.00390625" style="59" customWidth="1"/>
    <col min="13" max="13" width="8.125" style="59" customWidth="1"/>
    <col min="14" max="14" width="9.625" style="59" customWidth="1"/>
    <col min="15" max="15" width="9.125" style="317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5" s="16" customFormat="1" ht="13.5" thickBot="1">
      <c r="A2" s="375" t="s">
        <v>149</v>
      </c>
      <c r="B2" s="7"/>
      <c r="C2" s="550" t="s">
        <v>88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7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209025000</v>
      </c>
      <c r="G3" s="81">
        <f aca="true" t="shared" si="0" ref="G3:N3">SUM(G5:G27)</f>
        <v>0</v>
      </c>
      <c r="H3" s="82">
        <f t="shared" si="0"/>
        <v>208137000</v>
      </c>
      <c r="I3" s="83">
        <f t="shared" si="0"/>
        <v>0</v>
      </c>
      <c r="J3" s="83">
        <f t="shared" si="0"/>
        <v>0</v>
      </c>
      <c r="K3" s="381">
        <f t="shared" si="0"/>
        <v>0</v>
      </c>
      <c r="L3" s="83">
        <f t="shared" si="0"/>
        <v>888000</v>
      </c>
      <c r="M3" s="82">
        <f t="shared" si="0"/>
        <v>0</v>
      </c>
      <c r="N3" s="84">
        <f t="shared" si="0"/>
        <v>185925444.19</v>
      </c>
    </row>
    <row r="4" spans="1:15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162579000</v>
      </c>
      <c r="G4" s="86">
        <f aca="true" t="shared" si="1" ref="G4:N4">SUM(G5:G15)</f>
        <v>0</v>
      </c>
      <c r="H4" s="87">
        <f t="shared" si="1"/>
        <v>161691000</v>
      </c>
      <c r="I4" s="88">
        <f t="shared" si="1"/>
        <v>0</v>
      </c>
      <c r="J4" s="88">
        <f t="shared" si="1"/>
        <v>0</v>
      </c>
      <c r="K4" s="382">
        <f t="shared" si="1"/>
        <v>0</v>
      </c>
      <c r="L4" s="88">
        <f t="shared" si="1"/>
        <v>888000</v>
      </c>
      <c r="M4" s="87">
        <f t="shared" si="1"/>
        <v>0</v>
      </c>
      <c r="N4" s="89">
        <f t="shared" si="1"/>
        <v>152052766.09</v>
      </c>
      <c r="O4" s="317"/>
    </row>
    <row r="5" spans="1:15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33600000</v>
      </c>
      <c r="G5" s="91"/>
      <c r="H5" s="149">
        <v>33600000</v>
      </c>
      <c r="I5" s="92"/>
      <c r="J5" s="93"/>
      <c r="K5" s="383"/>
      <c r="L5" s="93"/>
      <c r="M5" s="94"/>
      <c r="N5" s="95">
        <v>30686749</v>
      </c>
      <c r="O5" s="319"/>
    </row>
    <row r="6" spans="1:15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400000</v>
      </c>
      <c r="G6" s="91"/>
      <c r="H6" s="138">
        <v>400000</v>
      </c>
      <c r="I6" s="92"/>
      <c r="J6" s="93"/>
      <c r="K6" s="383"/>
      <c r="L6" s="93"/>
      <c r="M6" s="94"/>
      <c r="N6" s="95">
        <v>460238</v>
      </c>
      <c r="O6" s="319"/>
    </row>
    <row r="7" spans="1:15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11560000</v>
      </c>
      <c r="G7" s="91"/>
      <c r="H7" s="138">
        <v>11560000</v>
      </c>
      <c r="I7" s="92"/>
      <c r="J7" s="93"/>
      <c r="K7" s="383"/>
      <c r="L7" s="299"/>
      <c r="M7" s="94"/>
      <c r="N7" s="95">
        <v>11504896.11</v>
      </c>
      <c r="O7" s="319"/>
    </row>
    <row r="8" spans="1:15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35630000</v>
      </c>
      <c r="G8" s="91"/>
      <c r="H8" s="138">
        <v>35630000</v>
      </c>
      <c r="I8" s="92"/>
      <c r="J8" s="93"/>
      <c r="K8" s="383"/>
      <c r="L8" s="93"/>
      <c r="M8" s="94"/>
      <c r="N8" s="95">
        <v>30026830.01</v>
      </c>
      <c r="O8" s="319"/>
    </row>
    <row r="9" spans="1:15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12000000</v>
      </c>
      <c r="G9" s="91"/>
      <c r="H9" s="138">
        <v>12000000</v>
      </c>
      <c r="I9" s="92"/>
      <c r="J9" s="93"/>
      <c r="K9" s="383"/>
      <c r="L9" s="93"/>
      <c r="M9" s="94"/>
      <c r="N9" s="95">
        <v>18560518.59</v>
      </c>
      <c r="O9" s="319"/>
    </row>
    <row r="10" spans="1:15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37240000</v>
      </c>
      <c r="G10" s="91"/>
      <c r="H10" s="138">
        <v>37240000</v>
      </c>
      <c r="I10" s="92"/>
      <c r="J10" s="93"/>
      <c r="K10" s="383"/>
      <c r="L10" s="93"/>
      <c r="M10" s="94"/>
      <c r="N10" s="95">
        <v>31003457.53</v>
      </c>
      <c r="O10" s="319"/>
    </row>
    <row r="11" spans="1:15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24000000</v>
      </c>
      <c r="G11" s="91"/>
      <c r="H11" s="138">
        <v>24000000</v>
      </c>
      <c r="I11" s="92"/>
      <c r="J11" s="93"/>
      <c r="K11" s="383"/>
      <c r="L11" s="93"/>
      <c r="M11" s="94"/>
      <c r="N11" s="95">
        <v>22988019.58</v>
      </c>
      <c r="O11" s="319"/>
    </row>
    <row r="12" spans="1:15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85000</v>
      </c>
      <c r="G12" s="91"/>
      <c r="H12" s="138">
        <v>85000</v>
      </c>
      <c r="I12" s="92"/>
      <c r="J12" s="93"/>
      <c r="K12" s="383"/>
      <c r="L12" s="93"/>
      <c r="M12" s="94"/>
      <c r="N12" s="95">
        <v>94526.33</v>
      </c>
      <c r="O12" s="319"/>
    </row>
    <row r="13" spans="1:15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12676000</v>
      </c>
      <c r="G13" s="91"/>
      <c r="H13" s="138">
        <v>12676000</v>
      </c>
      <c r="I13" s="92"/>
      <c r="J13" s="93"/>
      <c r="K13" s="383"/>
      <c r="L13" s="93"/>
      <c r="M13" s="94"/>
      <c r="N13" s="95">
        <v>11772107.06</v>
      </c>
      <c r="O13" s="319"/>
    </row>
    <row r="14" spans="1:15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0</v>
      </c>
      <c r="G14" s="91"/>
      <c r="H14" s="138">
        <v>0</v>
      </c>
      <c r="I14" s="92"/>
      <c r="J14" s="93"/>
      <c r="K14" s="383"/>
      <c r="L14" s="93"/>
      <c r="M14" s="94"/>
      <c r="N14" s="95"/>
      <c r="O14" s="319"/>
    </row>
    <row r="15" spans="1:15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-4612000</v>
      </c>
      <c r="G15" s="91"/>
      <c r="H15" s="138">
        <v>-5500000</v>
      </c>
      <c r="I15" s="92"/>
      <c r="J15" s="93"/>
      <c r="K15" s="383"/>
      <c r="L15" s="299">
        <v>888000</v>
      </c>
      <c r="M15" s="94"/>
      <c r="N15" s="95">
        <v>-5044576.12</v>
      </c>
      <c r="O15" s="319"/>
    </row>
    <row r="16" spans="1:15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317"/>
    </row>
    <row r="17" spans="1:15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101">
        <v>638189</v>
      </c>
      <c r="O17" s="317"/>
    </row>
    <row r="18" spans="1:15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0</v>
      </c>
      <c r="G18" s="97"/>
      <c r="H18" s="98"/>
      <c r="I18" s="98"/>
      <c r="J18" s="99"/>
      <c r="K18" s="384"/>
      <c r="L18" s="99"/>
      <c r="M18" s="100"/>
      <c r="N18" s="101"/>
      <c r="O18" s="317"/>
    </row>
    <row r="19" spans="1:15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317"/>
    </row>
    <row r="20" spans="1:15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101"/>
      <c r="O20" s="317"/>
    </row>
    <row r="21" spans="1:15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317"/>
    </row>
    <row r="22" spans="1:15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00"/>
      <c r="I22" s="99"/>
      <c r="J22" s="99"/>
      <c r="K22" s="384"/>
      <c r="L22" s="99"/>
      <c r="M22" s="100"/>
      <c r="N22" s="101"/>
      <c r="O22" s="317"/>
    </row>
    <row r="23" spans="1:15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317"/>
    </row>
    <row r="24" spans="1:15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0</v>
      </c>
      <c r="G24" s="97"/>
      <c r="H24" s="100"/>
      <c r="I24" s="99"/>
      <c r="J24" s="99"/>
      <c r="K24" s="384"/>
      <c r="L24" s="99"/>
      <c r="M24" s="100"/>
      <c r="N24" s="101"/>
      <c r="O24" s="317"/>
    </row>
    <row r="25" spans="1:15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317"/>
    </row>
    <row r="26" spans="1:15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317"/>
    </row>
    <row r="27" spans="1:15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46446000</v>
      </c>
      <c r="G27" s="97"/>
      <c r="H27" s="100">
        <v>46446000</v>
      </c>
      <c r="I27" s="99"/>
      <c r="J27" s="99"/>
      <c r="K27" s="384"/>
      <c r="L27" s="205"/>
      <c r="M27" s="100"/>
      <c r="N27" s="101">
        <v>33234489.1</v>
      </c>
      <c r="O27" s="31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209047000</v>
      </c>
      <c r="G28" s="81">
        <f aca="true" t="shared" si="3" ref="G28:N28">SUM(G29:G45)</f>
        <v>0</v>
      </c>
      <c r="H28" s="82">
        <f t="shared" si="3"/>
        <v>208159000</v>
      </c>
      <c r="I28" s="83">
        <f t="shared" si="3"/>
        <v>0</v>
      </c>
      <c r="J28" s="83">
        <f t="shared" si="3"/>
        <v>0</v>
      </c>
      <c r="K28" s="381">
        <f t="shared" si="3"/>
        <v>0</v>
      </c>
      <c r="L28" s="83">
        <f t="shared" si="3"/>
        <v>888000</v>
      </c>
      <c r="M28" s="82">
        <f t="shared" si="3"/>
        <v>0</v>
      </c>
      <c r="N28" s="84">
        <f t="shared" si="3"/>
        <v>189214701.48</v>
      </c>
    </row>
    <row r="29" spans="1:15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0</v>
      </c>
      <c r="G29" s="86"/>
      <c r="H29" s="87"/>
      <c r="I29" s="88"/>
      <c r="J29" s="88"/>
      <c r="K29" s="382"/>
      <c r="L29" s="88"/>
      <c r="M29" s="87"/>
      <c r="N29" s="89"/>
      <c r="O29" s="320"/>
    </row>
    <row r="30" spans="1:15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317"/>
    </row>
    <row r="31" spans="1:15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105">
        <v>638189</v>
      </c>
      <c r="O31" s="317"/>
    </row>
    <row r="32" spans="1:15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0</v>
      </c>
      <c r="G32" s="102"/>
      <c r="H32" s="103"/>
      <c r="I32" s="104"/>
      <c r="J32" s="104"/>
      <c r="K32" s="385"/>
      <c r="L32" s="104"/>
      <c r="M32" s="103"/>
      <c r="N32" s="105"/>
      <c r="O32" s="317"/>
    </row>
    <row r="33" spans="1:15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317"/>
    </row>
    <row r="34" spans="1:15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26532000</v>
      </c>
      <c r="G34" s="102"/>
      <c r="H34" s="103">
        <v>26532000</v>
      </c>
      <c r="I34" s="104"/>
      <c r="J34" s="104"/>
      <c r="K34" s="385"/>
      <c r="L34" s="104"/>
      <c r="M34" s="103"/>
      <c r="N34" s="105">
        <v>25544000</v>
      </c>
      <c r="O34" s="317"/>
    </row>
    <row r="35" spans="1:15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/>
      <c r="O35" s="317"/>
    </row>
    <row r="36" spans="1:15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317"/>
    </row>
    <row r="37" spans="1:15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0</v>
      </c>
      <c r="G37" s="102"/>
      <c r="H37" s="103"/>
      <c r="I37" s="104"/>
      <c r="J37" s="104"/>
      <c r="K37" s="385"/>
      <c r="L37" s="104"/>
      <c r="M37" s="103"/>
      <c r="N37" s="105">
        <v>50585.82</v>
      </c>
      <c r="O37" s="317"/>
    </row>
    <row r="38" spans="1:15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320"/>
    </row>
    <row r="39" spans="1:15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317"/>
    </row>
    <row r="40" spans="1:15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0</v>
      </c>
      <c r="G40" s="102"/>
      <c r="H40" s="103"/>
      <c r="I40" s="104"/>
      <c r="J40" s="104"/>
      <c r="K40" s="385"/>
      <c r="L40" s="104"/>
      <c r="M40" s="103"/>
      <c r="N40" s="105"/>
      <c r="O40" s="317"/>
    </row>
    <row r="41" spans="1:15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03"/>
      <c r="I41" s="104"/>
      <c r="J41" s="104"/>
      <c r="K41" s="385"/>
      <c r="L41" s="104"/>
      <c r="M41" s="103"/>
      <c r="N41" s="105"/>
      <c r="O41" s="317"/>
    </row>
    <row r="42" spans="1:15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317"/>
    </row>
    <row r="43" spans="1:15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122519000</v>
      </c>
      <c r="G43" s="102"/>
      <c r="H43" s="103">
        <v>122519000</v>
      </c>
      <c r="I43" s="104"/>
      <c r="J43" s="104"/>
      <c r="K43" s="385"/>
      <c r="L43" s="104"/>
      <c r="M43" s="103"/>
      <c r="N43" s="105">
        <v>118481807.13</v>
      </c>
      <c r="O43" s="317"/>
    </row>
    <row r="44" spans="1:15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888000</v>
      </c>
      <c r="G44" s="102"/>
      <c r="H44" s="106" t="s">
        <v>97</v>
      </c>
      <c r="I44" s="104"/>
      <c r="J44" s="104"/>
      <c r="K44" s="385"/>
      <c r="L44" s="104">
        <v>888000</v>
      </c>
      <c r="M44" s="103"/>
      <c r="N44" s="105">
        <v>1398336.87</v>
      </c>
      <c r="O44" s="317"/>
    </row>
    <row r="45" spans="1:15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59108000</v>
      </c>
      <c r="G45" s="108"/>
      <c r="H45" s="109">
        <v>59108000</v>
      </c>
      <c r="I45" s="110"/>
      <c r="J45" s="110"/>
      <c r="K45" s="386"/>
      <c r="L45" s="110"/>
      <c r="M45" s="109"/>
      <c r="N45" s="111">
        <v>43101782.66</v>
      </c>
      <c r="O45" s="317"/>
    </row>
    <row r="46" spans="1:15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22000</v>
      </c>
      <c r="G46" s="113">
        <f>G29+G34+G38+G43+G44+G45+-G4-G27</f>
        <v>0</v>
      </c>
      <c r="H46" s="113">
        <f>H29+H34+H38+H43+H45-H4-H27</f>
        <v>22000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3238671.4699999914</v>
      </c>
      <c r="O46" s="31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22000</v>
      </c>
      <c r="G47" s="81">
        <f aca="true" t="shared" si="4" ref="G47:N47">G28-G3</f>
        <v>0</v>
      </c>
      <c r="H47" s="82">
        <f t="shared" si="4"/>
        <v>22000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3289257.2899999917</v>
      </c>
    </row>
    <row r="48" spans="1:5" ht="12.75">
      <c r="A48" s="47"/>
      <c r="B48" s="47"/>
      <c r="C48" s="47"/>
      <c r="D48" s="47"/>
      <c r="E48" s="48"/>
    </row>
    <row r="49" spans="5:15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317"/>
    </row>
    <row r="50" spans="1:15" s="47" customFormat="1" ht="12">
      <c r="A50" s="51" t="s">
        <v>98</v>
      </c>
      <c r="E50" s="48"/>
      <c r="F50" s="133"/>
      <c r="H50" s="59"/>
      <c r="J50" s="122"/>
      <c r="M50" s="59"/>
      <c r="N50" s="59"/>
      <c r="O50" s="317"/>
    </row>
    <row r="51" spans="5:15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317"/>
    </row>
    <row r="52" spans="5:15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317"/>
    </row>
    <row r="53" spans="5:15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317"/>
    </row>
    <row r="54" spans="1:15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317"/>
    </row>
    <row r="55" spans="1:15" s="59" customFormat="1" ht="12">
      <c r="A55" s="51"/>
      <c r="B55" s="51"/>
      <c r="C55" s="51"/>
      <c r="D55" s="51"/>
      <c r="E55" s="57"/>
      <c r="F55" s="25"/>
      <c r="O55" s="317"/>
    </row>
    <row r="56" spans="1:15" s="59" customFormat="1" ht="12">
      <c r="A56" s="51"/>
      <c r="B56" s="51"/>
      <c r="C56" s="51"/>
      <c r="D56" s="51"/>
      <c r="E56" s="57"/>
      <c r="F56" s="25"/>
      <c r="O56" s="317"/>
    </row>
    <row r="57" spans="1:15" s="59" customFormat="1" ht="12">
      <c r="A57" s="51"/>
      <c r="B57" s="51"/>
      <c r="C57" s="51"/>
      <c r="D57" s="51"/>
      <c r="E57" s="57"/>
      <c r="F57" s="25"/>
      <c r="O57" s="317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59"/>
  <sheetViews>
    <sheetView workbookViewId="0" topLeftCell="A1">
      <selection activeCell="K50" sqref="K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1.00390625" style="25" customWidth="1"/>
    <col min="7" max="7" width="5.125" style="0" hidden="1" customWidth="1"/>
    <col min="8" max="8" width="9.375" style="59" customWidth="1"/>
    <col min="9" max="10" width="7.125" style="59" customWidth="1"/>
    <col min="11" max="11" width="6.375" style="59" customWidth="1"/>
    <col min="12" max="12" width="7.125" style="59" customWidth="1"/>
    <col min="13" max="13" width="6.375" style="59" customWidth="1"/>
    <col min="14" max="14" width="9.875" style="59" bestFit="1" customWidth="1"/>
    <col min="15" max="15" width="5.375" style="317" customWidth="1"/>
    <col min="16" max="16" width="8.25390625" style="59" customWidth="1"/>
    <col min="17" max="17" width="6.875" style="59" customWidth="1"/>
    <col min="18" max="18" width="6.25390625" style="59" customWidth="1"/>
    <col min="19" max="22" width="6.125" style="59" customWidth="1"/>
    <col min="23" max="23" width="5.375" style="59" customWidth="1"/>
    <col min="24" max="24" width="7.125" style="59" customWidth="1"/>
    <col min="25" max="25" width="3.25390625" style="59" customWidth="1"/>
    <col min="26" max="26" width="6.375" style="59" customWidth="1"/>
    <col min="27" max="27" width="6.125" style="59" customWidth="1"/>
    <col min="28" max="28" width="5.75390625" style="59" customWidth="1"/>
    <col min="29" max="29" width="5.875" style="59" customWidth="1"/>
    <col min="30" max="30" width="5.625" style="59" customWidth="1"/>
    <col min="31" max="31" width="6.25390625" style="59" customWidth="1"/>
    <col min="33" max="33" width="8.25390625" style="59" hidden="1" customWidth="1"/>
    <col min="34" max="34" width="7.375" style="0" hidden="1" customWidth="1"/>
    <col min="35" max="35" width="5.75390625" style="0" hidden="1" customWidth="1"/>
    <col min="36" max="36" width="6.125" style="0" hidden="1" customWidth="1"/>
    <col min="37" max="37" width="5.875" style="0" hidden="1" customWidth="1"/>
    <col min="38" max="38" width="5.75390625" style="0" hidden="1" customWidth="1"/>
    <col min="39" max="39" width="4.375" style="0" hidden="1" customWidth="1"/>
    <col min="40" max="40" width="6.875" style="0" hidden="1" customWidth="1"/>
    <col min="41" max="41" width="2.25390625" style="0" hidden="1" customWidth="1"/>
    <col min="42" max="43" width="6.25390625" style="0" hidden="1" customWidth="1"/>
    <col min="44" max="46" width="5.625" style="0" hidden="1" customWidth="1"/>
  </cols>
  <sheetData>
    <row r="1" spans="16:42" ht="12.75">
      <c r="P1" s="300" t="s">
        <v>156</v>
      </c>
      <c r="Q1" s="300"/>
      <c r="R1" s="300"/>
      <c r="S1" s="300"/>
      <c r="T1" s="300"/>
      <c r="U1" s="300"/>
      <c r="V1" s="300"/>
      <c r="W1" s="300"/>
      <c r="X1" s="300"/>
      <c r="AG1" s="300" t="s">
        <v>157</v>
      </c>
      <c r="AP1" s="332" t="s">
        <v>158</v>
      </c>
    </row>
    <row r="2" spans="1:46" ht="26.25" customHeight="1" thickBot="1">
      <c r="A2" s="376"/>
      <c r="N2" s="297"/>
      <c r="P2" s="198" t="s">
        <v>151</v>
      </c>
      <c r="Q2" s="198" t="s">
        <v>99</v>
      </c>
      <c r="R2" s="198" t="s">
        <v>100</v>
      </c>
      <c r="S2" s="198" t="s">
        <v>101</v>
      </c>
      <c r="T2" s="198" t="s">
        <v>153</v>
      </c>
      <c r="U2" s="198" t="s">
        <v>154</v>
      </c>
      <c r="V2" s="198" t="s">
        <v>159</v>
      </c>
      <c r="W2" s="198" t="s">
        <v>152</v>
      </c>
      <c r="X2" s="198" t="s">
        <v>102</v>
      </c>
      <c r="Z2" s="185" t="s">
        <v>139</v>
      </c>
      <c r="AA2" s="185" t="s">
        <v>139</v>
      </c>
      <c r="AB2" s="185" t="s">
        <v>139</v>
      </c>
      <c r="AC2" s="185" t="s">
        <v>139</v>
      </c>
      <c r="AD2" s="185" t="s">
        <v>139</v>
      </c>
      <c r="AE2" s="185" t="s">
        <v>139</v>
      </c>
      <c r="AG2" s="198" t="s">
        <v>151</v>
      </c>
      <c r="AH2" s="198" t="s">
        <v>99</v>
      </c>
      <c r="AI2" s="198" t="s">
        <v>100</v>
      </c>
      <c r="AJ2" s="198" t="s">
        <v>101</v>
      </c>
      <c r="AK2" s="198" t="s">
        <v>153</v>
      </c>
      <c r="AL2" s="198" t="s">
        <v>154</v>
      </c>
      <c r="AM2" s="198" t="s">
        <v>152</v>
      </c>
      <c r="AN2" s="198" t="s">
        <v>102</v>
      </c>
      <c r="AO2" s="59"/>
      <c r="AP2" s="185" t="s">
        <v>139</v>
      </c>
      <c r="AQ2" s="185" t="s">
        <v>139</v>
      </c>
      <c r="AR2" s="185" t="s">
        <v>139</v>
      </c>
      <c r="AS2" s="185" t="s">
        <v>139</v>
      </c>
      <c r="AT2" s="185" t="s">
        <v>139</v>
      </c>
    </row>
    <row r="3" spans="1:46" ht="15.75" customHeight="1">
      <c r="A3" s="544" t="s">
        <v>146</v>
      </c>
      <c r="B3" s="545"/>
      <c r="C3" s="545"/>
      <c r="D3" s="546"/>
      <c r="E3" s="1"/>
      <c r="F3" s="125" t="s">
        <v>0</v>
      </c>
      <c r="G3" s="4" t="s">
        <v>1</v>
      </c>
      <c r="H3" s="68" t="s">
        <v>2</v>
      </c>
      <c r="I3" s="547" t="s">
        <v>3</v>
      </c>
      <c r="J3" s="548"/>
      <c r="K3" s="548"/>
      <c r="L3" s="548"/>
      <c r="M3" s="549"/>
      <c r="N3" s="69" t="s">
        <v>4</v>
      </c>
      <c r="P3" s="186" t="s">
        <v>103</v>
      </c>
      <c r="Q3" s="186" t="s">
        <v>104</v>
      </c>
      <c r="R3" s="186" t="s">
        <v>138</v>
      </c>
      <c r="S3" s="186"/>
      <c r="T3" s="186" t="s">
        <v>10</v>
      </c>
      <c r="U3" s="186" t="s">
        <v>9</v>
      </c>
      <c r="V3" s="186" t="s">
        <v>147</v>
      </c>
      <c r="W3" s="186"/>
      <c r="X3" s="186" t="s">
        <v>160</v>
      </c>
      <c r="Z3" s="186" t="s">
        <v>105</v>
      </c>
      <c r="AA3" s="186" t="s">
        <v>106</v>
      </c>
      <c r="AB3" s="186" t="s">
        <v>122</v>
      </c>
      <c r="AC3" s="186" t="s">
        <v>109</v>
      </c>
      <c r="AD3" s="186" t="s">
        <v>113</v>
      </c>
      <c r="AE3" s="186" t="s">
        <v>124</v>
      </c>
      <c r="AG3" s="186" t="s">
        <v>103</v>
      </c>
      <c r="AH3" s="186" t="s">
        <v>104</v>
      </c>
      <c r="AI3" s="186" t="s">
        <v>138</v>
      </c>
      <c r="AJ3" s="186"/>
      <c r="AK3" s="186" t="s">
        <v>10</v>
      </c>
      <c r="AL3" s="186" t="s">
        <v>9</v>
      </c>
      <c r="AM3" s="186"/>
      <c r="AN3" s="186" t="s">
        <v>155</v>
      </c>
      <c r="AO3" s="59"/>
      <c r="AP3" s="186" t="s">
        <v>105</v>
      </c>
      <c r="AQ3" s="186" t="s">
        <v>106</v>
      </c>
      <c r="AR3" s="186" t="s">
        <v>122</v>
      </c>
      <c r="AS3" s="186" t="s">
        <v>109</v>
      </c>
      <c r="AT3" s="186" t="s">
        <v>113</v>
      </c>
    </row>
    <row r="4" spans="1:46" s="16" customFormat="1" ht="13.5" thickBot="1">
      <c r="A4" s="6" t="s">
        <v>75</v>
      </c>
      <c r="B4" s="7"/>
      <c r="C4" s="550" t="s">
        <v>89</v>
      </c>
      <c r="D4" s="551"/>
      <c r="E4" s="9" t="s">
        <v>5</v>
      </c>
      <c r="F4" s="126">
        <v>2009</v>
      </c>
      <c r="G4" s="12" t="s">
        <v>7</v>
      </c>
      <c r="H4" s="70" t="s">
        <v>8</v>
      </c>
      <c r="I4" s="71" t="s">
        <v>9</v>
      </c>
      <c r="J4" s="72" t="s">
        <v>10</v>
      </c>
      <c r="K4" s="380" t="s">
        <v>11</v>
      </c>
      <c r="L4" s="308" t="s">
        <v>150</v>
      </c>
      <c r="M4" s="70" t="s">
        <v>12</v>
      </c>
      <c r="N4" s="73">
        <v>2008</v>
      </c>
      <c r="O4" s="317"/>
      <c r="P4" s="187">
        <v>1</v>
      </c>
      <c r="Q4" s="187">
        <v>2</v>
      </c>
      <c r="R4" s="187">
        <v>3</v>
      </c>
      <c r="S4" s="187">
        <v>4</v>
      </c>
      <c r="T4" s="187">
        <v>5</v>
      </c>
      <c r="U4" s="187">
        <v>6</v>
      </c>
      <c r="V4" s="187">
        <v>7</v>
      </c>
      <c r="W4" s="187">
        <v>8</v>
      </c>
      <c r="X4" s="187">
        <v>9</v>
      </c>
      <c r="Y4" s="59"/>
      <c r="Z4" s="187" t="s">
        <v>162</v>
      </c>
      <c r="AA4" s="187" t="s">
        <v>163</v>
      </c>
      <c r="AB4" s="187" t="s">
        <v>164</v>
      </c>
      <c r="AC4" s="187" t="s">
        <v>165</v>
      </c>
      <c r="AD4" s="187" t="s">
        <v>166</v>
      </c>
      <c r="AE4" s="187" t="s">
        <v>167</v>
      </c>
      <c r="AG4" s="187">
        <v>1</v>
      </c>
      <c r="AH4" s="187">
        <v>2</v>
      </c>
      <c r="AI4" s="187">
        <v>3</v>
      </c>
      <c r="AJ4" s="187">
        <v>4</v>
      </c>
      <c r="AK4" s="187">
        <v>5</v>
      </c>
      <c r="AL4" s="187">
        <v>6</v>
      </c>
      <c r="AM4" s="187">
        <v>7</v>
      </c>
      <c r="AN4" s="187">
        <v>8</v>
      </c>
      <c r="AO4" s="59"/>
      <c r="AP4" s="187" t="s">
        <v>107</v>
      </c>
      <c r="AQ4" s="187" t="s">
        <v>108</v>
      </c>
      <c r="AR4" s="187" t="s">
        <v>135</v>
      </c>
      <c r="AS4" s="187" t="s">
        <v>136</v>
      </c>
      <c r="AT4" s="187" t="s">
        <v>137</v>
      </c>
    </row>
    <row r="5" spans="1:46" ht="13.5" thickBot="1">
      <c r="A5" s="17" t="s">
        <v>13</v>
      </c>
      <c r="B5" s="18"/>
      <c r="C5" s="18"/>
      <c r="D5" s="18"/>
      <c r="E5" s="19">
        <v>1</v>
      </c>
      <c r="F5" s="127">
        <f>SUM(F7:F29)</f>
        <v>54488000</v>
      </c>
      <c r="G5" s="81">
        <f aca="true" t="shared" si="0" ref="G5:N5">SUM(G7:G29)</f>
        <v>0</v>
      </c>
      <c r="H5" s="82">
        <f t="shared" si="0"/>
        <v>54192000</v>
      </c>
      <c r="I5" s="83">
        <f t="shared" si="0"/>
        <v>156000</v>
      </c>
      <c r="J5" s="83">
        <f t="shared" si="0"/>
        <v>40000</v>
      </c>
      <c r="K5" s="381">
        <f t="shared" si="0"/>
        <v>0</v>
      </c>
      <c r="L5" s="83">
        <f t="shared" si="0"/>
        <v>100000</v>
      </c>
      <c r="M5" s="82">
        <f t="shared" si="0"/>
        <v>0</v>
      </c>
      <c r="N5" s="84">
        <f t="shared" si="0"/>
        <v>53869392.24</v>
      </c>
      <c r="P5" s="188">
        <f aca="true" t="shared" si="1" ref="P5:X5">SUM(P7:P27)</f>
        <v>89774</v>
      </c>
      <c r="Q5" s="188">
        <f t="shared" si="1"/>
        <v>-89774</v>
      </c>
      <c r="R5" s="188">
        <f t="shared" si="1"/>
        <v>0</v>
      </c>
      <c r="S5" s="188">
        <f t="shared" si="1"/>
        <v>53832</v>
      </c>
      <c r="T5" s="188">
        <f t="shared" si="1"/>
        <v>40</v>
      </c>
      <c r="U5" s="188">
        <f t="shared" si="1"/>
        <v>156</v>
      </c>
      <c r="V5" s="188"/>
      <c r="W5" s="188">
        <f t="shared" si="1"/>
        <v>360</v>
      </c>
      <c r="X5" s="188">
        <f t="shared" si="1"/>
        <v>54488</v>
      </c>
      <c r="Z5" s="188">
        <f aca="true" t="shared" si="2" ref="Z5:AE5">SUM(Z7:Z27)</f>
        <v>41936</v>
      </c>
      <c r="AA5" s="188">
        <f t="shared" si="2"/>
        <v>41064</v>
      </c>
      <c r="AB5" s="188">
        <f t="shared" si="2"/>
        <v>297</v>
      </c>
      <c r="AC5" s="188">
        <f t="shared" si="2"/>
        <v>1220</v>
      </c>
      <c r="AD5" s="188">
        <f t="shared" si="2"/>
        <v>253</v>
      </c>
      <c r="AE5" s="188">
        <f t="shared" si="2"/>
        <v>5004</v>
      </c>
      <c r="AG5" s="188">
        <f aca="true" t="shared" si="3" ref="AG5:AN5">SUM(AG7:AG27)</f>
        <v>74901</v>
      </c>
      <c r="AH5" s="188">
        <f t="shared" si="3"/>
        <v>-74901</v>
      </c>
      <c r="AI5" s="188">
        <f t="shared" si="3"/>
        <v>0</v>
      </c>
      <c r="AJ5" s="188">
        <f t="shared" si="3"/>
        <v>53022</v>
      </c>
      <c r="AK5" s="188">
        <f t="shared" si="3"/>
        <v>45</v>
      </c>
      <c r="AL5" s="188">
        <f t="shared" si="3"/>
        <v>339</v>
      </c>
      <c r="AM5" s="188">
        <f t="shared" si="3"/>
        <v>99</v>
      </c>
      <c r="AN5" s="188">
        <f t="shared" si="3"/>
        <v>53505</v>
      </c>
      <c r="AO5" s="59"/>
      <c r="AP5" s="188">
        <f>SUM(AP7:AP27)</f>
        <v>38297</v>
      </c>
      <c r="AQ5" s="188">
        <f>SUM(AQ7:AQ27)</f>
        <v>35028</v>
      </c>
      <c r="AR5" s="188">
        <f>SUM(AR7:AR27)</f>
        <v>278</v>
      </c>
      <c r="AS5" s="188">
        <f>SUM(AS7:AS27)</f>
        <v>1102</v>
      </c>
      <c r="AT5" s="188">
        <f>SUM(AT7:AT27)</f>
        <v>196</v>
      </c>
    </row>
    <row r="6" spans="1:46" s="25" customFormat="1" ht="12">
      <c r="A6" s="21" t="s">
        <v>14</v>
      </c>
      <c r="B6" s="22" t="s">
        <v>15</v>
      </c>
      <c r="C6" s="22"/>
      <c r="D6" s="22"/>
      <c r="E6" s="23">
        <v>2</v>
      </c>
      <c r="F6" s="128">
        <f>SUM(F7:F17)</f>
        <v>54488000</v>
      </c>
      <c r="G6" s="86">
        <f aca="true" t="shared" si="4" ref="G6:N6">SUM(G7:G17)</f>
        <v>0</v>
      </c>
      <c r="H6" s="87">
        <f t="shared" si="4"/>
        <v>54192000</v>
      </c>
      <c r="I6" s="88">
        <f t="shared" si="4"/>
        <v>156000</v>
      </c>
      <c r="J6" s="88">
        <f t="shared" si="4"/>
        <v>40000</v>
      </c>
      <c r="K6" s="382">
        <f t="shared" si="4"/>
        <v>0</v>
      </c>
      <c r="L6" s="88">
        <f t="shared" si="4"/>
        <v>100000</v>
      </c>
      <c r="M6" s="87">
        <f t="shared" si="4"/>
        <v>0</v>
      </c>
      <c r="N6" s="89">
        <f t="shared" si="4"/>
        <v>53869392.24</v>
      </c>
      <c r="O6" s="317"/>
      <c r="P6" s="189">
        <f aca="true" t="shared" si="5" ref="P6:X6">SUM(P7:P17)</f>
        <v>89774</v>
      </c>
      <c r="Q6" s="189">
        <f t="shared" si="5"/>
        <v>-89774</v>
      </c>
      <c r="R6" s="189">
        <f t="shared" si="5"/>
        <v>0</v>
      </c>
      <c r="S6" s="189">
        <f t="shared" si="5"/>
        <v>53832</v>
      </c>
      <c r="T6" s="189">
        <f t="shared" si="5"/>
        <v>40</v>
      </c>
      <c r="U6" s="189">
        <f t="shared" si="5"/>
        <v>156</v>
      </c>
      <c r="V6" s="189"/>
      <c r="W6" s="189">
        <f t="shared" si="5"/>
        <v>360</v>
      </c>
      <c r="X6" s="189">
        <f t="shared" si="5"/>
        <v>54488</v>
      </c>
      <c r="Y6" s="59"/>
      <c r="Z6" s="189">
        <f aca="true" t="shared" si="6" ref="Z6:AE6">SUM(Z7:Z17)</f>
        <v>41936</v>
      </c>
      <c r="AA6" s="189">
        <f t="shared" si="6"/>
        <v>41064</v>
      </c>
      <c r="AB6" s="189">
        <f t="shared" si="6"/>
        <v>297</v>
      </c>
      <c r="AC6" s="189">
        <f t="shared" si="6"/>
        <v>1220</v>
      </c>
      <c r="AD6" s="189">
        <f t="shared" si="6"/>
        <v>253</v>
      </c>
      <c r="AE6" s="189">
        <f t="shared" si="6"/>
        <v>5004</v>
      </c>
      <c r="AG6" s="189">
        <f aca="true" t="shared" si="7" ref="AG6:AN6">SUM(AG7:AG17)</f>
        <v>74901</v>
      </c>
      <c r="AH6" s="189">
        <f t="shared" si="7"/>
        <v>-74901</v>
      </c>
      <c r="AI6" s="189">
        <f t="shared" si="7"/>
        <v>0</v>
      </c>
      <c r="AJ6" s="189">
        <f t="shared" si="7"/>
        <v>53022</v>
      </c>
      <c r="AK6" s="189">
        <f t="shared" si="7"/>
        <v>45</v>
      </c>
      <c r="AL6" s="189">
        <f t="shared" si="7"/>
        <v>339</v>
      </c>
      <c r="AM6" s="189">
        <f t="shared" si="7"/>
        <v>99</v>
      </c>
      <c r="AN6" s="189">
        <f t="shared" si="7"/>
        <v>53505</v>
      </c>
      <c r="AO6" s="59"/>
      <c r="AP6" s="189">
        <f>SUM(AP7:AP17)</f>
        <v>38297</v>
      </c>
      <c r="AQ6" s="189">
        <f>SUM(AQ7:AQ17)</f>
        <v>35028</v>
      </c>
      <c r="AR6" s="189">
        <f>SUM(AR7:AR17)</f>
        <v>278</v>
      </c>
      <c r="AS6" s="189">
        <f>SUM(AS7:AS17)</f>
        <v>1102</v>
      </c>
      <c r="AT6" s="189">
        <f>SUM(AT7:AT17)</f>
        <v>196</v>
      </c>
    </row>
    <row r="7" spans="1:46" s="65" customFormat="1" ht="12">
      <c r="A7" s="61"/>
      <c r="B7" s="62"/>
      <c r="C7" s="62" t="s">
        <v>16</v>
      </c>
      <c r="D7" s="63" t="s">
        <v>17</v>
      </c>
      <c r="E7" s="64">
        <v>3</v>
      </c>
      <c r="F7" s="129">
        <f>SUM(H7:M7)</f>
        <v>162000</v>
      </c>
      <c r="G7" s="91"/>
      <c r="H7" s="92">
        <v>162000</v>
      </c>
      <c r="I7" s="92"/>
      <c r="J7" s="93"/>
      <c r="K7" s="383"/>
      <c r="L7" s="93"/>
      <c r="M7" s="94"/>
      <c r="N7" s="95">
        <v>8785554</v>
      </c>
      <c r="O7" s="319"/>
      <c r="P7" s="191">
        <v>8944</v>
      </c>
      <c r="Q7" s="191">
        <f>-P7</f>
        <v>-8944</v>
      </c>
      <c r="R7" s="192">
        <f>P7+Q7</f>
        <v>0</v>
      </c>
      <c r="S7" s="193"/>
      <c r="T7" s="193"/>
      <c r="U7" s="193"/>
      <c r="V7" s="193"/>
      <c r="W7" s="193">
        <v>162</v>
      </c>
      <c r="X7" s="192">
        <f aca="true" t="shared" si="8" ref="X7:X27">SUM(R7:W7)</f>
        <v>162</v>
      </c>
      <c r="Y7" s="199"/>
      <c r="Z7" s="191">
        <v>4504</v>
      </c>
      <c r="AA7" s="191">
        <v>3672</v>
      </c>
      <c r="AB7" s="191">
        <v>17</v>
      </c>
      <c r="AC7" s="191">
        <v>72</v>
      </c>
      <c r="AD7" s="191">
        <v>16</v>
      </c>
      <c r="AE7" s="191">
        <v>663</v>
      </c>
      <c r="AG7" s="191">
        <f>SUM(AP7:AT7)</f>
        <v>8631</v>
      </c>
      <c r="AH7" s="191">
        <f>-AG7</f>
        <v>-8631</v>
      </c>
      <c r="AI7" s="192">
        <f>AG7+AH7</f>
        <v>0</v>
      </c>
      <c r="AJ7" s="193"/>
      <c r="AK7" s="193"/>
      <c r="AL7" s="193">
        <v>70</v>
      </c>
      <c r="AM7" s="193"/>
      <c r="AN7" s="192">
        <f aca="true" t="shared" si="9" ref="AN7:AN27">SUM(AI7:AM7)</f>
        <v>70</v>
      </c>
      <c r="AO7" s="199"/>
      <c r="AP7" s="191">
        <v>5010</v>
      </c>
      <c r="AQ7" s="191">
        <v>3521</v>
      </c>
      <c r="AR7" s="191">
        <v>16</v>
      </c>
      <c r="AS7" s="191">
        <v>69</v>
      </c>
      <c r="AT7" s="191">
        <v>15</v>
      </c>
    </row>
    <row r="8" spans="1:46" s="65" customFormat="1" ht="12">
      <c r="A8" s="61"/>
      <c r="B8" s="62"/>
      <c r="C8" s="62"/>
      <c r="D8" s="63" t="s">
        <v>18</v>
      </c>
      <c r="E8" s="64">
        <v>4</v>
      </c>
      <c r="F8" s="129">
        <f aca="true" t="shared" si="10" ref="F8:F47">SUM(H8:M8)</f>
        <v>0</v>
      </c>
      <c r="G8" s="91"/>
      <c r="H8" s="92"/>
      <c r="I8" s="92"/>
      <c r="J8" s="93"/>
      <c r="K8" s="383"/>
      <c r="L8" s="93"/>
      <c r="M8" s="94"/>
      <c r="N8" s="95">
        <v>47570</v>
      </c>
      <c r="O8" s="319"/>
      <c r="P8" s="191">
        <f>SUM(Z8:AD8)</f>
        <v>0</v>
      </c>
      <c r="Q8" s="191">
        <f aca="true" t="shared" si="11" ref="Q8:Q17">-P8</f>
        <v>0</v>
      </c>
      <c r="R8" s="192">
        <f aca="true" t="shared" si="12" ref="R8:R27">P8+Q8</f>
        <v>0</v>
      </c>
      <c r="S8" s="193"/>
      <c r="T8" s="193"/>
      <c r="U8" s="193"/>
      <c r="V8" s="193"/>
      <c r="W8" s="193"/>
      <c r="X8" s="192">
        <f t="shared" si="8"/>
        <v>0</v>
      </c>
      <c r="Y8" s="199"/>
      <c r="Z8" s="191"/>
      <c r="AA8" s="191"/>
      <c r="AB8" s="191"/>
      <c r="AC8" s="191"/>
      <c r="AD8" s="191"/>
      <c r="AE8" s="191"/>
      <c r="AG8" s="191">
        <f aca="true" t="shared" si="13" ref="AG8:AG17">SUM(AP8:AT8)</f>
        <v>0</v>
      </c>
      <c r="AH8" s="191">
        <f aca="true" t="shared" si="14" ref="AH8:AH17">-AG8</f>
        <v>0</v>
      </c>
      <c r="AI8" s="192">
        <f aca="true" t="shared" si="15" ref="AI8:AI27">AG8+AH8</f>
        <v>0</v>
      </c>
      <c r="AJ8" s="193"/>
      <c r="AK8" s="193"/>
      <c r="AL8" s="193"/>
      <c r="AM8" s="193"/>
      <c r="AN8" s="192">
        <f t="shared" si="9"/>
        <v>0</v>
      </c>
      <c r="AO8" s="199"/>
      <c r="AP8" s="191"/>
      <c r="AQ8" s="191"/>
      <c r="AR8" s="191"/>
      <c r="AS8" s="191"/>
      <c r="AT8" s="191"/>
    </row>
    <row r="9" spans="1:46" s="65" customFormat="1" ht="12">
      <c r="A9" s="61"/>
      <c r="B9" s="62"/>
      <c r="C9" s="62"/>
      <c r="D9" s="63" t="s">
        <v>19</v>
      </c>
      <c r="E9" s="64">
        <v>5</v>
      </c>
      <c r="F9" s="129">
        <f t="shared" si="10"/>
        <v>58000</v>
      </c>
      <c r="G9" s="91"/>
      <c r="H9" s="92">
        <v>58000</v>
      </c>
      <c r="I9" s="92"/>
      <c r="J9" s="93"/>
      <c r="K9" s="383"/>
      <c r="L9" s="93"/>
      <c r="M9" s="94"/>
      <c r="N9" s="95">
        <v>3264026.7</v>
      </c>
      <c r="O9" s="319"/>
      <c r="P9" s="191">
        <v>3220</v>
      </c>
      <c r="Q9" s="191">
        <f t="shared" si="11"/>
        <v>-3220</v>
      </c>
      <c r="R9" s="192">
        <f t="shared" si="12"/>
        <v>0</v>
      </c>
      <c r="S9" s="193"/>
      <c r="T9" s="193"/>
      <c r="U9" s="193"/>
      <c r="V9" s="193"/>
      <c r="W9" s="193">
        <v>58</v>
      </c>
      <c r="X9" s="192">
        <f t="shared" si="8"/>
        <v>58</v>
      </c>
      <c r="Y9" s="199"/>
      <c r="Z9" s="191">
        <v>1621</v>
      </c>
      <c r="AA9" s="191">
        <v>1322</v>
      </c>
      <c r="AB9" s="191">
        <v>6</v>
      </c>
      <c r="AC9" s="191">
        <v>26</v>
      </c>
      <c r="AD9" s="191">
        <v>6</v>
      </c>
      <c r="AE9" s="191">
        <v>239</v>
      </c>
      <c r="AG9" s="191">
        <f t="shared" si="13"/>
        <v>3194</v>
      </c>
      <c r="AH9" s="191">
        <f t="shared" si="14"/>
        <v>-3194</v>
      </c>
      <c r="AI9" s="192">
        <f t="shared" si="15"/>
        <v>0</v>
      </c>
      <c r="AJ9" s="193"/>
      <c r="AK9" s="193"/>
      <c r="AL9" s="193">
        <v>24</v>
      </c>
      <c r="AM9" s="193"/>
      <c r="AN9" s="192">
        <f t="shared" si="9"/>
        <v>24</v>
      </c>
      <c r="AO9" s="199"/>
      <c r="AP9" s="191">
        <v>1854</v>
      </c>
      <c r="AQ9" s="191">
        <v>1305</v>
      </c>
      <c r="AR9" s="191">
        <v>6</v>
      </c>
      <c r="AS9" s="191">
        <v>24</v>
      </c>
      <c r="AT9" s="191">
        <v>5</v>
      </c>
    </row>
    <row r="10" spans="1:46" s="65" customFormat="1" ht="12">
      <c r="A10" s="61"/>
      <c r="B10" s="62"/>
      <c r="C10" s="62"/>
      <c r="D10" s="63" t="s">
        <v>20</v>
      </c>
      <c r="E10" s="64">
        <v>6</v>
      </c>
      <c r="F10" s="129">
        <f t="shared" si="10"/>
        <v>0</v>
      </c>
      <c r="G10" s="91"/>
      <c r="H10" s="92"/>
      <c r="I10" s="92"/>
      <c r="J10" s="93"/>
      <c r="K10" s="383"/>
      <c r="L10" s="93"/>
      <c r="M10" s="94"/>
      <c r="N10" s="95">
        <v>25.2</v>
      </c>
      <c r="O10" s="319"/>
      <c r="P10" s="191">
        <v>43588</v>
      </c>
      <c r="Q10" s="191">
        <f t="shared" si="11"/>
        <v>-43588</v>
      </c>
      <c r="R10" s="192">
        <f t="shared" si="12"/>
        <v>0</v>
      </c>
      <c r="S10" s="193"/>
      <c r="T10" s="193"/>
      <c r="U10" s="193"/>
      <c r="V10" s="193"/>
      <c r="W10" s="193"/>
      <c r="X10" s="192">
        <f t="shared" si="8"/>
        <v>0</v>
      </c>
      <c r="Y10" s="199"/>
      <c r="Z10" s="191">
        <v>19405</v>
      </c>
      <c r="AA10" s="191">
        <v>20667</v>
      </c>
      <c r="AB10" s="191">
        <v>179</v>
      </c>
      <c r="AC10" s="191">
        <v>670</v>
      </c>
      <c r="AD10" s="191">
        <v>99</v>
      </c>
      <c r="AE10" s="191">
        <v>2568</v>
      </c>
      <c r="AG10" s="191">
        <f t="shared" si="13"/>
        <v>35005</v>
      </c>
      <c r="AH10" s="191">
        <f t="shared" si="14"/>
        <v>-35005</v>
      </c>
      <c r="AI10" s="192">
        <f t="shared" si="15"/>
        <v>0</v>
      </c>
      <c r="AJ10" s="193"/>
      <c r="AK10" s="193"/>
      <c r="AL10" s="193"/>
      <c r="AM10" s="193"/>
      <c r="AN10" s="192">
        <f t="shared" si="9"/>
        <v>0</v>
      </c>
      <c r="AO10" s="199"/>
      <c r="AP10" s="191">
        <v>16758</v>
      </c>
      <c r="AQ10" s="191">
        <v>17458</v>
      </c>
      <c r="AR10" s="191">
        <v>153</v>
      </c>
      <c r="AS10" s="191">
        <v>561</v>
      </c>
      <c r="AT10" s="191">
        <v>75</v>
      </c>
    </row>
    <row r="11" spans="1:46" s="65" customFormat="1" ht="12">
      <c r="A11" s="61"/>
      <c r="B11" s="62"/>
      <c r="C11" s="62"/>
      <c r="D11" s="63" t="s">
        <v>21</v>
      </c>
      <c r="E11" s="64">
        <v>7</v>
      </c>
      <c r="F11" s="129">
        <f t="shared" si="10"/>
        <v>0</v>
      </c>
      <c r="G11" s="91"/>
      <c r="H11" s="92"/>
      <c r="I11" s="92"/>
      <c r="J11" s="93"/>
      <c r="K11" s="383"/>
      <c r="L11" s="93"/>
      <c r="M11" s="94"/>
      <c r="N11" s="95">
        <v>69972</v>
      </c>
      <c r="O11" s="319"/>
      <c r="P11" s="191">
        <v>7510</v>
      </c>
      <c r="Q11" s="191">
        <f t="shared" si="11"/>
        <v>-7510</v>
      </c>
      <c r="R11" s="192">
        <f t="shared" si="12"/>
        <v>0</v>
      </c>
      <c r="S11" s="193"/>
      <c r="T11" s="193"/>
      <c r="U11" s="193"/>
      <c r="V11" s="193"/>
      <c r="W11" s="193"/>
      <c r="X11" s="192">
        <f t="shared" si="8"/>
        <v>0</v>
      </c>
      <c r="Y11" s="199"/>
      <c r="Z11" s="191">
        <v>3526</v>
      </c>
      <c r="AA11" s="191">
        <v>3461</v>
      </c>
      <c r="AB11" s="191">
        <v>29</v>
      </c>
      <c r="AC11" s="191">
        <v>120</v>
      </c>
      <c r="AD11" s="191">
        <v>24</v>
      </c>
      <c r="AE11" s="191">
        <v>350</v>
      </c>
      <c r="AG11" s="191">
        <f t="shared" si="13"/>
        <v>6410</v>
      </c>
      <c r="AH11" s="191">
        <f t="shared" si="14"/>
        <v>-6410</v>
      </c>
      <c r="AI11" s="192">
        <f t="shared" si="15"/>
        <v>0</v>
      </c>
      <c r="AJ11" s="193"/>
      <c r="AK11" s="193"/>
      <c r="AL11" s="193">
        <v>19</v>
      </c>
      <c r="AM11" s="193"/>
      <c r="AN11" s="192">
        <f t="shared" si="9"/>
        <v>19</v>
      </c>
      <c r="AO11" s="199"/>
      <c r="AP11" s="191">
        <v>3299</v>
      </c>
      <c r="AQ11" s="191">
        <v>2955</v>
      </c>
      <c r="AR11" s="191">
        <v>25</v>
      </c>
      <c r="AS11" s="191">
        <v>107</v>
      </c>
      <c r="AT11" s="191">
        <v>24</v>
      </c>
    </row>
    <row r="12" spans="1:46" s="65" customFormat="1" ht="12">
      <c r="A12" s="61"/>
      <c r="B12" s="62"/>
      <c r="C12" s="62"/>
      <c r="D12" s="63" t="s">
        <v>22</v>
      </c>
      <c r="E12" s="64">
        <v>8</v>
      </c>
      <c r="F12" s="129">
        <f t="shared" si="10"/>
        <v>336000</v>
      </c>
      <c r="G12" s="91"/>
      <c r="H12" s="298">
        <v>140000</v>
      </c>
      <c r="I12" s="298">
        <v>156000</v>
      </c>
      <c r="J12" s="299">
        <v>40000</v>
      </c>
      <c r="K12" s="383"/>
      <c r="L12" s="93"/>
      <c r="M12" s="94"/>
      <c r="N12" s="95">
        <v>398934.3</v>
      </c>
      <c r="O12" s="319"/>
      <c r="P12" s="191">
        <v>1362</v>
      </c>
      <c r="Q12" s="191">
        <f t="shared" si="11"/>
        <v>-1362</v>
      </c>
      <c r="R12" s="192">
        <f t="shared" si="12"/>
        <v>0</v>
      </c>
      <c r="S12" s="193"/>
      <c r="T12" s="193">
        <v>40</v>
      </c>
      <c r="U12" s="193">
        <v>156</v>
      </c>
      <c r="V12" s="193"/>
      <c r="W12" s="193">
        <v>140</v>
      </c>
      <c r="X12" s="192">
        <f t="shared" si="8"/>
        <v>336</v>
      </c>
      <c r="Y12" s="199"/>
      <c r="Z12" s="191">
        <v>631</v>
      </c>
      <c r="AA12" s="191">
        <v>614</v>
      </c>
      <c r="AB12" s="191">
        <v>4</v>
      </c>
      <c r="AC12" s="191">
        <v>14</v>
      </c>
      <c r="AD12" s="191">
        <v>2</v>
      </c>
      <c r="AE12" s="191">
        <v>97</v>
      </c>
      <c r="AG12" s="191">
        <f t="shared" si="13"/>
        <v>1450</v>
      </c>
      <c r="AH12" s="191">
        <f t="shared" si="14"/>
        <v>-1450</v>
      </c>
      <c r="AI12" s="192">
        <f t="shared" si="15"/>
        <v>0</v>
      </c>
      <c r="AJ12" s="193"/>
      <c r="AK12" s="193">
        <v>45</v>
      </c>
      <c r="AL12" s="193">
        <v>224</v>
      </c>
      <c r="AM12" s="193"/>
      <c r="AN12" s="192">
        <f t="shared" si="9"/>
        <v>269</v>
      </c>
      <c r="AO12" s="199"/>
      <c r="AP12" s="191">
        <v>878</v>
      </c>
      <c r="AQ12" s="191">
        <v>562</v>
      </c>
      <c r="AR12" s="191">
        <v>2</v>
      </c>
      <c r="AS12" s="191">
        <v>7</v>
      </c>
      <c r="AT12" s="191">
        <v>1</v>
      </c>
    </row>
    <row r="13" spans="1:46" s="65" customFormat="1" ht="12">
      <c r="A13" s="61"/>
      <c r="B13" s="62"/>
      <c r="C13" s="62"/>
      <c r="D13" s="63" t="s">
        <v>23</v>
      </c>
      <c r="E13" s="64">
        <v>9</v>
      </c>
      <c r="F13" s="129">
        <f t="shared" si="10"/>
        <v>0</v>
      </c>
      <c r="G13" s="91"/>
      <c r="H13" s="298"/>
      <c r="I13" s="92"/>
      <c r="J13" s="93"/>
      <c r="K13" s="383"/>
      <c r="L13" s="93"/>
      <c r="M13" s="94"/>
      <c r="N13" s="95">
        <v>2101.58</v>
      </c>
      <c r="O13" s="319"/>
      <c r="P13" s="191">
        <v>12134</v>
      </c>
      <c r="Q13" s="191">
        <f t="shared" si="11"/>
        <v>-12134</v>
      </c>
      <c r="R13" s="194">
        <f t="shared" si="12"/>
        <v>0</v>
      </c>
      <c r="S13" s="193"/>
      <c r="T13" s="193"/>
      <c r="U13" s="193"/>
      <c r="V13" s="193"/>
      <c r="W13" s="193"/>
      <c r="X13" s="192">
        <f t="shared" si="8"/>
        <v>0</v>
      </c>
      <c r="Y13" s="199"/>
      <c r="Z13" s="191">
        <v>5991</v>
      </c>
      <c r="AA13" s="191">
        <v>5102</v>
      </c>
      <c r="AB13" s="191">
        <v>41</v>
      </c>
      <c r="AC13" s="191">
        <v>197</v>
      </c>
      <c r="AD13" s="191">
        <v>54</v>
      </c>
      <c r="AE13" s="191">
        <v>749</v>
      </c>
      <c r="AG13" s="191">
        <f t="shared" si="13"/>
        <v>8797</v>
      </c>
      <c r="AH13" s="191">
        <f t="shared" si="14"/>
        <v>-8797</v>
      </c>
      <c r="AI13" s="194">
        <f t="shared" si="15"/>
        <v>0</v>
      </c>
      <c r="AJ13" s="193"/>
      <c r="AK13" s="193"/>
      <c r="AL13" s="193"/>
      <c r="AM13" s="193"/>
      <c r="AN13" s="192">
        <f t="shared" si="9"/>
        <v>0</v>
      </c>
      <c r="AO13" s="199"/>
      <c r="AP13" s="191">
        <v>4505</v>
      </c>
      <c r="AQ13" s="191">
        <v>4081</v>
      </c>
      <c r="AR13" s="191">
        <v>35</v>
      </c>
      <c r="AS13" s="191">
        <v>145</v>
      </c>
      <c r="AT13" s="191">
        <v>31</v>
      </c>
    </row>
    <row r="14" spans="1:46" s="65" customFormat="1" ht="12">
      <c r="A14" s="61"/>
      <c r="B14" s="62"/>
      <c r="C14" s="62"/>
      <c r="D14" s="63" t="s">
        <v>24</v>
      </c>
      <c r="E14" s="64">
        <v>10</v>
      </c>
      <c r="F14" s="129">
        <f t="shared" si="10"/>
        <v>0</v>
      </c>
      <c r="G14" s="91"/>
      <c r="H14" s="298"/>
      <c r="I14" s="92"/>
      <c r="J14" s="93"/>
      <c r="K14" s="383"/>
      <c r="L14" s="93"/>
      <c r="M14" s="94"/>
      <c r="N14" s="95"/>
      <c r="O14" s="319"/>
      <c r="P14" s="191">
        <v>100</v>
      </c>
      <c r="Q14" s="191">
        <f t="shared" si="11"/>
        <v>-100</v>
      </c>
      <c r="R14" s="192">
        <f t="shared" si="12"/>
        <v>0</v>
      </c>
      <c r="S14" s="193"/>
      <c r="T14" s="193"/>
      <c r="U14" s="193"/>
      <c r="V14" s="193"/>
      <c r="W14" s="193"/>
      <c r="X14" s="192">
        <f t="shared" si="8"/>
        <v>0</v>
      </c>
      <c r="Y14" s="199"/>
      <c r="Z14" s="191">
        <v>52</v>
      </c>
      <c r="AA14" s="191">
        <v>42</v>
      </c>
      <c r="AB14" s="191"/>
      <c r="AC14" s="191"/>
      <c r="AD14" s="191"/>
      <c r="AE14" s="191">
        <v>6</v>
      </c>
      <c r="AG14" s="191">
        <f t="shared" si="13"/>
        <v>80</v>
      </c>
      <c r="AH14" s="191">
        <f t="shared" si="14"/>
        <v>-80</v>
      </c>
      <c r="AI14" s="192">
        <f t="shared" si="15"/>
        <v>0</v>
      </c>
      <c r="AJ14" s="193"/>
      <c r="AK14" s="193"/>
      <c r="AL14" s="193"/>
      <c r="AM14" s="193"/>
      <c r="AN14" s="192">
        <f t="shared" si="9"/>
        <v>0</v>
      </c>
      <c r="AO14" s="199"/>
      <c r="AP14" s="191">
        <v>48</v>
      </c>
      <c r="AQ14" s="191">
        <v>32</v>
      </c>
      <c r="AR14" s="191"/>
      <c r="AS14" s="191"/>
      <c r="AT14" s="191"/>
    </row>
    <row r="15" spans="1:46" s="65" customFormat="1" ht="12">
      <c r="A15" s="61"/>
      <c r="B15" s="62"/>
      <c r="C15" s="62"/>
      <c r="D15" s="63" t="s">
        <v>25</v>
      </c>
      <c r="E15" s="64">
        <v>11</v>
      </c>
      <c r="F15" s="129">
        <f t="shared" si="10"/>
        <v>53832000</v>
      </c>
      <c r="G15" s="91"/>
      <c r="H15" s="298">
        <v>53832000</v>
      </c>
      <c r="I15" s="92"/>
      <c r="J15" s="93"/>
      <c r="K15" s="383"/>
      <c r="L15" s="93"/>
      <c r="M15" s="94"/>
      <c r="N15" s="95">
        <v>53022367</v>
      </c>
      <c r="O15" s="319"/>
      <c r="P15" s="191">
        <v>12209</v>
      </c>
      <c r="Q15" s="191">
        <f t="shared" si="11"/>
        <v>-12209</v>
      </c>
      <c r="R15" s="192">
        <f t="shared" si="12"/>
        <v>0</v>
      </c>
      <c r="S15" s="193">
        <v>53832</v>
      </c>
      <c r="T15" s="193"/>
      <c r="U15" s="193"/>
      <c r="V15" s="193"/>
      <c r="W15" s="193"/>
      <c r="X15" s="192">
        <f t="shared" si="8"/>
        <v>53832</v>
      </c>
      <c r="Y15" s="199"/>
      <c r="Z15" s="191">
        <v>5876</v>
      </c>
      <c r="AA15" s="191">
        <v>5879</v>
      </c>
      <c r="AB15" s="191">
        <v>19</v>
      </c>
      <c r="AC15" s="191">
        <v>113</v>
      </c>
      <c r="AD15" s="191">
        <v>50</v>
      </c>
      <c r="AE15" s="191">
        <v>272</v>
      </c>
      <c r="AG15" s="191">
        <f t="shared" si="13"/>
        <v>10770</v>
      </c>
      <c r="AH15" s="191">
        <f t="shared" si="14"/>
        <v>-10770</v>
      </c>
      <c r="AI15" s="192">
        <f t="shared" si="15"/>
        <v>0</v>
      </c>
      <c r="AJ15" s="193">
        <v>53022</v>
      </c>
      <c r="AK15" s="193"/>
      <c r="AL15" s="193"/>
      <c r="AM15" s="193"/>
      <c r="AN15" s="192">
        <f t="shared" si="9"/>
        <v>53022</v>
      </c>
      <c r="AO15" s="199"/>
      <c r="AP15" s="191">
        <v>5655</v>
      </c>
      <c r="AQ15" s="191">
        <v>4847</v>
      </c>
      <c r="AR15" s="191">
        <v>40</v>
      </c>
      <c r="AS15" s="191">
        <v>183</v>
      </c>
      <c r="AT15" s="191">
        <v>45</v>
      </c>
    </row>
    <row r="16" spans="1:46" s="65" customFormat="1" ht="12">
      <c r="A16" s="61"/>
      <c r="B16" s="62"/>
      <c r="C16" s="62"/>
      <c r="D16" s="63" t="s">
        <v>26</v>
      </c>
      <c r="E16" s="64">
        <v>12</v>
      </c>
      <c r="F16" s="129">
        <f t="shared" si="10"/>
        <v>0</v>
      </c>
      <c r="G16" s="91"/>
      <c r="H16" s="298"/>
      <c r="I16" s="92"/>
      <c r="J16" s="93"/>
      <c r="K16" s="383"/>
      <c r="L16" s="93"/>
      <c r="M16" s="94"/>
      <c r="N16" s="95"/>
      <c r="O16" s="319"/>
      <c r="P16" s="191">
        <f>SUM(Z16:AD16)</f>
        <v>0</v>
      </c>
      <c r="Q16" s="191">
        <f t="shared" si="11"/>
        <v>0</v>
      </c>
      <c r="R16" s="192">
        <f t="shared" si="12"/>
        <v>0</v>
      </c>
      <c r="S16" s="193"/>
      <c r="T16" s="193"/>
      <c r="U16" s="193"/>
      <c r="V16" s="193"/>
      <c r="W16" s="193"/>
      <c r="X16" s="192">
        <f t="shared" si="8"/>
        <v>0</v>
      </c>
      <c r="Y16" s="199"/>
      <c r="Z16" s="191"/>
      <c r="AA16" s="191"/>
      <c r="AB16" s="191"/>
      <c r="AC16" s="191"/>
      <c r="AD16" s="191"/>
      <c r="AE16" s="191"/>
      <c r="AG16" s="191">
        <f t="shared" si="13"/>
        <v>0</v>
      </c>
      <c r="AH16" s="191">
        <f t="shared" si="14"/>
        <v>0</v>
      </c>
      <c r="AI16" s="192">
        <f t="shared" si="15"/>
        <v>0</v>
      </c>
      <c r="AJ16" s="193"/>
      <c r="AK16" s="193"/>
      <c r="AL16" s="193"/>
      <c r="AM16" s="193"/>
      <c r="AN16" s="192">
        <f t="shared" si="9"/>
        <v>0</v>
      </c>
      <c r="AO16" s="199"/>
      <c r="AP16" s="191"/>
      <c r="AQ16" s="191"/>
      <c r="AR16" s="191"/>
      <c r="AS16" s="191"/>
      <c r="AT16" s="191"/>
    </row>
    <row r="17" spans="1:46" s="65" customFormat="1" ht="12">
      <c r="A17" s="61"/>
      <c r="B17" s="62"/>
      <c r="C17" s="63"/>
      <c r="D17" s="63" t="s">
        <v>27</v>
      </c>
      <c r="E17" s="64">
        <v>13</v>
      </c>
      <c r="F17" s="129">
        <f t="shared" si="10"/>
        <v>100000</v>
      </c>
      <c r="G17" s="91"/>
      <c r="H17" s="92"/>
      <c r="I17" s="92"/>
      <c r="J17" s="93"/>
      <c r="K17" s="383"/>
      <c r="L17" s="93">
        <v>100000</v>
      </c>
      <c r="M17" s="94"/>
      <c r="N17" s="95">
        <v>-11721158.54</v>
      </c>
      <c r="O17" s="319"/>
      <c r="P17" s="191">
        <v>707</v>
      </c>
      <c r="Q17" s="191">
        <f t="shared" si="11"/>
        <v>-707</v>
      </c>
      <c r="R17" s="192">
        <f t="shared" si="12"/>
        <v>0</v>
      </c>
      <c r="S17" s="193"/>
      <c r="T17" s="193"/>
      <c r="U17" s="193"/>
      <c r="V17" s="193">
        <v>100</v>
      </c>
      <c r="W17" s="193"/>
      <c r="X17" s="192">
        <f t="shared" si="8"/>
        <v>100</v>
      </c>
      <c r="Y17" s="199"/>
      <c r="Z17" s="191">
        <v>330</v>
      </c>
      <c r="AA17" s="191">
        <v>305</v>
      </c>
      <c r="AB17" s="191">
        <v>2</v>
      </c>
      <c r="AC17" s="191">
        <v>8</v>
      </c>
      <c r="AD17" s="191">
        <v>2</v>
      </c>
      <c r="AE17" s="191">
        <v>60</v>
      </c>
      <c r="AG17" s="191">
        <f t="shared" si="13"/>
        <v>564</v>
      </c>
      <c r="AH17" s="191">
        <f t="shared" si="14"/>
        <v>-564</v>
      </c>
      <c r="AI17" s="192">
        <f t="shared" si="15"/>
        <v>0</v>
      </c>
      <c r="AJ17" s="193"/>
      <c r="AK17" s="193"/>
      <c r="AL17" s="193">
        <v>2</v>
      </c>
      <c r="AM17" s="193">
        <v>99</v>
      </c>
      <c r="AN17" s="192">
        <f t="shared" si="9"/>
        <v>101</v>
      </c>
      <c r="AO17" s="199"/>
      <c r="AP17" s="191">
        <v>290</v>
      </c>
      <c r="AQ17" s="191">
        <v>267</v>
      </c>
      <c r="AR17" s="191">
        <v>1</v>
      </c>
      <c r="AS17" s="191">
        <v>6</v>
      </c>
      <c r="AT17" s="191"/>
    </row>
    <row r="18" spans="1:46" s="25" customFormat="1" ht="12">
      <c r="A18" s="21"/>
      <c r="B18" s="30" t="s">
        <v>28</v>
      </c>
      <c r="C18" s="27"/>
      <c r="D18" s="27"/>
      <c r="E18" s="28">
        <v>14</v>
      </c>
      <c r="F18" s="130">
        <f t="shared" si="10"/>
        <v>0</v>
      </c>
      <c r="G18" s="97"/>
      <c r="H18" s="98"/>
      <c r="I18" s="98"/>
      <c r="J18" s="99"/>
      <c r="K18" s="384"/>
      <c r="L18" s="99"/>
      <c r="M18" s="100"/>
      <c r="N18" s="101"/>
      <c r="O18" s="317"/>
      <c r="P18" s="189"/>
      <c r="Q18" s="189"/>
      <c r="R18" s="189">
        <f t="shared" si="12"/>
        <v>0</v>
      </c>
      <c r="S18" s="189"/>
      <c r="T18" s="189"/>
      <c r="U18" s="189"/>
      <c r="V18" s="189"/>
      <c r="W18" s="189"/>
      <c r="X18" s="192">
        <f t="shared" si="8"/>
        <v>0</v>
      </c>
      <c r="Y18" s="59"/>
      <c r="Z18" s="189"/>
      <c r="AA18" s="189"/>
      <c r="AB18" s="189"/>
      <c r="AC18" s="189"/>
      <c r="AD18" s="189"/>
      <c r="AE18" s="189"/>
      <c r="AG18" s="189"/>
      <c r="AH18" s="189"/>
      <c r="AI18" s="189">
        <f t="shared" si="15"/>
        <v>0</v>
      </c>
      <c r="AJ18" s="189"/>
      <c r="AK18" s="189"/>
      <c r="AL18" s="189"/>
      <c r="AM18" s="189"/>
      <c r="AN18" s="192">
        <f t="shared" si="9"/>
        <v>0</v>
      </c>
      <c r="AO18" s="59"/>
      <c r="AP18" s="189"/>
      <c r="AQ18" s="189"/>
      <c r="AR18" s="189"/>
      <c r="AS18" s="189"/>
      <c r="AT18" s="189"/>
    </row>
    <row r="19" spans="1:46" s="25" customFormat="1" ht="12">
      <c r="A19" s="21"/>
      <c r="B19" s="30" t="s">
        <v>30</v>
      </c>
      <c r="C19" s="27"/>
      <c r="D19" s="27"/>
      <c r="E19" s="28">
        <v>15</v>
      </c>
      <c r="F19" s="130">
        <f t="shared" si="10"/>
        <v>0</v>
      </c>
      <c r="G19" s="97"/>
      <c r="H19" s="98"/>
      <c r="I19" s="98"/>
      <c r="J19" s="99"/>
      <c r="K19" s="384"/>
      <c r="L19" s="99"/>
      <c r="M19" s="100"/>
      <c r="N19" s="101"/>
      <c r="O19" s="317"/>
      <c r="P19" s="189"/>
      <c r="Q19" s="189"/>
      <c r="R19" s="189">
        <f t="shared" si="12"/>
        <v>0</v>
      </c>
      <c r="S19" s="189"/>
      <c r="T19" s="189"/>
      <c r="U19" s="189"/>
      <c r="V19" s="189"/>
      <c r="W19" s="189"/>
      <c r="X19" s="192">
        <f t="shared" si="8"/>
        <v>0</v>
      </c>
      <c r="Y19" s="59"/>
      <c r="Z19" s="189"/>
      <c r="AA19" s="189"/>
      <c r="AB19" s="189"/>
      <c r="AC19" s="189"/>
      <c r="AD19" s="189"/>
      <c r="AE19" s="189"/>
      <c r="AG19" s="189"/>
      <c r="AH19" s="189"/>
      <c r="AI19" s="189">
        <f t="shared" si="15"/>
        <v>0</v>
      </c>
      <c r="AJ19" s="189"/>
      <c r="AK19" s="189"/>
      <c r="AL19" s="189"/>
      <c r="AM19" s="189"/>
      <c r="AN19" s="192">
        <f t="shared" si="9"/>
        <v>0</v>
      </c>
      <c r="AO19" s="59"/>
      <c r="AP19" s="189"/>
      <c r="AQ19" s="189"/>
      <c r="AR19" s="189"/>
      <c r="AS19" s="189"/>
      <c r="AT19" s="189"/>
    </row>
    <row r="20" spans="1:46" s="25" customFormat="1" ht="12">
      <c r="A20" s="21"/>
      <c r="B20" s="31" t="s">
        <v>32</v>
      </c>
      <c r="C20" s="32"/>
      <c r="D20" s="32"/>
      <c r="E20" s="33">
        <v>16</v>
      </c>
      <c r="F20" s="130">
        <f t="shared" si="10"/>
        <v>0</v>
      </c>
      <c r="G20" s="97"/>
      <c r="H20" s="98"/>
      <c r="I20" s="98"/>
      <c r="J20" s="99"/>
      <c r="K20" s="384"/>
      <c r="L20" s="99"/>
      <c r="M20" s="100"/>
      <c r="N20" s="101"/>
      <c r="O20" s="317"/>
      <c r="P20" s="189"/>
      <c r="Q20" s="189"/>
      <c r="R20" s="189">
        <f t="shared" si="12"/>
        <v>0</v>
      </c>
      <c r="S20" s="189"/>
      <c r="T20" s="189"/>
      <c r="U20" s="189"/>
      <c r="V20" s="189"/>
      <c r="W20" s="189"/>
      <c r="X20" s="192">
        <f t="shared" si="8"/>
        <v>0</v>
      </c>
      <c r="Y20" s="59"/>
      <c r="Z20" s="189"/>
      <c r="AA20" s="189"/>
      <c r="AB20" s="189"/>
      <c r="AC20" s="189"/>
      <c r="AD20" s="189"/>
      <c r="AE20" s="189"/>
      <c r="AG20" s="189"/>
      <c r="AH20" s="189"/>
      <c r="AI20" s="189">
        <f t="shared" si="15"/>
        <v>0</v>
      </c>
      <c r="AJ20" s="189"/>
      <c r="AK20" s="189"/>
      <c r="AL20" s="189"/>
      <c r="AM20" s="189"/>
      <c r="AN20" s="192">
        <f t="shared" si="9"/>
        <v>0</v>
      </c>
      <c r="AO20" s="59"/>
      <c r="AP20" s="189"/>
      <c r="AQ20" s="189"/>
      <c r="AR20" s="189"/>
      <c r="AS20" s="189"/>
      <c r="AT20" s="189"/>
    </row>
    <row r="21" spans="1:46" s="25" customFormat="1" ht="12">
      <c r="A21" s="21"/>
      <c r="B21" s="31" t="s">
        <v>34</v>
      </c>
      <c r="C21" s="32"/>
      <c r="D21" s="32"/>
      <c r="E21" s="33">
        <v>17</v>
      </c>
      <c r="F21" s="130">
        <f t="shared" si="10"/>
        <v>0</v>
      </c>
      <c r="G21" s="97"/>
      <c r="H21" s="98"/>
      <c r="I21" s="98"/>
      <c r="J21" s="99"/>
      <c r="K21" s="384"/>
      <c r="L21" s="99"/>
      <c r="M21" s="100"/>
      <c r="N21" s="101"/>
      <c r="O21" s="317"/>
      <c r="P21" s="189"/>
      <c r="Q21" s="189"/>
      <c r="R21" s="189">
        <f t="shared" si="12"/>
        <v>0</v>
      </c>
      <c r="S21" s="189"/>
      <c r="T21" s="189"/>
      <c r="U21" s="189"/>
      <c r="V21" s="189"/>
      <c r="W21" s="189"/>
      <c r="X21" s="192">
        <f t="shared" si="8"/>
        <v>0</v>
      </c>
      <c r="Y21" s="59"/>
      <c r="Z21" s="189"/>
      <c r="AA21" s="189"/>
      <c r="AB21" s="189"/>
      <c r="AC21" s="189"/>
      <c r="AD21" s="189"/>
      <c r="AE21" s="189"/>
      <c r="AG21" s="189"/>
      <c r="AH21" s="189"/>
      <c r="AI21" s="189">
        <f t="shared" si="15"/>
        <v>0</v>
      </c>
      <c r="AJ21" s="189"/>
      <c r="AK21" s="189"/>
      <c r="AL21" s="189"/>
      <c r="AM21" s="189"/>
      <c r="AN21" s="192">
        <f t="shared" si="9"/>
        <v>0</v>
      </c>
      <c r="AO21" s="59"/>
      <c r="AP21" s="189"/>
      <c r="AQ21" s="189"/>
      <c r="AR21" s="189"/>
      <c r="AS21" s="189"/>
      <c r="AT21" s="189"/>
    </row>
    <row r="22" spans="1:46" s="25" customFormat="1" ht="12">
      <c r="A22" s="21"/>
      <c r="B22" s="31" t="s">
        <v>36</v>
      </c>
      <c r="C22" s="31"/>
      <c r="D22" s="31"/>
      <c r="E22" s="33">
        <v>18</v>
      </c>
      <c r="F22" s="130">
        <f t="shared" si="10"/>
        <v>0</v>
      </c>
      <c r="G22" s="97"/>
      <c r="H22" s="98"/>
      <c r="I22" s="98"/>
      <c r="J22" s="99"/>
      <c r="K22" s="384"/>
      <c r="L22" s="99"/>
      <c r="M22" s="100"/>
      <c r="N22" s="101"/>
      <c r="O22" s="317"/>
      <c r="P22" s="189"/>
      <c r="Q22" s="189"/>
      <c r="R22" s="189">
        <f t="shared" si="12"/>
        <v>0</v>
      </c>
      <c r="S22" s="189"/>
      <c r="T22" s="189"/>
      <c r="U22" s="189"/>
      <c r="V22" s="189"/>
      <c r="W22" s="189"/>
      <c r="X22" s="192">
        <f t="shared" si="8"/>
        <v>0</v>
      </c>
      <c r="Y22" s="59"/>
      <c r="Z22" s="189"/>
      <c r="AA22" s="189"/>
      <c r="AB22" s="189"/>
      <c r="AC22" s="189"/>
      <c r="AD22" s="189"/>
      <c r="AE22" s="189"/>
      <c r="AG22" s="189"/>
      <c r="AH22" s="189"/>
      <c r="AI22" s="189">
        <f t="shared" si="15"/>
        <v>0</v>
      </c>
      <c r="AJ22" s="189"/>
      <c r="AK22" s="189"/>
      <c r="AL22" s="189"/>
      <c r="AM22" s="189"/>
      <c r="AN22" s="192">
        <f t="shared" si="9"/>
        <v>0</v>
      </c>
      <c r="AO22" s="59"/>
      <c r="AP22" s="189"/>
      <c r="AQ22" s="189"/>
      <c r="AR22" s="189"/>
      <c r="AS22" s="189"/>
      <c r="AT22" s="189"/>
    </row>
    <row r="23" spans="1:46" s="25" customFormat="1" ht="12">
      <c r="A23" s="21"/>
      <c r="B23" s="31" t="s">
        <v>38</v>
      </c>
      <c r="C23" s="31"/>
      <c r="D23" s="31"/>
      <c r="E23" s="33">
        <v>19</v>
      </c>
      <c r="F23" s="130">
        <f t="shared" si="10"/>
        <v>0</v>
      </c>
      <c r="G23" s="97"/>
      <c r="H23" s="98"/>
      <c r="I23" s="98"/>
      <c r="J23" s="99"/>
      <c r="K23" s="384"/>
      <c r="L23" s="99"/>
      <c r="M23" s="100"/>
      <c r="N23" s="101"/>
      <c r="O23" s="317"/>
      <c r="P23" s="189"/>
      <c r="Q23" s="189"/>
      <c r="R23" s="189">
        <f t="shared" si="12"/>
        <v>0</v>
      </c>
      <c r="S23" s="189"/>
      <c r="T23" s="189"/>
      <c r="U23" s="189"/>
      <c r="V23" s="189"/>
      <c r="W23" s="189"/>
      <c r="X23" s="192">
        <f t="shared" si="8"/>
        <v>0</v>
      </c>
      <c r="Y23" s="59"/>
      <c r="Z23" s="189"/>
      <c r="AA23" s="189"/>
      <c r="AB23" s="189"/>
      <c r="AC23" s="189"/>
      <c r="AD23" s="189"/>
      <c r="AE23" s="189"/>
      <c r="AG23" s="189"/>
      <c r="AH23" s="189"/>
      <c r="AI23" s="189">
        <f t="shared" si="15"/>
        <v>0</v>
      </c>
      <c r="AJ23" s="189"/>
      <c r="AK23" s="189"/>
      <c r="AL23" s="189"/>
      <c r="AM23" s="189"/>
      <c r="AN23" s="192">
        <f t="shared" si="9"/>
        <v>0</v>
      </c>
      <c r="AO23" s="59"/>
      <c r="AP23" s="189"/>
      <c r="AQ23" s="189"/>
      <c r="AR23" s="189"/>
      <c r="AS23" s="189"/>
      <c r="AT23" s="189"/>
    </row>
    <row r="24" spans="1:46" s="25" customFormat="1" ht="12">
      <c r="A24" s="21"/>
      <c r="B24" s="31" t="s">
        <v>40</v>
      </c>
      <c r="C24" s="31"/>
      <c r="D24" s="31"/>
      <c r="E24" s="33">
        <v>20</v>
      </c>
      <c r="F24" s="130">
        <f t="shared" si="10"/>
        <v>0</v>
      </c>
      <c r="G24" s="97"/>
      <c r="H24" s="100"/>
      <c r="I24" s="99"/>
      <c r="J24" s="99"/>
      <c r="K24" s="384"/>
      <c r="L24" s="99"/>
      <c r="M24" s="100"/>
      <c r="N24" s="101"/>
      <c r="O24" s="317"/>
      <c r="P24" s="189"/>
      <c r="Q24" s="189"/>
      <c r="R24" s="189">
        <f t="shared" si="12"/>
        <v>0</v>
      </c>
      <c r="S24" s="189"/>
      <c r="T24" s="189"/>
      <c r="U24" s="189"/>
      <c r="V24" s="189"/>
      <c r="W24" s="189"/>
      <c r="X24" s="192">
        <f t="shared" si="8"/>
        <v>0</v>
      </c>
      <c r="Y24" s="59"/>
      <c r="Z24" s="189"/>
      <c r="AA24" s="189"/>
      <c r="AB24" s="189"/>
      <c r="AC24" s="189"/>
      <c r="AD24" s="189"/>
      <c r="AE24" s="189"/>
      <c r="AG24" s="189"/>
      <c r="AH24" s="189"/>
      <c r="AI24" s="189">
        <f t="shared" si="15"/>
        <v>0</v>
      </c>
      <c r="AJ24" s="189"/>
      <c r="AK24" s="189"/>
      <c r="AL24" s="189"/>
      <c r="AM24" s="189"/>
      <c r="AN24" s="192">
        <f t="shared" si="9"/>
        <v>0</v>
      </c>
      <c r="AO24" s="59"/>
      <c r="AP24" s="189"/>
      <c r="AQ24" s="189"/>
      <c r="AR24" s="189"/>
      <c r="AS24" s="189"/>
      <c r="AT24" s="189"/>
    </row>
    <row r="25" spans="1:46" s="25" customFormat="1" ht="12">
      <c r="A25" s="21"/>
      <c r="B25" s="31" t="s">
        <v>42</v>
      </c>
      <c r="C25" s="31"/>
      <c r="D25" s="31"/>
      <c r="E25" s="33">
        <v>21</v>
      </c>
      <c r="F25" s="130">
        <f t="shared" si="10"/>
        <v>0</v>
      </c>
      <c r="G25" s="97"/>
      <c r="H25" s="100"/>
      <c r="I25" s="99"/>
      <c r="J25" s="99"/>
      <c r="K25" s="384"/>
      <c r="L25" s="99"/>
      <c r="M25" s="100"/>
      <c r="N25" s="101"/>
      <c r="O25" s="317"/>
      <c r="P25" s="189"/>
      <c r="Q25" s="189"/>
      <c r="R25" s="189">
        <f t="shared" si="12"/>
        <v>0</v>
      </c>
      <c r="S25" s="189"/>
      <c r="T25" s="189"/>
      <c r="U25" s="189"/>
      <c r="V25" s="189"/>
      <c r="W25" s="189"/>
      <c r="X25" s="192">
        <f t="shared" si="8"/>
        <v>0</v>
      </c>
      <c r="Y25" s="59"/>
      <c r="Z25" s="189"/>
      <c r="AA25" s="189"/>
      <c r="AB25" s="189"/>
      <c r="AC25" s="189"/>
      <c r="AD25" s="189"/>
      <c r="AE25" s="189"/>
      <c r="AG25" s="189"/>
      <c r="AH25" s="189"/>
      <c r="AI25" s="189">
        <f t="shared" si="15"/>
        <v>0</v>
      </c>
      <c r="AJ25" s="189"/>
      <c r="AK25" s="189"/>
      <c r="AL25" s="189"/>
      <c r="AM25" s="189"/>
      <c r="AN25" s="192">
        <f t="shared" si="9"/>
        <v>0</v>
      </c>
      <c r="AO25" s="59"/>
      <c r="AP25" s="189"/>
      <c r="AQ25" s="189"/>
      <c r="AR25" s="189"/>
      <c r="AS25" s="189"/>
      <c r="AT25" s="189"/>
    </row>
    <row r="26" spans="1:46" s="25" customFormat="1" ht="12">
      <c r="A26" s="21"/>
      <c r="B26" s="31" t="s">
        <v>44</v>
      </c>
      <c r="C26" s="31"/>
      <c r="D26" s="31"/>
      <c r="E26" s="33">
        <v>22</v>
      </c>
      <c r="F26" s="130">
        <f t="shared" si="10"/>
        <v>0</v>
      </c>
      <c r="G26" s="97"/>
      <c r="H26" s="100"/>
      <c r="I26" s="99"/>
      <c r="J26" s="99"/>
      <c r="K26" s="384"/>
      <c r="L26" s="99"/>
      <c r="M26" s="100"/>
      <c r="N26" s="101"/>
      <c r="O26" s="317"/>
      <c r="P26" s="189"/>
      <c r="Q26" s="189"/>
      <c r="R26" s="189">
        <f t="shared" si="12"/>
        <v>0</v>
      </c>
      <c r="S26" s="189"/>
      <c r="T26" s="189"/>
      <c r="U26" s="189"/>
      <c r="V26" s="189"/>
      <c r="W26" s="189"/>
      <c r="X26" s="192">
        <f t="shared" si="8"/>
        <v>0</v>
      </c>
      <c r="Y26" s="59"/>
      <c r="Z26" s="189"/>
      <c r="AA26" s="189"/>
      <c r="AB26" s="189"/>
      <c r="AC26" s="189"/>
      <c r="AD26" s="189"/>
      <c r="AE26" s="189"/>
      <c r="AG26" s="189"/>
      <c r="AH26" s="189"/>
      <c r="AI26" s="189">
        <f t="shared" si="15"/>
        <v>0</v>
      </c>
      <c r="AJ26" s="189"/>
      <c r="AK26" s="189"/>
      <c r="AL26" s="189"/>
      <c r="AM26" s="189"/>
      <c r="AN26" s="192">
        <f t="shared" si="9"/>
        <v>0</v>
      </c>
      <c r="AO26" s="59"/>
      <c r="AP26" s="189"/>
      <c r="AQ26" s="189"/>
      <c r="AR26" s="189"/>
      <c r="AS26" s="189"/>
      <c r="AT26" s="189"/>
    </row>
    <row r="27" spans="1:46" s="25" customFormat="1" ht="12">
      <c r="A27" s="21"/>
      <c r="B27" s="31" t="s">
        <v>45</v>
      </c>
      <c r="C27" s="31"/>
      <c r="D27" s="31"/>
      <c r="E27" s="33">
        <v>23</v>
      </c>
      <c r="F27" s="130">
        <f t="shared" si="10"/>
        <v>0</v>
      </c>
      <c r="G27" s="97"/>
      <c r="H27" s="100"/>
      <c r="I27" s="99"/>
      <c r="J27" s="99"/>
      <c r="K27" s="384"/>
      <c r="L27" s="99"/>
      <c r="M27" s="100"/>
      <c r="N27" s="101"/>
      <c r="O27" s="317"/>
      <c r="P27" s="189"/>
      <c r="Q27" s="189"/>
      <c r="R27" s="189">
        <f t="shared" si="12"/>
        <v>0</v>
      </c>
      <c r="S27" s="189"/>
      <c r="T27" s="189"/>
      <c r="U27" s="189"/>
      <c r="V27" s="189"/>
      <c r="W27" s="189"/>
      <c r="X27" s="192">
        <f t="shared" si="8"/>
        <v>0</v>
      </c>
      <c r="Y27" s="59"/>
      <c r="Z27" s="189"/>
      <c r="AA27" s="189"/>
      <c r="AB27" s="189"/>
      <c r="AC27" s="189"/>
      <c r="AD27" s="189"/>
      <c r="AE27" s="189"/>
      <c r="AG27" s="189"/>
      <c r="AH27" s="189"/>
      <c r="AI27" s="189">
        <f t="shared" si="15"/>
        <v>0</v>
      </c>
      <c r="AJ27" s="189"/>
      <c r="AK27" s="189"/>
      <c r="AL27" s="189"/>
      <c r="AM27" s="189"/>
      <c r="AN27" s="192">
        <f t="shared" si="9"/>
        <v>0</v>
      </c>
      <c r="AO27" s="59"/>
      <c r="AP27" s="189"/>
      <c r="AQ27" s="189"/>
      <c r="AR27" s="189"/>
      <c r="AS27" s="189"/>
      <c r="AT27" s="189"/>
    </row>
    <row r="28" spans="1:46" s="25" customFormat="1" ht="12">
      <c r="A28" s="21"/>
      <c r="B28" s="31" t="s">
        <v>47</v>
      </c>
      <c r="C28" s="31"/>
      <c r="D28" s="31"/>
      <c r="E28" s="33">
        <v>24</v>
      </c>
      <c r="F28" s="130">
        <f t="shared" si="10"/>
        <v>0</v>
      </c>
      <c r="G28" s="97"/>
      <c r="H28" s="100"/>
      <c r="I28" s="99"/>
      <c r="J28" s="99"/>
      <c r="K28" s="384"/>
      <c r="L28" s="99"/>
      <c r="M28" s="100"/>
      <c r="N28" s="101"/>
      <c r="O28" s="317"/>
      <c r="P28" s="189"/>
      <c r="Q28" s="189"/>
      <c r="R28" s="189"/>
      <c r="S28" s="189"/>
      <c r="T28" s="189"/>
      <c r="U28" s="189"/>
      <c r="V28" s="189"/>
      <c r="W28" s="189"/>
      <c r="X28" s="192"/>
      <c r="Y28" s="59"/>
      <c r="Z28" s="189"/>
      <c r="AA28" s="189"/>
      <c r="AB28" s="189"/>
      <c r="AC28" s="189"/>
      <c r="AD28" s="189"/>
      <c r="AE28" s="189"/>
      <c r="AG28" s="189"/>
      <c r="AH28" s="189"/>
      <c r="AI28" s="189"/>
      <c r="AJ28" s="189"/>
      <c r="AK28" s="189"/>
      <c r="AL28" s="189"/>
      <c r="AM28" s="189"/>
      <c r="AN28" s="192"/>
      <c r="AO28" s="59"/>
      <c r="AP28" s="189"/>
      <c r="AQ28" s="189"/>
      <c r="AR28" s="189"/>
      <c r="AS28" s="189"/>
      <c r="AT28" s="189"/>
    </row>
    <row r="29" spans="1:46" s="25" customFormat="1" ht="12.75" thickBot="1">
      <c r="A29" s="21"/>
      <c r="B29" s="30" t="s">
        <v>49</v>
      </c>
      <c r="C29" s="30"/>
      <c r="D29" s="30"/>
      <c r="E29" s="28">
        <v>25</v>
      </c>
      <c r="F29" s="130">
        <f t="shared" si="10"/>
        <v>0</v>
      </c>
      <c r="G29" s="97"/>
      <c r="H29" s="100"/>
      <c r="I29" s="99"/>
      <c r="J29" s="99"/>
      <c r="K29" s="384"/>
      <c r="L29" s="99"/>
      <c r="M29" s="100"/>
      <c r="N29" s="101"/>
      <c r="O29" s="320"/>
      <c r="P29" s="189"/>
      <c r="Q29" s="189"/>
      <c r="R29" s="189"/>
      <c r="S29" s="189"/>
      <c r="T29" s="189"/>
      <c r="U29" s="189"/>
      <c r="V29" s="189"/>
      <c r="W29" s="189"/>
      <c r="X29" s="192"/>
      <c r="Y29" s="59"/>
      <c r="Z29" s="189"/>
      <c r="AA29" s="189"/>
      <c r="AB29" s="189"/>
      <c r="AC29" s="189"/>
      <c r="AD29" s="189"/>
      <c r="AE29" s="189"/>
      <c r="AG29" s="189"/>
      <c r="AH29" s="189"/>
      <c r="AI29" s="189"/>
      <c r="AJ29" s="189"/>
      <c r="AK29" s="189"/>
      <c r="AL29" s="189"/>
      <c r="AM29" s="189"/>
      <c r="AN29" s="192"/>
      <c r="AO29" s="59"/>
      <c r="AP29" s="189"/>
      <c r="AQ29" s="189"/>
      <c r="AR29" s="189"/>
      <c r="AS29" s="189"/>
      <c r="AT29" s="189"/>
    </row>
    <row r="30" spans="1:46" ht="13.5" thickBot="1">
      <c r="A30" s="37" t="s">
        <v>51</v>
      </c>
      <c r="B30" s="38"/>
      <c r="C30" s="38"/>
      <c r="D30" s="38"/>
      <c r="E30" s="19">
        <v>26</v>
      </c>
      <c r="F30" s="127">
        <f>SUM(F31:F47)</f>
        <v>54488000</v>
      </c>
      <c r="G30" s="81">
        <f aca="true" t="shared" si="16" ref="G30:N30">SUM(G31:G47)</f>
        <v>0</v>
      </c>
      <c r="H30" s="82">
        <f t="shared" si="16"/>
        <v>54192000</v>
      </c>
      <c r="I30" s="83">
        <f t="shared" si="16"/>
        <v>156000</v>
      </c>
      <c r="J30" s="83">
        <f t="shared" si="16"/>
        <v>40000</v>
      </c>
      <c r="K30" s="381">
        <f t="shared" si="16"/>
        <v>0</v>
      </c>
      <c r="L30" s="83">
        <f t="shared" si="16"/>
        <v>100000</v>
      </c>
      <c r="M30" s="82">
        <f t="shared" si="16"/>
        <v>0</v>
      </c>
      <c r="N30" s="84">
        <f t="shared" si="16"/>
        <v>53954540.330000006</v>
      </c>
      <c r="P30" s="188">
        <f aca="true" t="shared" si="17" ref="P30:X30">SUM(P31:P47)</f>
        <v>0</v>
      </c>
      <c r="Q30" s="188">
        <f t="shared" si="17"/>
        <v>0</v>
      </c>
      <c r="R30" s="188">
        <f t="shared" si="17"/>
        <v>0</v>
      </c>
      <c r="S30" s="188">
        <f t="shared" si="17"/>
        <v>53832</v>
      </c>
      <c r="T30" s="188">
        <f t="shared" si="17"/>
        <v>40</v>
      </c>
      <c r="U30" s="188">
        <f t="shared" si="17"/>
        <v>156</v>
      </c>
      <c r="V30" s="188"/>
      <c r="W30" s="188">
        <f t="shared" si="17"/>
        <v>360</v>
      </c>
      <c r="X30" s="188">
        <f t="shared" si="17"/>
        <v>54488</v>
      </c>
      <c r="Z30" s="188">
        <f aca="true" t="shared" si="18" ref="Z30:AE30">SUM(Z31:Z47)</f>
        <v>0</v>
      </c>
      <c r="AA30" s="188">
        <f t="shared" si="18"/>
        <v>0</v>
      </c>
      <c r="AB30" s="188">
        <f t="shared" si="18"/>
        <v>0</v>
      </c>
      <c r="AC30" s="188">
        <f t="shared" si="18"/>
        <v>0</v>
      </c>
      <c r="AD30" s="188">
        <f t="shared" si="18"/>
        <v>0</v>
      </c>
      <c r="AE30" s="188">
        <f t="shared" si="18"/>
        <v>0</v>
      </c>
      <c r="AG30" s="188">
        <f aca="true" t="shared" si="19" ref="AG30:AN30">SUM(AG31:AG47)</f>
        <v>0</v>
      </c>
      <c r="AH30" s="188">
        <f t="shared" si="19"/>
        <v>0</v>
      </c>
      <c r="AI30" s="188">
        <f t="shared" si="19"/>
        <v>0</v>
      </c>
      <c r="AJ30" s="188">
        <f t="shared" si="19"/>
        <v>53022</v>
      </c>
      <c r="AK30" s="188">
        <f t="shared" si="19"/>
        <v>45</v>
      </c>
      <c r="AL30" s="188">
        <f t="shared" si="19"/>
        <v>339</v>
      </c>
      <c r="AM30" s="188">
        <f t="shared" si="19"/>
        <v>0</v>
      </c>
      <c r="AN30" s="188">
        <f t="shared" si="19"/>
        <v>0</v>
      </c>
      <c r="AO30" s="59"/>
      <c r="AP30" s="188">
        <f>SUM(AP31:AP47)</f>
        <v>0</v>
      </c>
      <c r="AQ30" s="188">
        <f>SUM(AQ31:AQ47)</f>
        <v>0</v>
      </c>
      <c r="AR30" s="188">
        <f>SUM(AR31:AR47)</f>
        <v>0</v>
      </c>
      <c r="AS30" s="188">
        <f>SUM(AS31:AS47)</f>
        <v>0</v>
      </c>
      <c r="AT30" s="188">
        <f>SUM(AT31:AT47)</f>
        <v>0</v>
      </c>
    </row>
    <row r="31" spans="1:46" s="25" customFormat="1" ht="12">
      <c r="A31" s="21" t="s">
        <v>14</v>
      </c>
      <c r="B31" s="27" t="s">
        <v>52</v>
      </c>
      <c r="C31" s="27"/>
      <c r="D31" s="27"/>
      <c r="E31" s="28">
        <v>27</v>
      </c>
      <c r="F31" s="130">
        <f t="shared" si="10"/>
        <v>0</v>
      </c>
      <c r="G31" s="86"/>
      <c r="H31" s="87"/>
      <c r="I31" s="88"/>
      <c r="J31" s="88"/>
      <c r="K31" s="382"/>
      <c r="L31" s="88"/>
      <c r="M31" s="87"/>
      <c r="N31" s="89"/>
      <c r="O31" s="317"/>
      <c r="P31" s="195"/>
      <c r="Q31" s="195"/>
      <c r="R31" s="195">
        <f aca="true" t="shared" si="20" ref="R31:R42">P31+Q31</f>
        <v>0</v>
      </c>
      <c r="S31" s="195"/>
      <c r="T31" s="195"/>
      <c r="U31" s="195"/>
      <c r="V31" s="195"/>
      <c r="W31" s="195"/>
      <c r="X31" s="192">
        <f aca="true" t="shared" si="21" ref="X31:X48">SUM(R31:W31)</f>
        <v>0</v>
      </c>
      <c r="Y31" s="59"/>
      <c r="Z31" s="195"/>
      <c r="AA31" s="195"/>
      <c r="AB31" s="195"/>
      <c r="AC31" s="195"/>
      <c r="AD31" s="195"/>
      <c r="AE31" s="195"/>
      <c r="AG31" s="195"/>
      <c r="AH31" s="195"/>
      <c r="AI31" s="195">
        <f aca="true" t="shared" si="22" ref="AI31:AI42">AG31+AH31</f>
        <v>0</v>
      </c>
      <c r="AJ31" s="195"/>
      <c r="AK31" s="195"/>
      <c r="AL31" s="195"/>
      <c r="AM31" s="195"/>
      <c r="AN31" s="192">
        <f aca="true" t="shared" si="23" ref="AN31:AN42">SUM(AI31:AM31)</f>
        <v>0</v>
      </c>
      <c r="AO31" s="59"/>
      <c r="AP31" s="195"/>
      <c r="AQ31" s="195"/>
      <c r="AR31" s="195"/>
      <c r="AS31" s="195"/>
      <c r="AT31" s="195"/>
    </row>
    <row r="32" spans="1:46" s="25" customFormat="1" ht="12">
      <c r="A32" s="21"/>
      <c r="B32" s="30" t="s">
        <v>28</v>
      </c>
      <c r="C32" s="30"/>
      <c r="D32" s="30"/>
      <c r="E32" s="28">
        <v>28</v>
      </c>
      <c r="F32" s="130">
        <f t="shared" si="10"/>
        <v>0</v>
      </c>
      <c r="G32" s="102"/>
      <c r="H32" s="103"/>
      <c r="I32" s="104"/>
      <c r="J32" s="104"/>
      <c r="K32" s="385"/>
      <c r="L32" s="104"/>
      <c r="M32" s="103"/>
      <c r="N32" s="105"/>
      <c r="O32" s="317"/>
      <c r="P32" s="196"/>
      <c r="Q32" s="196"/>
      <c r="R32" s="196">
        <f t="shared" si="20"/>
        <v>0</v>
      </c>
      <c r="S32" s="196"/>
      <c r="T32" s="196"/>
      <c r="U32" s="196"/>
      <c r="V32" s="196"/>
      <c r="W32" s="196"/>
      <c r="X32" s="192">
        <f t="shared" si="21"/>
        <v>0</v>
      </c>
      <c r="Y32" s="59"/>
      <c r="Z32" s="196"/>
      <c r="AA32" s="196"/>
      <c r="AB32" s="196"/>
      <c r="AC32" s="196"/>
      <c r="AD32" s="196"/>
      <c r="AE32" s="196"/>
      <c r="AG32" s="196"/>
      <c r="AH32" s="196"/>
      <c r="AI32" s="196">
        <f t="shared" si="22"/>
        <v>0</v>
      </c>
      <c r="AJ32" s="196"/>
      <c r="AK32" s="196"/>
      <c r="AL32" s="196"/>
      <c r="AM32" s="196"/>
      <c r="AN32" s="192">
        <f t="shared" si="23"/>
        <v>0</v>
      </c>
      <c r="AO32" s="59"/>
      <c r="AP32" s="196"/>
      <c r="AQ32" s="196"/>
      <c r="AR32" s="196"/>
      <c r="AS32" s="196"/>
      <c r="AT32" s="196"/>
    </row>
    <row r="33" spans="1:46" s="25" customFormat="1" ht="12">
      <c r="A33" s="21"/>
      <c r="B33" s="30" t="s">
        <v>30</v>
      </c>
      <c r="C33" s="30"/>
      <c r="D33" s="30"/>
      <c r="E33" s="28">
        <v>29</v>
      </c>
      <c r="F33" s="130">
        <f t="shared" si="10"/>
        <v>0</v>
      </c>
      <c r="G33" s="102"/>
      <c r="H33" s="103"/>
      <c r="I33" s="104"/>
      <c r="J33" s="104"/>
      <c r="K33" s="385"/>
      <c r="L33" s="104"/>
      <c r="M33" s="103"/>
      <c r="N33" s="105"/>
      <c r="O33" s="317"/>
      <c r="P33" s="196"/>
      <c r="Q33" s="196"/>
      <c r="R33" s="196">
        <f t="shared" si="20"/>
        <v>0</v>
      </c>
      <c r="S33" s="196"/>
      <c r="T33" s="196"/>
      <c r="U33" s="196"/>
      <c r="V33" s="196"/>
      <c r="W33" s="196"/>
      <c r="X33" s="192">
        <f t="shared" si="21"/>
        <v>0</v>
      </c>
      <c r="Y33" s="59"/>
      <c r="Z33" s="196"/>
      <c r="AA33" s="196"/>
      <c r="AB33" s="196"/>
      <c r="AC33" s="196"/>
      <c r="AD33" s="196"/>
      <c r="AE33" s="196"/>
      <c r="AG33" s="196"/>
      <c r="AH33" s="196"/>
      <c r="AI33" s="196">
        <f t="shared" si="22"/>
        <v>0</v>
      </c>
      <c r="AJ33" s="196"/>
      <c r="AK33" s="196"/>
      <c r="AL33" s="196"/>
      <c r="AM33" s="196"/>
      <c r="AN33" s="192">
        <f t="shared" si="23"/>
        <v>0</v>
      </c>
      <c r="AO33" s="59"/>
      <c r="AP33" s="196"/>
      <c r="AQ33" s="196"/>
      <c r="AR33" s="196"/>
      <c r="AS33" s="196"/>
      <c r="AT33" s="196"/>
    </row>
    <row r="34" spans="1:46" s="25" customFormat="1" ht="12">
      <c r="A34" s="21"/>
      <c r="B34" s="31" t="s">
        <v>32</v>
      </c>
      <c r="C34" s="32"/>
      <c r="D34" s="32"/>
      <c r="E34" s="33">
        <v>30</v>
      </c>
      <c r="F34" s="130">
        <f t="shared" si="10"/>
        <v>0</v>
      </c>
      <c r="G34" s="102"/>
      <c r="H34" s="103"/>
      <c r="I34" s="104"/>
      <c r="J34" s="104"/>
      <c r="K34" s="385"/>
      <c r="L34" s="104"/>
      <c r="M34" s="103"/>
      <c r="N34" s="105"/>
      <c r="O34" s="317"/>
      <c r="P34" s="196"/>
      <c r="Q34" s="196"/>
      <c r="R34" s="196">
        <f t="shared" si="20"/>
        <v>0</v>
      </c>
      <c r="S34" s="196"/>
      <c r="T34" s="196"/>
      <c r="U34" s="196"/>
      <c r="V34" s="196"/>
      <c r="W34" s="196"/>
      <c r="X34" s="192">
        <f t="shared" si="21"/>
        <v>0</v>
      </c>
      <c r="Y34" s="59"/>
      <c r="Z34" s="196"/>
      <c r="AA34" s="196"/>
      <c r="AB34" s="196"/>
      <c r="AC34" s="196"/>
      <c r="AD34" s="196"/>
      <c r="AE34" s="196"/>
      <c r="AG34" s="196"/>
      <c r="AH34" s="196"/>
      <c r="AI34" s="196">
        <f t="shared" si="22"/>
        <v>0</v>
      </c>
      <c r="AJ34" s="196"/>
      <c r="AK34" s="196"/>
      <c r="AL34" s="196"/>
      <c r="AM34" s="196"/>
      <c r="AN34" s="192">
        <f t="shared" si="23"/>
        <v>0</v>
      </c>
      <c r="AO34" s="59"/>
      <c r="AP34" s="196"/>
      <c r="AQ34" s="196"/>
      <c r="AR34" s="196"/>
      <c r="AS34" s="196"/>
      <c r="AT34" s="196"/>
    </row>
    <row r="35" spans="1:46" s="25" customFormat="1" ht="12">
      <c r="A35" s="21"/>
      <c r="B35" s="31" t="s">
        <v>34</v>
      </c>
      <c r="C35" s="31"/>
      <c r="D35" s="31"/>
      <c r="E35" s="33">
        <v>31</v>
      </c>
      <c r="F35" s="130">
        <f t="shared" si="10"/>
        <v>0</v>
      </c>
      <c r="G35" s="102"/>
      <c r="H35" s="103"/>
      <c r="I35" s="104"/>
      <c r="J35" s="104"/>
      <c r="K35" s="385"/>
      <c r="L35" s="104"/>
      <c r="M35" s="103"/>
      <c r="N35" s="105"/>
      <c r="O35" s="317"/>
      <c r="P35" s="196"/>
      <c r="Q35" s="196"/>
      <c r="R35" s="196">
        <f t="shared" si="20"/>
        <v>0</v>
      </c>
      <c r="S35" s="196"/>
      <c r="T35" s="196"/>
      <c r="U35" s="196"/>
      <c r="V35" s="196"/>
      <c r="W35" s="196"/>
      <c r="X35" s="192">
        <f t="shared" si="21"/>
        <v>0</v>
      </c>
      <c r="Y35" s="59"/>
      <c r="Z35" s="196"/>
      <c r="AA35" s="196"/>
      <c r="AB35" s="196"/>
      <c r="AC35" s="196"/>
      <c r="AD35" s="196"/>
      <c r="AE35" s="196"/>
      <c r="AG35" s="196"/>
      <c r="AH35" s="196"/>
      <c r="AI35" s="196">
        <f t="shared" si="22"/>
        <v>0</v>
      </c>
      <c r="AJ35" s="196"/>
      <c r="AK35" s="196"/>
      <c r="AL35" s="196"/>
      <c r="AM35" s="196"/>
      <c r="AN35" s="192">
        <f t="shared" si="23"/>
        <v>0</v>
      </c>
      <c r="AO35" s="59"/>
      <c r="AP35" s="196"/>
      <c r="AQ35" s="196"/>
      <c r="AR35" s="196"/>
      <c r="AS35" s="196"/>
      <c r="AT35" s="196"/>
    </row>
    <row r="36" spans="1:46" s="25" customFormat="1" ht="12">
      <c r="A36" s="21"/>
      <c r="B36" s="31" t="s">
        <v>54</v>
      </c>
      <c r="C36" s="31"/>
      <c r="D36" s="31"/>
      <c r="E36" s="33">
        <v>32</v>
      </c>
      <c r="F36" s="130">
        <f t="shared" si="10"/>
        <v>0</v>
      </c>
      <c r="G36" s="102"/>
      <c r="H36" s="103"/>
      <c r="I36" s="104"/>
      <c r="J36" s="104"/>
      <c r="K36" s="385"/>
      <c r="L36" s="104"/>
      <c r="M36" s="103"/>
      <c r="N36" s="105"/>
      <c r="O36" s="317"/>
      <c r="P36" s="196"/>
      <c r="Q36" s="196"/>
      <c r="R36" s="196">
        <f t="shared" si="20"/>
        <v>0</v>
      </c>
      <c r="S36" s="196"/>
      <c r="T36" s="196"/>
      <c r="U36" s="196"/>
      <c r="V36" s="196"/>
      <c r="W36" s="196"/>
      <c r="X36" s="192">
        <f t="shared" si="21"/>
        <v>0</v>
      </c>
      <c r="Y36" s="59"/>
      <c r="Z36" s="196"/>
      <c r="AA36" s="196"/>
      <c r="AB36" s="196"/>
      <c r="AC36" s="196"/>
      <c r="AD36" s="196"/>
      <c r="AE36" s="196"/>
      <c r="AG36" s="196"/>
      <c r="AH36" s="196"/>
      <c r="AI36" s="196">
        <f t="shared" si="22"/>
        <v>0</v>
      </c>
      <c r="AJ36" s="196"/>
      <c r="AK36" s="196"/>
      <c r="AL36" s="196"/>
      <c r="AM36" s="196"/>
      <c r="AN36" s="192">
        <f t="shared" si="23"/>
        <v>0</v>
      </c>
      <c r="AO36" s="59"/>
      <c r="AP36" s="196"/>
      <c r="AQ36" s="196"/>
      <c r="AR36" s="196"/>
      <c r="AS36" s="196"/>
      <c r="AT36" s="196"/>
    </row>
    <row r="37" spans="1:46" s="25" customFormat="1" ht="12">
      <c r="A37" s="21"/>
      <c r="B37" s="31" t="s">
        <v>36</v>
      </c>
      <c r="C37" s="31"/>
      <c r="D37" s="31"/>
      <c r="E37" s="33">
        <v>33</v>
      </c>
      <c r="F37" s="130">
        <f t="shared" si="10"/>
        <v>0</v>
      </c>
      <c r="G37" s="102"/>
      <c r="H37" s="103"/>
      <c r="I37" s="104"/>
      <c r="J37" s="104"/>
      <c r="K37" s="385"/>
      <c r="L37" s="104"/>
      <c r="M37" s="103"/>
      <c r="N37" s="105"/>
      <c r="O37" s="317"/>
      <c r="P37" s="196"/>
      <c r="Q37" s="196"/>
      <c r="R37" s="196">
        <f t="shared" si="20"/>
        <v>0</v>
      </c>
      <c r="S37" s="196"/>
      <c r="T37" s="196"/>
      <c r="U37" s="196"/>
      <c r="V37" s="196"/>
      <c r="W37" s="196"/>
      <c r="X37" s="192">
        <f t="shared" si="21"/>
        <v>0</v>
      </c>
      <c r="Y37" s="59"/>
      <c r="Z37" s="196"/>
      <c r="AA37" s="196"/>
      <c r="AB37" s="196"/>
      <c r="AC37" s="196"/>
      <c r="AD37" s="196"/>
      <c r="AE37" s="196"/>
      <c r="AG37" s="196"/>
      <c r="AH37" s="196"/>
      <c r="AI37" s="196">
        <f t="shared" si="22"/>
        <v>0</v>
      </c>
      <c r="AJ37" s="196"/>
      <c r="AK37" s="196"/>
      <c r="AL37" s="196"/>
      <c r="AM37" s="196"/>
      <c r="AN37" s="192">
        <f t="shared" si="23"/>
        <v>0</v>
      </c>
      <c r="AO37" s="59"/>
      <c r="AP37" s="196"/>
      <c r="AQ37" s="196"/>
      <c r="AR37" s="196"/>
      <c r="AS37" s="196"/>
      <c r="AT37" s="196"/>
    </row>
    <row r="38" spans="1:46" s="25" customFormat="1" ht="12">
      <c r="A38" s="21"/>
      <c r="B38" s="31" t="s">
        <v>38</v>
      </c>
      <c r="C38" s="31"/>
      <c r="D38" s="31"/>
      <c r="E38" s="33">
        <v>34</v>
      </c>
      <c r="F38" s="130">
        <f t="shared" si="10"/>
        <v>0</v>
      </c>
      <c r="G38" s="102"/>
      <c r="H38" s="103"/>
      <c r="I38" s="104"/>
      <c r="J38" s="104"/>
      <c r="K38" s="385"/>
      <c r="L38" s="104"/>
      <c r="M38" s="103"/>
      <c r="N38" s="105"/>
      <c r="O38" s="320"/>
      <c r="P38" s="196"/>
      <c r="Q38" s="196"/>
      <c r="R38" s="196">
        <f t="shared" si="20"/>
        <v>0</v>
      </c>
      <c r="S38" s="196"/>
      <c r="T38" s="196"/>
      <c r="U38" s="196"/>
      <c r="V38" s="196"/>
      <c r="W38" s="196"/>
      <c r="X38" s="192">
        <f t="shared" si="21"/>
        <v>0</v>
      </c>
      <c r="Y38" s="59"/>
      <c r="Z38" s="196"/>
      <c r="AA38" s="196"/>
      <c r="AB38" s="196"/>
      <c r="AC38" s="196"/>
      <c r="AD38" s="196"/>
      <c r="AE38" s="196"/>
      <c r="AG38" s="196"/>
      <c r="AH38" s="196"/>
      <c r="AI38" s="196">
        <f t="shared" si="22"/>
        <v>0</v>
      </c>
      <c r="AJ38" s="196"/>
      <c r="AK38" s="196"/>
      <c r="AL38" s="196"/>
      <c r="AM38" s="196"/>
      <c r="AN38" s="192">
        <f t="shared" si="23"/>
        <v>0</v>
      </c>
      <c r="AO38" s="59"/>
      <c r="AP38" s="196"/>
      <c r="AQ38" s="196"/>
      <c r="AR38" s="196"/>
      <c r="AS38" s="196"/>
      <c r="AT38" s="196"/>
    </row>
    <row r="39" spans="1:46" s="25" customFormat="1" ht="12">
      <c r="A39" s="21"/>
      <c r="B39" s="31" t="s">
        <v>56</v>
      </c>
      <c r="C39" s="31"/>
      <c r="D39" s="31"/>
      <c r="E39" s="33">
        <v>35</v>
      </c>
      <c r="F39" s="130">
        <f t="shared" si="10"/>
        <v>0</v>
      </c>
      <c r="G39" s="102"/>
      <c r="H39" s="103"/>
      <c r="I39" s="104"/>
      <c r="J39" s="104"/>
      <c r="K39" s="385"/>
      <c r="L39" s="104"/>
      <c r="M39" s="103"/>
      <c r="N39" s="105"/>
      <c r="O39" s="317"/>
      <c r="P39" s="196"/>
      <c r="Q39" s="196"/>
      <c r="R39" s="196">
        <f t="shared" si="20"/>
        <v>0</v>
      </c>
      <c r="S39" s="196"/>
      <c r="T39" s="196"/>
      <c r="U39" s="196"/>
      <c r="V39" s="196"/>
      <c r="W39" s="196"/>
      <c r="X39" s="192">
        <f t="shared" si="21"/>
        <v>0</v>
      </c>
      <c r="Y39" s="59"/>
      <c r="Z39" s="196"/>
      <c r="AA39" s="196"/>
      <c r="AB39" s="196"/>
      <c r="AC39" s="196"/>
      <c r="AD39" s="196"/>
      <c r="AE39" s="196"/>
      <c r="AG39" s="196"/>
      <c r="AH39" s="196"/>
      <c r="AI39" s="196">
        <f t="shared" si="22"/>
        <v>0</v>
      </c>
      <c r="AJ39" s="196"/>
      <c r="AK39" s="196"/>
      <c r="AL39" s="196"/>
      <c r="AM39" s="196"/>
      <c r="AN39" s="192">
        <f t="shared" si="23"/>
        <v>0</v>
      </c>
      <c r="AO39" s="59"/>
      <c r="AP39" s="196"/>
      <c r="AQ39" s="196"/>
      <c r="AR39" s="196"/>
      <c r="AS39" s="196"/>
      <c r="AT39" s="196"/>
    </row>
    <row r="40" spans="1:46" s="25" customFormat="1" ht="12">
      <c r="A40" s="21"/>
      <c r="B40" s="31" t="s">
        <v>57</v>
      </c>
      <c r="C40" s="31"/>
      <c r="D40" s="31"/>
      <c r="E40" s="33">
        <v>36</v>
      </c>
      <c r="F40" s="130">
        <f t="shared" si="10"/>
        <v>0</v>
      </c>
      <c r="G40" s="102"/>
      <c r="H40" s="103"/>
      <c r="I40" s="104"/>
      <c r="J40" s="104"/>
      <c r="K40" s="385"/>
      <c r="L40" s="104"/>
      <c r="M40" s="103"/>
      <c r="N40" s="105"/>
      <c r="O40" s="317"/>
      <c r="P40" s="196"/>
      <c r="Q40" s="196"/>
      <c r="R40" s="196">
        <f t="shared" si="20"/>
        <v>0</v>
      </c>
      <c r="S40" s="196"/>
      <c r="T40" s="196"/>
      <c r="U40" s="196"/>
      <c r="V40" s="196"/>
      <c r="W40" s="196"/>
      <c r="X40" s="192">
        <f t="shared" si="21"/>
        <v>0</v>
      </c>
      <c r="Y40" s="59"/>
      <c r="Z40" s="196"/>
      <c r="AA40" s="196"/>
      <c r="AB40" s="196"/>
      <c r="AC40" s="196"/>
      <c r="AD40" s="196"/>
      <c r="AE40" s="196"/>
      <c r="AG40" s="196"/>
      <c r="AH40" s="196"/>
      <c r="AI40" s="196">
        <f t="shared" si="22"/>
        <v>0</v>
      </c>
      <c r="AJ40" s="196"/>
      <c r="AK40" s="196"/>
      <c r="AL40" s="196"/>
      <c r="AM40" s="196"/>
      <c r="AN40" s="192">
        <f t="shared" si="23"/>
        <v>0</v>
      </c>
      <c r="AO40" s="59"/>
      <c r="AP40" s="196"/>
      <c r="AQ40" s="196"/>
      <c r="AR40" s="196"/>
      <c r="AS40" s="196"/>
      <c r="AT40" s="196"/>
    </row>
    <row r="41" spans="1:46" s="25" customFormat="1" ht="12">
      <c r="A41" s="21"/>
      <c r="B41" s="31" t="s">
        <v>59</v>
      </c>
      <c r="C41" s="31"/>
      <c r="D41" s="31"/>
      <c r="E41" s="33">
        <v>37</v>
      </c>
      <c r="F41" s="130">
        <f t="shared" si="10"/>
        <v>0</v>
      </c>
      <c r="G41" s="102"/>
      <c r="H41" s="103"/>
      <c r="I41" s="104"/>
      <c r="J41" s="104"/>
      <c r="K41" s="385"/>
      <c r="L41" s="104"/>
      <c r="M41" s="103"/>
      <c r="N41" s="105"/>
      <c r="O41" s="317"/>
      <c r="P41" s="196"/>
      <c r="Q41" s="196"/>
      <c r="R41" s="196">
        <f t="shared" si="20"/>
        <v>0</v>
      </c>
      <c r="S41" s="196"/>
      <c r="T41" s="196"/>
      <c r="U41" s="196"/>
      <c r="V41" s="196"/>
      <c r="W41" s="196"/>
      <c r="X41" s="192">
        <f t="shared" si="21"/>
        <v>0</v>
      </c>
      <c r="Y41" s="59"/>
      <c r="Z41" s="196"/>
      <c r="AA41" s="196"/>
      <c r="AB41" s="196"/>
      <c r="AC41" s="196"/>
      <c r="AD41" s="196"/>
      <c r="AE41" s="196"/>
      <c r="AG41" s="196"/>
      <c r="AH41" s="196"/>
      <c r="AI41" s="196">
        <f t="shared" si="22"/>
        <v>0</v>
      </c>
      <c r="AJ41" s="196"/>
      <c r="AK41" s="196"/>
      <c r="AL41" s="196"/>
      <c r="AM41" s="196"/>
      <c r="AN41" s="192">
        <f t="shared" si="23"/>
        <v>0</v>
      </c>
      <c r="AO41" s="59"/>
      <c r="AP41" s="196"/>
      <c r="AQ41" s="196"/>
      <c r="AR41" s="196"/>
      <c r="AS41" s="196"/>
      <c r="AT41" s="196"/>
    </row>
    <row r="42" spans="1:46" s="25" customFormat="1" ht="12">
      <c r="A42" s="21"/>
      <c r="B42" s="31" t="s">
        <v>60</v>
      </c>
      <c r="C42" s="31"/>
      <c r="D42" s="31"/>
      <c r="E42" s="33">
        <v>38</v>
      </c>
      <c r="F42" s="130">
        <f t="shared" si="10"/>
        <v>0</v>
      </c>
      <c r="G42" s="102"/>
      <c r="H42" s="103"/>
      <c r="I42" s="104"/>
      <c r="J42" s="104"/>
      <c r="K42" s="385"/>
      <c r="L42" s="104"/>
      <c r="M42" s="103"/>
      <c r="N42" s="105"/>
      <c r="O42" s="317"/>
      <c r="P42" s="196"/>
      <c r="Q42" s="196"/>
      <c r="R42" s="196">
        <f t="shared" si="20"/>
        <v>0</v>
      </c>
      <c r="S42" s="196"/>
      <c r="T42" s="196"/>
      <c r="U42" s="196"/>
      <c r="V42" s="196"/>
      <c r="W42" s="196"/>
      <c r="X42" s="192">
        <f t="shared" si="21"/>
        <v>0</v>
      </c>
      <c r="Y42" s="59"/>
      <c r="Z42" s="196"/>
      <c r="AA42" s="196"/>
      <c r="AB42" s="196"/>
      <c r="AC42" s="196"/>
      <c r="AD42" s="196"/>
      <c r="AE42" s="196"/>
      <c r="AG42" s="196"/>
      <c r="AH42" s="196"/>
      <c r="AI42" s="196">
        <f t="shared" si="22"/>
        <v>0</v>
      </c>
      <c r="AJ42" s="196"/>
      <c r="AK42" s="196"/>
      <c r="AL42" s="196"/>
      <c r="AM42" s="196"/>
      <c r="AN42" s="192">
        <f t="shared" si="23"/>
        <v>0</v>
      </c>
      <c r="AO42" s="59"/>
      <c r="AP42" s="196"/>
      <c r="AQ42" s="196"/>
      <c r="AR42" s="196"/>
      <c r="AS42" s="196"/>
      <c r="AT42" s="196"/>
    </row>
    <row r="43" spans="1:46" s="25" customFormat="1" ht="12">
      <c r="A43" s="21"/>
      <c r="B43" s="31" t="s">
        <v>45</v>
      </c>
      <c r="C43" s="31"/>
      <c r="D43" s="31"/>
      <c r="E43" s="33">
        <v>39</v>
      </c>
      <c r="F43" s="130">
        <f t="shared" si="10"/>
        <v>0</v>
      </c>
      <c r="G43" s="102"/>
      <c r="H43" s="103"/>
      <c r="I43" s="104"/>
      <c r="J43" s="104"/>
      <c r="K43" s="385"/>
      <c r="L43" s="104"/>
      <c r="M43" s="103"/>
      <c r="N43" s="105"/>
      <c r="O43" s="317"/>
      <c r="P43" s="196"/>
      <c r="Q43" s="196"/>
      <c r="R43" s="196"/>
      <c r="S43" s="196"/>
      <c r="T43" s="196"/>
      <c r="U43" s="196"/>
      <c r="V43" s="196"/>
      <c r="W43" s="196"/>
      <c r="X43" s="192">
        <f t="shared" si="21"/>
        <v>0</v>
      </c>
      <c r="Y43" s="59"/>
      <c r="Z43" s="196"/>
      <c r="AA43" s="196"/>
      <c r="AB43" s="196"/>
      <c r="AC43" s="196"/>
      <c r="AD43" s="196"/>
      <c r="AE43" s="196"/>
      <c r="AG43" s="196"/>
      <c r="AH43" s="196"/>
      <c r="AI43" s="196"/>
      <c r="AJ43" s="196"/>
      <c r="AK43" s="196"/>
      <c r="AL43" s="196"/>
      <c r="AM43" s="196"/>
      <c r="AN43" s="192"/>
      <c r="AO43" s="59"/>
      <c r="AP43" s="196"/>
      <c r="AQ43" s="196"/>
      <c r="AR43" s="196"/>
      <c r="AS43" s="196"/>
      <c r="AT43" s="196"/>
    </row>
    <row r="44" spans="1:46" s="25" customFormat="1" ht="12">
      <c r="A44" s="21"/>
      <c r="B44" s="31" t="s">
        <v>61</v>
      </c>
      <c r="C44" s="31"/>
      <c r="D44" s="31"/>
      <c r="E44" s="33">
        <v>40</v>
      </c>
      <c r="F44" s="130">
        <f t="shared" si="10"/>
        <v>0</v>
      </c>
      <c r="G44" s="102"/>
      <c r="H44" s="103"/>
      <c r="I44" s="104"/>
      <c r="J44" s="104"/>
      <c r="K44" s="385"/>
      <c r="L44" s="104"/>
      <c r="M44" s="103"/>
      <c r="N44" s="105"/>
      <c r="O44" s="317"/>
      <c r="P44" s="196"/>
      <c r="Q44" s="196"/>
      <c r="R44" s="196"/>
      <c r="S44" s="196"/>
      <c r="T44" s="196"/>
      <c r="U44" s="196"/>
      <c r="V44" s="196"/>
      <c r="W44" s="196"/>
      <c r="X44" s="192">
        <f t="shared" si="21"/>
        <v>0</v>
      </c>
      <c r="Y44" s="59"/>
      <c r="Z44" s="196"/>
      <c r="AA44" s="196"/>
      <c r="AB44" s="196"/>
      <c r="AC44" s="196"/>
      <c r="AD44" s="196"/>
      <c r="AE44" s="196"/>
      <c r="AG44" s="196"/>
      <c r="AH44" s="196"/>
      <c r="AI44" s="196"/>
      <c r="AJ44" s="196"/>
      <c r="AK44" s="196"/>
      <c r="AL44" s="196"/>
      <c r="AM44" s="196"/>
      <c r="AN44" s="192"/>
      <c r="AO44" s="59"/>
      <c r="AP44" s="196"/>
      <c r="AQ44" s="196"/>
      <c r="AR44" s="196"/>
      <c r="AS44" s="196"/>
      <c r="AT44" s="196"/>
    </row>
    <row r="45" spans="1:46" s="25" customFormat="1" ht="12">
      <c r="A45" s="21"/>
      <c r="B45" s="31" t="s">
        <v>62</v>
      </c>
      <c r="C45" s="31"/>
      <c r="D45" s="31"/>
      <c r="E45" s="33">
        <v>41</v>
      </c>
      <c r="F45" s="130">
        <f t="shared" si="10"/>
        <v>54192000</v>
      </c>
      <c r="G45" s="102"/>
      <c r="H45" s="282">
        <v>54192000</v>
      </c>
      <c r="I45" s="104"/>
      <c r="J45" s="104"/>
      <c r="K45" s="385"/>
      <c r="L45" s="104"/>
      <c r="M45" s="103"/>
      <c r="N45" s="105">
        <v>53516662.88</v>
      </c>
      <c r="O45" s="317"/>
      <c r="P45" s="196"/>
      <c r="Q45" s="196"/>
      <c r="R45" s="196">
        <f>P45+Q45</f>
        <v>0</v>
      </c>
      <c r="S45" s="197">
        <f>S15</f>
        <v>53832</v>
      </c>
      <c r="T45" s="197"/>
      <c r="U45" s="409"/>
      <c r="V45" s="409"/>
      <c r="W45" s="196">
        <v>360</v>
      </c>
      <c r="X45" s="192">
        <f t="shared" si="21"/>
        <v>54192</v>
      </c>
      <c r="Y45" s="59"/>
      <c r="Z45" s="196"/>
      <c r="AA45" s="196"/>
      <c r="AB45" s="196"/>
      <c r="AC45" s="196"/>
      <c r="AD45" s="196"/>
      <c r="AE45" s="196"/>
      <c r="AG45" s="196"/>
      <c r="AH45" s="196"/>
      <c r="AI45" s="196">
        <f>AG45+AH45</f>
        <v>0</v>
      </c>
      <c r="AJ45" s="197">
        <v>53022</v>
      </c>
      <c r="AK45" s="197">
        <v>45</v>
      </c>
      <c r="AL45" s="409"/>
      <c r="AM45" s="196"/>
      <c r="AN45" s="192"/>
      <c r="AO45" s="59"/>
      <c r="AP45" s="196"/>
      <c r="AQ45" s="196"/>
      <c r="AR45" s="196"/>
      <c r="AS45" s="196"/>
      <c r="AT45" s="196"/>
    </row>
    <row r="46" spans="1:46" s="25" customFormat="1" ht="12">
      <c r="A46" s="21"/>
      <c r="B46" s="31" t="s">
        <v>63</v>
      </c>
      <c r="C46" s="31"/>
      <c r="D46" s="31"/>
      <c r="E46" s="33">
        <v>42</v>
      </c>
      <c r="F46" s="130">
        <f t="shared" si="10"/>
        <v>296000</v>
      </c>
      <c r="G46" s="102"/>
      <c r="H46" s="106" t="s">
        <v>97</v>
      </c>
      <c r="I46" s="104">
        <v>156000</v>
      </c>
      <c r="J46" s="204">
        <v>40000</v>
      </c>
      <c r="K46" s="385"/>
      <c r="L46" s="104">
        <f>L17</f>
        <v>100000</v>
      </c>
      <c r="M46" s="103"/>
      <c r="N46" s="105">
        <v>437877.45</v>
      </c>
      <c r="O46" s="317"/>
      <c r="P46" s="196"/>
      <c r="Q46" s="196"/>
      <c r="R46" s="196">
        <f>P46+Q46</f>
        <v>0</v>
      </c>
      <c r="S46" s="196"/>
      <c r="T46" s="196">
        <v>40</v>
      </c>
      <c r="U46" s="197">
        <v>156</v>
      </c>
      <c r="V46" s="197">
        <v>100</v>
      </c>
      <c r="W46" s="196"/>
      <c r="X46" s="192">
        <f t="shared" si="21"/>
        <v>296</v>
      </c>
      <c r="Y46" s="59"/>
      <c r="Z46" s="196"/>
      <c r="AA46" s="196"/>
      <c r="AB46" s="196"/>
      <c r="AC46" s="196"/>
      <c r="AD46" s="196"/>
      <c r="AE46" s="196"/>
      <c r="AG46" s="196"/>
      <c r="AH46" s="196"/>
      <c r="AI46" s="196">
        <f>AG46+AH46</f>
        <v>0</v>
      </c>
      <c r="AJ46" s="196"/>
      <c r="AK46" s="196"/>
      <c r="AL46" s="196"/>
      <c r="AM46" s="196"/>
      <c r="AN46" s="192"/>
      <c r="AO46" s="59"/>
      <c r="AP46" s="196"/>
      <c r="AQ46" s="196"/>
      <c r="AR46" s="196"/>
      <c r="AS46" s="196"/>
      <c r="AT46" s="196"/>
    </row>
    <row r="47" spans="1:46" s="25" customFormat="1" ht="12">
      <c r="A47" s="40"/>
      <c r="B47" s="41" t="s">
        <v>49</v>
      </c>
      <c r="C47" s="41"/>
      <c r="D47" s="41"/>
      <c r="E47" s="42">
        <v>43</v>
      </c>
      <c r="F47" s="131">
        <f t="shared" si="10"/>
        <v>0</v>
      </c>
      <c r="G47" s="108"/>
      <c r="H47" s="109"/>
      <c r="I47" s="110"/>
      <c r="J47" s="110"/>
      <c r="K47" s="386"/>
      <c r="L47" s="110"/>
      <c r="M47" s="109"/>
      <c r="N47" s="111"/>
      <c r="O47" s="317"/>
      <c r="P47" s="196"/>
      <c r="Q47" s="196"/>
      <c r="R47" s="196">
        <f>P47+Q47</f>
        <v>0</v>
      </c>
      <c r="S47" s="196"/>
      <c r="T47" s="196"/>
      <c r="U47" s="409"/>
      <c r="V47" s="409"/>
      <c r="W47" s="409"/>
      <c r="X47" s="192">
        <f t="shared" si="21"/>
        <v>0</v>
      </c>
      <c r="Y47" s="59"/>
      <c r="Z47" s="196"/>
      <c r="AA47" s="196"/>
      <c r="AB47" s="196"/>
      <c r="AC47" s="196"/>
      <c r="AD47" s="196"/>
      <c r="AE47" s="196"/>
      <c r="AG47" s="196"/>
      <c r="AH47" s="196"/>
      <c r="AI47" s="196">
        <f>AG47+AH47</f>
        <v>0</v>
      </c>
      <c r="AJ47" s="196"/>
      <c r="AK47" s="196"/>
      <c r="AL47" s="197">
        <v>339</v>
      </c>
      <c r="AM47" s="409"/>
      <c r="AN47" s="192"/>
      <c r="AO47" s="59"/>
      <c r="AP47" s="196"/>
      <c r="AQ47" s="196"/>
      <c r="AR47" s="196"/>
      <c r="AS47" s="196"/>
      <c r="AT47" s="196"/>
    </row>
    <row r="48" spans="1:46" s="25" customFormat="1" ht="12.75" thickBot="1">
      <c r="A48" s="44" t="s">
        <v>65</v>
      </c>
      <c r="B48" s="45"/>
      <c r="C48" s="45"/>
      <c r="D48" s="45"/>
      <c r="E48" s="28">
        <v>44</v>
      </c>
      <c r="F48" s="114">
        <f>F31+F36+F40+F45+F46+F47-F6-F29</f>
        <v>0</v>
      </c>
      <c r="G48" s="113">
        <f>G31+G36+G40+G45+G46+G47+-G6-G29</f>
        <v>0</v>
      </c>
      <c r="H48" s="113">
        <f>H31+H36+H40+H45+H47-H6-H29</f>
        <v>0</v>
      </c>
      <c r="I48" s="113">
        <f>I31+I36+I40+I45+I46+I47-I6-I29</f>
        <v>0</v>
      </c>
      <c r="J48" s="113">
        <f>J31+J36+J40+J45+J46+J47-J6-J29</f>
        <v>0</v>
      </c>
      <c r="K48" s="113">
        <f>K31+K36+K40+K45+K46+K47-K6-K29</f>
        <v>0</v>
      </c>
      <c r="L48" s="399"/>
      <c r="M48" s="113">
        <f>M31+M36+M40+M45+M46+M47-M6-M29</f>
        <v>0</v>
      </c>
      <c r="N48" s="114">
        <f>N31+N36+N40+N45+N46+N47-N6-N29</f>
        <v>85148.09000000358</v>
      </c>
      <c r="O48" s="317"/>
      <c r="P48" s="190"/>
      <c r="Q48" s="190"/>
      <c r="R48" s="190"/>
      <c r="S48" s="190"/>
      <c r="T48" s="190"/>
      <c r="U48" s="190"/>
      <c r="V48" s="190"/>
      <c r="W48" s="190"/>
      <c r="X48" s="192">
        <f t="shared" si="21"/>
        <v>0</v>
      </c>
      <c r="Y48" s="59"/>
      <c r="Z48" s="190"/>
      <c r="AA48" s="190"/>
      <c r="AB48" s="190"/>
      <c r="AC48" s="190"/>
      <c r="AD48" s="190"/>
      <c r="AE48" s="190"/>
      <c r="AG48" s="190"/>
      <c r="AH48" s="190"/>
      <c r="AI48" s="190"/>
      <c r="AJ48" s="190"/>
      <c r="AK48" s="190"/>
      <c r="AL48" s="190"/>
      <c r="AM48" s="190"/>
      <c r="AN48" s="190"/>
      <c r="AO48" s="59"/>
      <c r="AP48" s="190"/>
      <c r="AQ48" s="190"/>
      <c r="AR48" s="190"/>
      <c r="AS48" s="190"/>
      <c r="AT48" s="190"/>
    </row>
    <row r="49" spans="1:46" ht="13.5" thickBot="1">
      <c r="A49" s="37" t="s">
        <v>66</v>
      </c>
      <c r="B49" s="38"/>
      <c r="C49" s="38"/>
      <c r="D49" s="38"/>
      <c r="E49" s="19">
        <v>45</v>
      </c>
      <c r="F49" s="127">
        <f>F30-F5</f>
        <v>0</v>
      </c>
      <c r="G49" s="81">
        <f aca="true" t="shared" si="24" ref="G49:N49">G30-G5</f>
        <v>0</v>
      </c>
      <c r="H49" s="82">
        <f t="shared" si="24"/>
        <v>0</v>
      </c>
      <c r="I49" s="83">
        <f t="shared" si="24"/>
        <v>0</v>
      </c>
      <c r="J49" s="83">
        <f t="shared" si="24"/>
        <v>0</v>
      </c>
      <c r="K49" s="381">
        <f t="shared" si="24"/>
        <v>0</v>
      </c>
      <c r="L49" s="83">
        <f t="shared" si="24"/>
        <v>0</v>
      </c>
      <c r="M49" s="82">
        <f t="shared" si="24"/>
        <v>0</v>
      </c>
      <c r="N49" s="84">
        <f t="shared" si="24"/>
        <v>85148.09000000358</v>
      </c>
      <c r="P49" s="188">
        <f aca="true" t="shared" si="25" ref="P49:X49">P30-P5</f>
        <v>-89774</v>
      </c>
      <c r="Q49" s="188">
        <f t="shared" si="25"/>
        <v>89774</v>
      </c>
      <c r="R49" s="188">
        <f t="shared" si="25"/>
        <v>0</v>
      </c>
      <c r="S49" s="188">
        <f t="shared" si="25"/>
        <v>0</v>
      </c>
      <c r="T49" s="188">
        <f t="shared" si="25"/>
        <v>0</v>
      </c>
      <c r="U49" s="188">
        <f t="shared" si="25"/>
        <v>0</v>
      </c>
      <c r="V49" s="188"/>
      <c r="W49" s="188">
        <f t="shared" si="25"/>
        <v>0</v>
      </c>
      <c r="X49" s="188">
        <f t="shared" si="25"/>
        <v>0</v>
      </c>
      <c r="Z49" s="188">
        <f aca="true" t="shared" si="26" ref="Z49:AE49">Z30-Z5</f>
        <v>-41936</v>
      </c>
      <c r="AA49" s="188">
        <f t="shared" si="26"/>
        <v>-41064</v>
      </c>
      <c r="AB49" s="188">
        <f t="shared" si="26"/>
        <v>-297</v>
      </c>
      <c r="AC49" s="188">
        <f t="shared" si="26"/>
        <v>-1220</v>
      </c>
      <c r="AD49" s="188">
        <f t="shared" si="26"/>
        <v>-253</v>
      </c>
      <c r="AE49" s="188">
        <f t="shared" si="26"/>
        <v>-5004</v>
      </c>
      <c r="AG49" s="188">
        <f>AG30-AG5</f>
        <v>-74901</v>
      </c>
      <c r="AH49" s="188">
        <f>AH30-AH5</f>
        <v>74901</v>
      </c>
      <c r="AI49" s="188">
        <f>AI30-AI5</f>
        <v>0</v>
      </c>
      <c r="AJ49" s="188">
        <f>AJ30-AJ5</f>
        <v>0</v>
      </c>
      <c r="AK49" s="188"/>
      <c r="AL49" s="188"/>
      <c r="AM49" s="188">
        <f>AM30-AM5</f>
        <v>-99</v>
      </c>
      <c r="AN49" s="188">
        <f>AN30-AN5</f>
        <v>-53505</v>
      </c>
      <c r="AO49" s="59"/>
      <c r="AP49" s="188">
        <f>AP30-AP5</f>
        <v>-38297</v>
      </c>
      <c r="AQ49" s="188">
        <f>AQ30-AQ5</f>
        <v>-35028</v>
      </c>
      <c r="AR49" s="188">
        <f>AR30-AR5</f>
        <v>-278</v>
      </c>
      <c r="AS49" s="188">
        <f>AS30-AS5</f>
        <v>-1102</v>
      </c>
      <c r="AT49" s="188">
        <f>AT30-AT5</f>
        <v>-196</v>
      </c>
    </row>
    <row r="50" spans="1:31" ht="12.75">
      <c r="A50" s="47"/>
      <c r="B50" s="47"/>
      <c r="C50" s="47"/>
      <c r="D50" s="47"/>
      <c r="E50" s="48"/>
      <c r="AA50" s="296"/>
      <c r="AB50" s="296"/>
      <c r="AC50" s="296"/>
      <c r="AD50" s="296" t="s">
        <v>161</v>
      </c>
      <c r="AE50" s="296">
        <f>SUM(Z49:AE49)</f>
        <v>-89774</v>
      </c>
    </row>
    <row r="51" spans="5:33" s="47" customFormat="1" ht="12">
      <c r="E51" s="48"/>
      <c r="F51" s="25"/>
      <c r="H51" s="59"/>
      <c r="I51" s="59"/>
      <c r="J51" s="59"/>
      <c r="K51" s="59"/>
      <c r="L51" s="59"/>
      <c r="M51" s="59"/>
      <c r="N51" s="59"/>
      <c r="O51" s="317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G51" s="59"/>
    </row>
    <row r="52" spans="1:33" s="47" customFormat="1" ht="12">
      <c r="A52" s="51" t="s">
        <v>98</v>
      </c>
      <c r="E52" s="48"/>
      <c r="F52" s="133"/>
      <c r="H52" s="59"/>
      <c r="J52" s="122"/>
      <c r="M52" s="59"/>
      <c r="N52" s="59"/>
      <c r="O52" s="317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G52" s="59"/>
    </row>
    <row r="53" spans="5:33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317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G53" s="75"/>
    </row>
    <row r="54" spans="5:33" s="51" customFormat="1" ht="12">
      <c r="E54" s="53"/>
      <c r="F54" s="134"/>
      <c r="H54" s="75"/>
      <c r="I54" s="75"/>
      <c r="J54" s="75"/>
      <c r="K54" s="75"/>
      <c r="L54" s="75"/>
      <c r="M54" s="75"/>
      <c r="N54" s="75"/>
      <c r="O54" s="317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G54" s="75"/>
    </row>
    <row r="55" spans="5:33" s="51" customFormat="1" ht="12">
      <c r="E55" s="53"/>
      <c r="F55" s="134"/>
      <c r="H55" s="75"/>
      <c r="I55" s="75"/>
      <c r="J55" s="75"/>
      <c r="K55" s="75"/>
      <c r="L55" s="75"/>
      <c r="M55" s="75"/>
      <c r="N55" s="75"/>
      <c r="O55" s="317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G55" s="75"/>
    </row>
    <row r="56" spans="1:33" s="47" customFormat="1" ht="12">
      <c r="A56" s="51"/>
      <c r="B56" s="51"/>
      <c r="C56" s="51"/>
      <c r="D56" s="51"/>
      <c r="E56" s="48"/>
      <c r="F56" s="25"/>
      <c r="H56" s="59"/>
      <c r="I56" s="59"/>
      <c r="J56" s="59"/>
      <c r="K56" s="59"/>
      <c r="L56" s="59"/>
      <c r="M56" s="59"/>
      <c r="N56" s="59"/>
      <c r="O56" s="317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G56" s="59"/>
    </row>
    <row r="57" spans="1:15" s="59" customFormat="1" ht="12">
      <c r="A57" s="51"/>
      <c r="B57" s="51"/>
      <c r="C57" s="51"/>
      <c r="D57" s="51"/>
      <c r="E57" s="57"/>
      <c r="F57" s="25"/>
      <c r="O57" s="317"/>
    </row>
    <row r="58" spans="1:15" s="59" customFormat="1" ht="12">
      <c r="A58" s="51"/>
      <c r="B58" s="51"/>
      <c r="C58" s="51"/>
      <c r="D58" s="51"/>
      <c r="E58" s="57"/>
      <c r="F58" s="25"/>
      <c r="O58" s="317"/>
    </row>
    <row r="59" spans="1:15" s="59" customFormat="1" ht="12">
      <c r="A59" s="51"/>
      <c r="B59" s="51"/>
      <c r="C59" s="51"/>
      <c r="D59" s="51"/>
      <c r="E59" s="57"/>
      <c r="F59" s="25"/>
      <c r="O59" s="317"/>
    </row>
  </sheetData>
  <mergeCells count="3">
    <mergeCell ref="A3:D3"/>
    <mergeCell ref="I3:M3"/>
    <mergeCell ref="C4:D4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5">
      <selection activeCell="K50" sqref="K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00390625" style="25" customWidth="1"/>
    <col min="7" max="7" width="5.125" style="0" hidden="1" customWidth="1"/>
    <col min="8" max="8" width="11.75390625" style="59" customWidth="1"/>
    <col min="9" max="9" width="10.00390625" style="59" customWidth="1"/>
    <col min="10" max="12" width="8.00390625" style="59" customWidth="1"/>
    <col min="13" max="13" width="8.125" style="59" customWidth="1"/>
    <col min="14" max="14" width="9.625" style="59" customWidth="1"/>
    <col min="15" max="15" width="9.125" style="317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5" s="16" customFormat="1" ht="13.5" thickBot="1">
      <c r="A2" s="375" t="s">
        <v>149</v>
      </c>
      <c r="B2" s="7"/>
      <c r="C2" s="550" t="s">
        <v>90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7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6966000</v>
      </c>
      <c r="G3" s="81">
        <f aca="true" t="shared" si="0" ref="G3:M3">SUM(G5:G27)</f>
        <v>0</v>
      </c>
      <c r="H3" s="82">
        <f t="shared" si="0"/>
        <v>5631000</v>
      </c>
      <c r="I3" s="83">
        <f t="shared" si="0"/>
        <v>1335000</v>
      </c>
      <c r="J3" s="83">
        <f t="shared" si="0"/>
        <v>0</v>
      </c>
      <c r="K3" s="381">
        <f t="shared" si="0"/>
        <v>0</v>
      </c>
      <c r="L3" s="83">
        <f t="shared" si="0"/>
        <v>0</v>
      </c>
      <c r="M3" s="82">
        <f t="shared" si="0"/>
        <v>0</v>
      </c>
      <c r="N3" s="84">
        <f>SUM(N5:N27)</f>
        <v>6112629.419999999</v>
      </c>
    </row>
    <row r="4" spans="1:15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6966000</v>
      </c>
      <c r="G4" s="86">
        <f aca="true" t="shared" si="1" ref="G4:N4">SUM(G5:G15)</f>
        <v>0</v>
      </c>
      <c r="H4" s="87">
        <f t="shared" si="1"/>
        <v>5631000</v>
      </c>
      <c r="I4" s="88">
        <f t="shared" si="1"/>
        <v>1335000</v>
      </c>
      <c r="J4" s="88">
        <f t="shared" si="1"/>
        <v>0</v>
      </c>
      <c r="K4" s="382">
        <f t="shared" si="1"/>
        <v>0</v>
      </c>
      <c r="L4" s="88">
        <f t="shared" si="1"/>
        <v>0</v>
      </c>
      <c r="M4" s="87">
        <f t="shared" si="1"/>
        <v>0</v>
      </c>
      <c r="N4" s="89">
        <f t="shared" si="1"/>
        <v>6112629.419999999</v>
      </c>
      <c r="O4" s="317"/>
    </row>
    <row r="5" spans="1:15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1400000</v>
      </c>
      <c r="G5" s="91"/>
      <c r="H5" s="92">
        <v>1400000</v>
      </c>
      <c r="I5" s="92"/>
      <c r="J5" s="93"/>
      <c r="K5" s="383"/>
      <c r="L5" s="93"/>
      <c r="M5" s="94"/>
      <c r="N5" s="95">
        <v>1329959</v>
      </c>
      <c r="O5" s="319"/>
    </row>
    <row r="6" spans="1:15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180000</v>
      </c>
      <c r="G6" s="91"/>
      <c r="H6" s="92">
        <v>180000</v>
      </c>
      <c r="I6" s="92"/>
      <c r="J6" s="93"/>
      <c r="K6" s="383"/>
      <c r="L6" s="93"/>
      <c r="M6" s="94"/>
      <c r="N6" s="95">
        <v>152920</v>
      </c>
      <c r="O6" s="319"/>
    </row>
    <row r="7" spans="1:15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565000</v>
      </c>
      <c r="G7" s="91"/>
      <c r="H7" s="92">
        <v>565000</v>
      </c>
      <c r="I7" s="92"/>
      <c r="J7" s="93"/>
      <c r="K7" s="383"/>
      <c r="L7" s="93"/>
      <c r="M7" s="94"/>
      <c r="N7" s="95">
        <v>545603.09</v>
      </c>
      <c r="O7" s="319"/>
    </row>
    <row r="8" spans="1:15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1735000</v>
      </c>
      <c r="G8" s="91"/>
      <c r="H8" s="92">
        <v>1400000</v>
      </c>
      <c r="I8" s="92">
        <v>335000</v>
      </c>
      <c r="J8" s="93"/>
      <c r="K8" s="383"/>
      <c r="L8" s="93"/>
      <c r="M8" s="94"/>
      <c r="N8" s="95">
        <v>1164223.99</v>
      </c>
      <c r="O8" s="319"/>
    </row>
    <row r="9" spans="1:15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600000</v>
      </c>
      <c r="G9" s="91"/>
      <c r="H9" s="92">
        <v>300000</v>
      </c>
      <c r="I9" s="92">
        <v>300000</v>
      </c>
      <c r="J9" s="93"/>
      <c r="K9" s="383"/>
      <c r="L9" s="93"/>
      <c r="M9" s="94"/>
      <c r="N9" s="95">
        <v>55403.84</v>
      </c>
      <c r="O9" s="319"/>
    </row>
    <row r="10" spans="1:15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1214000</v>
      </c>
      <c r="G10" s="91"/>
      <c r="H10" s="92">
        <v>514000</v>
      </c>
      <c r="I10" s="92">
        <v>700000</v>
      </c>
      <c r="J10" s="93"/>
      <c r="K10" s="383"/>
      <c r="L10" s="93"/>
      <c r="M10" s="94"/>
      <c r="N10" s="95">
        <v>786377.2</v>
      </c>
      <c r="O10" s="319"/>
    </row>
    <row r="11" spans="1:15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250000</v>
      </c>
      <c r="G11" s="91"/>
      <c r="H11" s="92">
        <v>250000</v>
      </c>
      <c r="I11" s="92"/>
      <c r="J11" s="93"/>
      <c r="K11" s="383"/>
      <c r="L11" s="93"/>
      <c r="M11" s="94"/>
      <c r="N11" s="95">
        <v>204208.55</v>
      </c>
      <c r="O11" s="319"/>
    </row>
    <row r="12" spans="1:15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40000</v>
      </c>
      <c r="G12" s="91"/>
      <c r="H12" s="92">
        <v>40000</v>
      </c>
      <c r="I12" s="92"/>
      <c r="J12" s="93"/>
      <c r="K12" s="383"/>
      <c r="L12" s="93"/>
      <c r="M12" s="94"/>
      <c r="N12" s="95">
        <v>15354.1</v>
      </c>
      <c r="O12" s="319"/>
    </row>
    <row r="13" spans="1:15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462000</v>
      </c>
      <c r="G13" s="91"/>
      <c r="H13" s="92">
        <v>462000</v>
      </c>
      <c r="I13" s="92"/>
      <c r="J13" s="93"/>
      <c r="K13" s="383"/>
      <c r="L13" s="93"/>
      <c r="M13" s="94"/>
      <c r="N13" s="95">
        <v>462112.31</v>
      </c>
      <c r="O13" s="319"/>
    </row>
    <row r="14" spans="1:15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0</v>
      </c>
      <c r="G14" s="91"/>
      <c r="H14" s="92"/>
      <c r="I14" s="92"/>
      <c r="J14" s="93"/>
      <c r="K14" s="383"/>
      <c r="L14" s="93"/>
      <c r="M14" s="94"/>
      <c r="N14" s="95"/>
      <c r="O14" s="319"/>
    </row>
    <row r="15" spans="1:15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520000</v>
      </c>
      <c r="G15" s="91"/>
      <c r="H15" s="92">
        <v>520000</v>
      </c>
      <c r="I15" s="92"/>
      <c r="J15" s="93"/>
      <c r="K15" s="383"/>
      <c r="L15" s="408"/>
      <c r="M15" s="94"/>
      <c r="N15" s="95">
        <v>1396467.34</v>
      </c>
      <c r="O15" s="319"/>
    </row>
    <row r="16" spans="1:15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317"/>
    </row>
    <row r="17" spans="1:15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101"/>
      <c r="O17" s="317"/>
    </row>
    <row r="18" spans="1:15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0</v>
      </c>
      <c r="G18" s="97"/>
      <c r="H18" s="98"/>
      <c r="I18" s="98"/>
      <c r="J18" s="99"/>
      <c r="K18" s="384"/>
      <c r="L18" s="99"/>
      <c r="M18" s="100"/>
      <c r="N18" s="101"/>
      <c r="O18" s="317"/>
    </row>
    <row r="19" spans="1:15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317"/>
    </row>
    <row r="20" spans="1:15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101"/>
      <c r="O20" s="317"/>
    </row>
    <row r="21" spans="1:15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317"/>
    </row>
    <row r="22" spans="1:15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00"/>
      <c r="I22" s="99"/>
      <c r="J22" s="99"/>
      <c r="K22" s="384"/>
      <c r="L22" s="99"/>
      <c r="M22" s="100"/>
      <c r="N22" s="101"/>
      <c r="O22" s="317"/>
    </row>
    <row r="23" spans="1:15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317"/>
    </row>
    <row r="24" spans="1:15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0</v>
      </c>
      <c r="G24" s="97"/>
      <c r="H24" s="100"/>
      <c r="I24" s="99"/>
      <c r="J24" s="99"/>
      <c r="K24" s="384"/>
      <c r="L24" s="99"/>
      <c r="M24" s="100"/>
      <c r="N24" s="101"/>
      <c r="O24" s="317"/>
    </row>
    <row r="25" spans="1:15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317"/>
    </row>
    <row r="26" spans="1:15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317"/>
    </row>
    <row r="27" spans="1:15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0</v>
      </c>
      <c r="G27" s="97"/>
      <c r="H27" s="100"/>
      <c r="I27" s="99"/>
      <c r="J27" s="99"/>
      <c r="K27" s="384"/>
      <c r="L27" s="99"/>
      <c r="M27" s="100"/>
      <c r="N27" s="101"/>
      <c r="O27" s="31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7066000</v>
      </c>
      <c r="G28" s="81">
        <f aca="true" t="shared" si="3" ref="G28:N28">SUM(G29:G45)</f>
        <v>0</v>
      </c>
      <c r="H28" s="82">
        <f t="shared" si="3"/>
        <v>5731000</v>
      </c>
      <c r="I28" s="83">
        <f t="shared" si="3"/>
        <v>1335000</v>
      </c>
      <c r="J28" s="83">
        <f t="shared" si="3"/>
        <v>0</v>
      </c>
      <c r="K28" s="381">
        <f t="shared" si="3"/>
        <v>0</v>
      </c>
      <c r="L28" s="83">
        <f t="shared" si="3"/>
        <v>0</v>
      </c>
      <c r="M28" s="82">
        <f t="shared" si="3"/>
        <v>0</v>
      </c>
      <c r="N28" s="84">
        <f t="shared" si="3"/>
        <v>6263456.14</v>
      </c>
    </row>
    <row r="29" spans="1:15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4831000</v>
      </c>
      <c r="G29" s="86"/>
      <c r="H29" s="87">
        <v>4831000</v>
      </c>
      <c r="I29" s="88"/>
      <c r="J29" s="88"/>
      <c r="K29" s="382"/>
      <c r="L29" s="88"/>
      <c r="M29" s="87"/>
      <c r="N29" s="89">
        <v>4372000</v>
      </c>
      <c r="O29" s="320"/>
    </row>
    <row r="30" spans="1:15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317"/>
    </row>
    <row r="31" spans="1:15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105"/>
      <c r="O31" s="317"/>
    </row>
    <row r="32" spans="1:15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0</v>
      </c>
      <c r="G32" s="102"/>
      <c r="H32" s="103"/>
      <c r="I32" s="104"/>
      <c r="J32" s="104"/>
      <c r="K32" s="385"/>
      <c r="L32" s="104"/>
      <c r="M32" s="103"/>
      <c r="N32" s="105"/>
      <c r="O32" s="317"/>
    </row>
    <row r="33" spans="1:15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317"/>
    </row>
    <row r="34" spans="1:15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317"/>
    </row>
    <row r="35" spans="1:15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/>
      <c r="O35" s="317"/>
    </row>
    <row r="36" spans="1:15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317"/>
    </row>
    <row r="37" spans="1:15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0</v>
      </c>
      <c r="G37" s="102"/>
      <c r="H37" s="103"/>
      <c r="I37" s="104"/>
      <c r="J37" s="104"/>
      <c r="K37" s="385"/>
      <c r="L37" s="104"/>
      <c r="M37" s="103"/>
      <c r="N37" s="105"/>
      <c r="O37" s="317"/>
    </row>
    <row r="38" spans="1:15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320"/>
    </row>
    <row r="39" spans="1:15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317"/>
    </row>
    <row r="40" spans="1:15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0</v>
      </c>
      <c r="G40" s="102"/>
      <c r="H40" s="103"/>
      <c r="I40" s="104"/>
      <c r="J40" s="104"/>
      <c r="K40" s="385"/>
      <c r="L40" s="104"/>
      <c r="M40" s="103"/>
      <c r="N40" s="105"/>
      <c r="O40" s="317"/>
    </row>
    <row r="41" spans="1:15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03"/>
      <c r="I41" s="104"/>
      <c r="J41" s="104"/>
      <c r="K41" s="385"/>
      <c r="L41" s="104"/>
      <c r="M41" s="103"/>
      <c r="N41" s="105"/>
      <c r="O41" s="317"/>
    </row>
    <row r="42" spans="1:15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317"/>
    </row>
    <row r="43" spans="1:15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900000</v>
      </c>
      <c r="G43" s="102"/>
      <c r="H43" s="103">
        <v>900000</v>
      </c>
      <c r="I43" s="104"/>
      <c r="J43" s="104"/>
      <c r="K43" s="385"/>
      <c r="L43" s="104"/>
      <c r="M43" s="103"/>
      <c r="N43" s="105">
        <v>831749.67</v>
      </c>
      <c r="O43" s="317"/>
    </row>
    <row r="44" spans="1:15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1335000</v>
      </c>
      <c r="G44" s="102"/>
      <c r="H44" s="106" t="s">
        <v>97</v>
      </c>
      <c r="I44" s="104">
        <v>1335000</v>
      </c>
      <c r="J44" s="104"/>
      <c r="K44" s="385"/>
      <c r="L44" s="426"/>
      <c r="M44" s="103"/>
      <c r="N44" s="105">
        <v>1059706.47</v>
      </c>
      <c r="O44" s="317"/>
    </row>
    <row r="45" spans="1:15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0</v>
      </c>
      <c r="G45" s="108"/>
      <c r="H45" s="109"/>
      <c r="I45" s="110"/>
      <c r="J45" s="110"/>
      <c r="K45" s="386"/>
      <c r="L45" s="110"/>
      <c r="M45" s="109"/>
      <c r="N45" s="111"/>
      <c r="O45" s="317"/>
    </row>
    <row r="46" spans="1:15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100000</v>
      </c>
      <c r="G46" s="113">
        <f>G29+G34+G38+G43+G44+G45+-G4-G27</f>
        <v>0</v>
      </c>
      <c r="H46" s="113">
        <f>H29+H34+H38+H43+H45-H4-H27</f>
        <v>100000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150826.72000000067</v>
      </c>
      <c r="O46" s="31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100000</v>
      </c>
      <c r="G47" s="81">
        <f aca="true" t="shared" si="4" ref="G47:N47">G28-G3</f>
        <v>0</v>
      </c>
      <c r="H47" s="82">
        <f t="shared" si="4"/>
        <v>100000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150826.72000000067</v>
      </c>
    </row>
    <row r="48" spans="1:5" ht="12.75">
      <c r="A48" s="47"/>
      <c r="B48" s="47"/>
      <c r="C48" s="47"/>
      <c r="D48" s="47"/>
      <c r="E48" s="48"/>
    </row>
    <row r="49" spans="5:15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317"/>
    </row>
    <row r="50" spans="1:15" s="47" customFormat="1" ht="12">
      <c r="A50" s="51" t="s">
        <v>98</v>
      </c>
      <c r="E50" s="48"/>
      <c r="F50" s="133"/>
      <c r="H50" s="59"/>
      <c r="I50" s="59"/>
      <c r="J50" s="122"/>
      <c r="K50" s="59"/>
      <c r="L50" s="59"/>
      <c r="M50" s="59"/>
      <c r="N50" s="59"/>
      <c r="O50" s="317"/>
    </row>
    <row r="51" spans="5:15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317"/>
    </row>
    <row r="52" spans="5:15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317"/>
    </row>
    <row r="53" spans="5:15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317"/>
    </row>
    <row r="54" spans="1:15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317"/>
    </row>
    <row r="55" spans="1:15" s="59" customFormat="1" ht="12">
      <c r="A55" s="51"/>
      <c r="B55" s="51"/>
      <c r="C55" s="51"/>
      <c r="D55" s="51"/>
      <c r="E55" s="57"/>
      <c r="F55" s="25"/>
      <c r="O55" s="317"/>
    </row>
    <row r="56" spans="1:15" s="59" customFormat="1" ht="12">
      <c r="A56" s="51"/>
      <c r="B56" s="51"/>
      <c r="C56" s="51"/>
      <c r="D56" s="51"/>
      <c r="E56" s="57"/>
      <c r="F56" s="25"/>
      <c r="O56" s="317"/>
    </row>
    <row r="57" spans="1:15" s="59" customFormat="1" ht="12">
      <c r="A57" s="51"/>
      <c r="B57" s="51"/>
      <c r="C57" s="51"/>
      <c r="D57" s="51"/>
      <c r="E57" s="57"/>
      <c r="F57" s="25"/>
      <c r="O57" s="317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D6" sqref="D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1.75390625" style="16" customWidth="1"/>
    <col min="7" max="7" width="5.125" style="0" hidden="1" customWidth="1"/>
    <col min="8" max="8" width="11.75390625" style="59" customWidth="1"/>
    <col min="9" max="9" width="10.00390625" style="59" customWidth="1"/>
    <col min="10" max="12" width="8.00390625" style="59" customWidth="1"/>
    <col min="13" max="13" width="8.125" style="59" customWidth="1"/>
    <col min="14" max="14" width="9.625" style="59" customWidth="1"/>
    <col min="15" max="15" width="6.625" style="522" customWidth="1"/>
    <col min="16" max="16" width="9.125" style="522" customWidth="1"/>
    <col min="17" max="17" width="7.25390625" style="526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66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6" t="s">
        <v>134</v>
      </c>
      <c r="B2" s="7"/>
      <c r="C2" s="550" t="s">
        <v>91</v>
      </c>
      <c r="D2" s="551"/>
      <c r="E2" s="9" t="s">
        <v>5</v>
      </c>
      <c r="F2" s="67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418" t="s">
        <v>147</v>
      </c>
      <c r="M2" s="70" t="s">
        <v>12</v>
      </c>
      <c r="N2" s="73">
        <v>2008</v>
      </c>
      <c r="O2" s="522"/>
      <c r="P2" s="522"/>
      <c r="Q2" s="526"/>
    </row>
    <row r="3" spans="1:14" ht="13.5" thickBot="1">
      <c r="A3" s="17" t="s">
        <v>13</v>
      </c>
      <c r="B3" s="18"/>
      <c r="C3" s="18"/>
      <c r="D3" s="18"/>
      <c r="E3" s="19">
        <v>1</v>
      </c>
      <c r="F3" s="80">
        <f>SUM(F5:F27)</f>
        <v>25194000</v>
      </c>
      <c r="G3" s="81">
        <f aca="true" t="shared" si="0" ref="G3:M3">SUM(G5:G27)</f>
        <v>0</v>
      </c>
      <c r="H3" s="82">
        <f t="shared" si="0"/>
        <v>25104000</v>
      </c>
      <c r="I3" s="83">
        <f t="shared" si="0"/>
        <v>25000</v>
      </c>
      <c r="J3" s="83">
        <f t="shared" si="0"/>
        <v>0</v>
      </c>
      <c r="K3" s="381">
        <f t="shared" si="0"/>
        <v>0</v>
      </c>
      <c r="L3" s="83">
        <f t="shared" si="0"/>
        <v>65000</v>
      </c>
      <c r="M3" s="82">
        <f t="shared" si="0"/>
        <v>0</v>
      </c>
      <c r="N3" s="84">
        <f>SUM(N5:N27)</f>
        <v>22456322.75</v>
      </c>
    </row>
    <row r="4" spans="1:17" s="25" customFormat="1" ht="12.75">
      <c r="A4" s="21" t="s">
        <v>14</v>
      </c>
      <c r="B4" s="22" t="s">
        <v>15</v>
      </c>
      <c r="C4" s="22"/>
      <c r="D4" s="22"/>
      <c r="E4" s="23">
        <v>2</v>
      </c>
      <c r="F4" s="85">
        <f>SUM(F5:F15)</f>
        <v>4141000</v>
      </c>
      <c r="G4" s="86">
        <f aca="true" t="shared" si="1" ref="G4:N4">SUM(G5:G15)</f>
        <v>0</v>
      </c>
      <c r="H4" s="87">
        <f t="shared" si="1"/>
        <v>4051000</v>
      </c>
      <c r="I4" s="88">
        <f t="shared" si="1"/>
        <v>25000</v>
      </c>
      <c r="J4" s="88">
        <f t="shared" si="1"/>
        <v>0</v>
      </c>
      <c r="K4" s="382">
        <f t="shared" si="1"/>
        <v>0</v>
      </c>
      <c r="L4" s="88">
        <f t="shared" si="1"/>
        <v>65000</v>
      </c>
      <c r="M4" s="87">
        <f t="shared" si="1"/>
        <v>0</v>
      </c>
      <c r="N4" s="89">
        <f t="shared" si="1"/>
        <v>4391022.21</v>
      </c>
      <c r="O4" s="522"/>
      <c r="P4" s="522"/>
      <c r="Q4" s="527"/>
    </row>
    <row r="5" spans="1:17" s="65" customFormat="1" ht="12.75">
      <c r="A5" s="61"/>
      <c r="B5" s="62"/>
      <c r="C5" s="62" t="s">
        <v>16</v>
      </c>
      <c r="D5" s="63" t="s">
        <v>17</v>
      </c>
      <c r="E5" s="64">
        <v>3</v>
      </c>
      <c r="F5" s="90">
        <f>SUM(H5:M5)</f>
        <v>1200000</v>
      </c>
      <c r="G5" s="91"/>
      <c r="H5" s="92">
        <v>1200000</v>
      </c>
      <c r="I5" s="92"/>
      <c r="J5" s="93"/>
      <c r="K5" s="383"/>
      <c r="L5" s="93"/>
      <c r="M5" s="94"/>
      <c r="N5" s="95">
        <v>1149530.77</v>
      </c>
      <c r="O5" s="528"/>
      <c r="P5" s="528"/>
      <c r="Q5" s="529"/>
    </row>
    <row r="6" spans="1:17" s="65" customFormat="1" ht="12.75">
      <c r="A6" s="61"/>
      <c r="B6" s="62"/>
      <c r="C6" s="62"/>
      <c r="D6" s="63" t="s">
        <v>18</v>
      </c>
      <c r="E6" s="64">
        <v>4</v>
      </c>
      <c r="F6" s="90">
        <f aca="true" t="shared" si="2" ref="F6:F45">SUM(H6:M6)</f>
        <v>30000</v>
      </c>
      <c r="G6" s="91"/>
      <c r="H6" s="92">
        <v>30000</v>
      </c>
      <c r="I6" s="92"/>
      <c r="J6" s="93"/>
      <c r="K6" s="383"/>
      <c r="L6" s="93"/>
      <c r="M6" s="94"/>
      <c r="N6" s="95">
        <v>27530</v>
      </c>
      <c r="O6" s="528"/>
      <c r="P6" s="528"/>
      <c r="Q6" s="529"/>
    </row>
    <row r="7" spans="1:17" s="65" customFormat="1" ht="12.75">
      <c r="A7" s="61"/>
      <c r="B7" s="62"/>
      <c r="C7" s="62"/>
      <c r="D7" s="63" t="s">
        <v>19</v>
      </c>
      <c r="E7" s="64">
        <v>5</v>
      </c>
      <c r="F7" s="90">
        <f t="shared" si="2"/>
        <v>432000</v>
      </c>
      <c r="G7" s="91"/>
      <c r="H7" s="298">
        <v>432000</v>
      </c>
      <c r="I7" s="92"/>
      <c r="J7" s="93"/>
      <c r="K7" s="383"/>
      <c r="L7" s="93"/>
      <c r="M7" s="94"/>
      <c r="N7" s="95">
        <v>425771.62</v>
      </c>
      <c r="O7" s="528"/>
      <c r="P7" s="528"/>
      <c r="Q7" s="529"/>
    </row>
    <row r="8" spans="1:17" s="65" customFormat="1" ht="12.75">
      <c r="A8" s="61"/>
      <c r="B8" s="62"/>
      <c r="C8" s="62"/>
      <c r="D8" s="63" t="s">
        <v>20</v>
      </c>
      <c r="E8" s="64">
        <v>6</v>
      </c>
      <c r="F8" s="90">
        <f t="shared" si="2"/>
        <v>772000</v>
      </c>
      <c r="G8" s="91"/>
      <c r="H8" s="298">
        <v>772000</v>
      </c>
      <c r="I8" s="92"/>
      <c r="J8" s="93"/>
      <c r="K8" s="383"/>
      <c r="L8" s="93"/>
      <c r="M8" s="94"/>
      <c r="N8" s="95">
        <v>34078</v>
      </c>
      <c r="O8" s="528"/>
      <c r="P8" s="528"/>
      <c r="Q8" s="529"/>
    </row>
    <row r="9" spans="1:17" s="65" customFormat="1" ht="12.75">
      <c r="A9" s="61"/>
      <c r="B9" s="62"/>
      <c r="C9" s="62"/>
      <c r="D9" s="63" t="s">
        <v>21</v>
      </c>
      <c r="E9" s="64">
        <v>7</v>
      </c>
      <c r="F9" s="90">
        <f t="shared" si="2"/>
        <v>15000</v>
      </c>
      <c r="G9" s="91"/>
      <c r="H9" s="298">
        <v>15000</v>
      </c>
      <c r="I9" s="92"/>
      <c r="J9" s="93"/>
      <c r="K9" s="383"/>
      <c r="L9" s="93"/>
      <c r="M9" s="94"/>
      <c r="N9" s="95">
        <v>833</v>
      </c>
      <c r="O9" s="528"/>
      <c r="P9" s="528"/>
      <c r="Q9" s="529"/>
    </row>
    <row r="10" spans="1:17" s="65" customFormat="1" ht="12.75">
      <c r="A10" s="61"/>
      <c r="B10" s="62"/>
      <c r="C10" s="62"/>
      <c r="D10" s="63" t="s">
        <v>22</v>
      </c>
      <c r="E10" s="64">
        <v>8</v>
      </c>
      <c r="F10" s="90">
        <f t="shared" si="2"/>
        <v>135000</v>
      </c>
      <c r="G10" s="91"/>
      <c r="H10" s="92">
        <v>110000</v>
      </c>
      <c r="I10" s="92">
        <v>25000</v>
      </c>
      <c r="J10" s="93"/>
      <c r="K10" s="383"/>
      <c r="L10" s="93"/>
      <c r="M10" s="94"/>
      <c r="N10" s="95">
        <v>83923.05</v>
      </c>
      <c r="O10" s="528"/>
      <c r="P10" s="528"/>
      <c r="Q10" s="529"/>
    </row>
    <row r="11" spans="1:17" s="65" customFormat="1" ht="12.75">
      <c r="A11" s="61"/>
      <c r="B11" s="62"/>
      <c r="C11" s="62"/>
      <c r="D11" s="63" t="s">
        <v>23</v>
      </c>
      <c r="E11" s="64">
        <v>9</v>
      </c>
      <c r="F11" s="90">
        <f t="shared" si="2"/>
        <v>478000</v>
      </c>
      <c r="G11" s="91"/>
      <c r="H11" s="92">
        <v>478000</v>
      </c>
      <c r="I11" s="92"/>
      <c r="J11" s="93"/>
      <c r="K11" s="383"/>
      <c r="L11" s="93"/>
      <c r="M11" s="94"/>
      <c r="N11" s="95">
        <v>1610115.05</v>
      </c>
      <c r="O11" s="528"/>
      <c r="P11" s="528"/>
      <c r="Q11" s="529"/>
    </row>
    <row r="12" spans="1:17" s="65" customFormat="1" ht="12.75">
      <c r="A12" s="61"/>
      <c r="B12" s="62"/>
      <c r="C12" s="62"/>
      <c r="D12" s="63" t="s">
        <v>24</v>
      </c>
      <c r="E12" s="64">
        <v>10</v>
      </c>
      <c r="F12" s="90">
        <f t="shared" si="2"/>
        <v>30000</v>
      </c>
      <c r="G12" s="91"/>
      <c r="H12" s="92">
        <v>30000</v>
      </c>
      <c r="I12" s="92"/>
      <c r="J12" s="93"/>
      <c r="K12" s="383"/>
      <c r="L12" s="93"/>
      <c r="M12" s="94"/>
      <c r="N12" s="95">
        <v>49517.54</v>
      </c>
      <c r="O12" s="528"/>
      <c r="P12" s="528"/>
      <c r="Q12" s="529"/>
    </row>
    <row r="13" spans="1:17" s="65" customFormat="1" ht="12.75">
      <c r="A13" s="61"/>
      <c r="B13" s="62"/>
      <c r="C13" s="62"/>
      <c r="D13" s="63" t="s">
        <v>25</v>
      </c>
      <c r="E13" s="64">
        <v>11</v>
      </c>
      <c r="F13" s="90">
        <f t="shared" si="2"/>
        <v>741000</v>
      </c>
      <c r="G13" s="91"/>
      <c r="H13" s="92">
        <v>741000</v>
      </c>
      <c r="I13" s="92"/>
      <c r="J13" s="93"/>
      <c r="K13" s="383"/>
      <c r="L13" s="93"/>
      <c r="M13" s="94"/>
      <c r="N13" s="95">
        <v>681112</v>
      </c>
      <c r="O13" s="528"/>
      <c r="P13" s="528"/>
      <c r="Q13" s="529"/>
    </row>
    <row r="14" spans="1:17" s="65" customFormat="1" ht="12.75">
      <c r="A14" s="61"/>
      <c r="B14" s="62"/>
      <c r="C14" s="62"/>
      <c r="D14" s="63" t="s">
        <v>26</v>
      </c>
      <c r="E14" s="64">
        <v>12</v>
      </c>
      <c r="F14" s="90">
        <f t="shared" si="2"/>
        <v>0</v>
      </c>
      <c r="G14" s="91"/>
      <c r="H14" s="92"/>
      <c r="I14" s="92"/>
      <c r="J14" s="93"/>
      <c r="K14" s="383"/>
      <c r="L14" s="93"/>
      <c r="M14" s="94"/>
      <c r="N14" s="95"/>
      <c r="O14" s="528"/>
      <c r="P14" s="528"/>
      <c r="Q14" s="529"/>
    </row>
    <row r="15" spans="1:17" s="65" customFormat="1" ht="12.75">
      <c r="A15" s="61"/>
      <c r="B15" s="62"/>
      <c r="C15" s="63"/>
      <c r="D15" s="63" t="s">
        <v>27</v>
      </c>
      <c r="E15" s="64">
        <v>13</v>
      </c>
      <c r="F15" s="90">
        <f t="shared" si="2"/>
        <v>308000</v>
      </c>
      <c r="G15" s="91"/>
      <c r="H15" s="92">
        <v>243000</v>
      </c>
      <c r="I15" s="92"/>
      <c r="J15" s="93"/>
      <c r="K15" s="383"/>
      <c r="L15" s="299">
        <v>65000</v>
      </c>
      <c r="M15" s="94"/>
      <c r="N15" s="95">
        <v>328611.18</v>
      </c>
      <c r="O15" s="528"/>
      <c r="P15" s="528"/>
      <c r="Q15" s="529"/>
    </row>
    <row r="16" spans="1:17" s="25" customFormat="1" ht="12.75">
      <c r="A16" s="21"/>
      <c r="B16" s="30" t="s">
        <v>28</v>
      </c>
      <c r="C16" s="27"/>
      <c r="D16" s="27"/>
      <c r="E16" s="28">
        <v>14</v>
      </c>
      <c r="F16" s="96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522"/>
      <c r="P16" s="522"/>
      <c r="Q16" s="527"/>
    </row>
    <row r="17" spans="1:17" s="25" customFormat="1" ht="12.75">
      <c r="A17" s="21"/>
      <c r="B17" s="30" t="s">
        <v>30</v>
      </c>
      <c r="C17" s="27"/>
      <c r="D17" s="27"/>
      <c r="E17" s="28">
        <v>15</v>
      </c>
      <c r="F17" s="96">
        <f t="shared" si="2"/>
        <v>0</v>
      </c>
      <c r="G17" s="97"/>
      <c r="H17" s="98"/>
      <c r="I17" s="98"/>
      <c r="J17" s="99"/>
      <c r="K17" s="384"/>
      <c r="L17" s="99"/>
      <c r="M17" s="100"/>
      <c r="N17" s="101"/>
      <c r="O17" s="522"/>
      <c r="P17" s="522"/>
      <c r="Q17" s="527"/>
    </row>
    <row r="18" spans="1:17" s="25" customFormat="1" ht="12.75">
      <c r="A18" s="21"/>
      <c r="B18" s="31" t="s">
        <v>32</v>
      </c>
      <c r="C18" s="32"/>
      <c r="D18" s="32"/>
      <c r="E18" s="33">
        <v>16</v>
      </c>
      <c r="F18" s="96">
        <f t="shared" si="2"/>
        <v>15850000</v>
      </c>
      <c r="G18" s="97"/>
      <c r="H18" s="98">
        <v>15850000</v>
      </c>
      <c r="I18" s="98"/>
      <c r="J18" s="99"/>
      <c r="K18" s="384"/>
      <c r="L18" s="99"/>
      <c r="M18" s="100"/>
      <c r="N18" s="101">
        <v>17714000</v>
      </c>
      <c r="O18" s="522"/>
      <c r="P18" s="522"/>
      <c r="Q18" s="527"/>
    </row>
    <row r="19" spans="1:17" s="25" customFormat="1" ht="12.75">
      <c r="A19" s="21"/>
      <c r="B19" s="31" t="s">
        <v>34</v>
      </c>
      <c r="C19" s="32"/>
      <c r="D19" s="32"/>
      <c r="E19" s="33">
        <v>17</v>
      </c>
      <c r="F19" s="96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522"/>
      <c r="P19" s="522"/>
      <c r="Q19" s="527"/>
    </row>
    <row r="20" spans="1:17" s="25" customFormat="1" ht="12.75">
      <c r="A20" s="21"/>
      <c r="B20" s="31" t="s">
        <v>36</v>
      </c>
      <c r="C20" s="31"/>
      <c r="D20" s="31"/>
      <c r="E20" s="33">
        <v>18</v>
      </c>
      <c r="F20" s="96">
        <f t="shared" si="2"/>
        <v>0</v>
      </c>
      <c r="G20" s="97"/>
      <c r="H20" s="98"/>
      <c r="I20" s="98"/>
      <c r="J20" s="99"/>
      <c r="K20" s="384"/>
      <c r="L20" s="99"/>
      <c r="M20" s="100"/>
      <c r="N20" s="101"/>
      <c r="O20" s="522"/>
      <c r="P20" s="522"/>
      <c r="Q20" s="527"/>
    </row>
    <row r="21" spans="1:17" s="25" customFormat="1" ht="12.75">
      <c r="A21" s="21"/>
      <c r="B21" s="31" t="s">
        <v>38</v>
      </c>
      <c r="C21" s="31"/>
      <c r="D21" s="31"/>
      <c r="E21" s="33">
        <v>19</v>
      </c>
      <c r="F21" s="96">
        <f t="shared" si="2"/>
        <v>4607000</v>
      </c>
      <c r="G21" s="97"/>
      <c r="H21" s="98">
        <v>4607000</v>
      </c>
      <c r="I21" s="98"/>
      <c r="J21" s="99"/>
      <c r="K21" s="384"/>
      <c r="L21" s="99"/>
      <c r="M21" s="100"/>
      <c r="N21" s="101">
        <v>-31869.64</v>
      </c>
      <c r="O21" s="522"/>
      <c r="P21" s="522"/>
      <c r="Q21" s="527"/>
    </row>
    <row r="22" spans="1:17" s="25" customFormat="1" ht="12.75">
      <c r="A22" s="21"/>
      <c r="B22" s="31" t="s">
        <v>40</v>
      </c>
      <c r="C22" s="31"/>
      <c r="D22" s="31"/>
      <c r="E22" s="33">
        <v>20</v>
      </c>
      <c r="F22" s="96">
        <f t="shared" si="2"/>
        <v>500000</v>
      </c>
      <c r="G22" s="97"/>
      <c r="H22" s="100">
        <v>500000</v>
      </c>
      <c r="I22" s="99"/>
      <c r="J22" s="99"/>
      <c r="K22" s="384"/>
      <c r="L22" s="99"/>
      <c r="M22" s="100"/>
      <c r="N22" s="101">
        <v>47938.18</v>
      </c>
      <c r="O22" s="522"/>
      <c r="P22" s="522"/>
      <c r="Q22" s="527"/>
    </row>
    <row r="23" spans="1:17" s="25" customFormat="1" ht="12.75">
      <c r="A23" s="21"/>
      <c r="B23" s="31" t="s">
        <v>42</v>
      </c>
      <c r="C23" s="31"/>
      <c r="D23" s="31"/>
      <c r="E23" s="33">
        <v>21</v>
      </c>
      <c r="F23" s="96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522"/>
      <c r="P23" s="522"/>
      <c r="Q23" s="527"/>
    </row>
    <row r="24" spans="1:17" s="25" customFormat="1" ht="12.75">
      <c r="A24" s="21"/>
      <c r="B24" s="31" t="s">
        <v>44</v>
      </c>
      <c r="C24" s="31"/>
      <c r="D24" s="31"/>
      <c r="E24" s="33">
        <v>22</v>
      </c>
      <c r="F24" s="96">
        <f t="shared" si="2"/>
        <v>96000</v>
      </c>
      <c r="G24" s="97"/>
      <c r="H24" s="201">
        <v>96000</v>
      </c>
      <c r="I24" s="99"/>
      <c r="J24" s="99"/>
      <c r="K24" s="384"/>
      <c r="L24" s="99"/>
      <c r="M24" s="100"/>
      <c r="N24" s="101"/>
      <c r="O24" s="522"/>
      <c r="P24" s="522"/>
      <c r="Q24" s="527"/>
    </row>
    <row r="25" spans="1:17" s="25" customFormat="1" ht="12.75">
      <c r="A25" s="21"/>
      <c r="B25" s="31" t="s">
        <v>45</v>
      </c>
      <c r="C25" s="31"/>
      <c r="D25" s="31"/>
      <c r="E25" s="33">
        <v>23</v>
      </c>
      <c r="F25" s="96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522"/>
      <c r="P25" s="522"/>
      <c r="Q25" s="527"/>
    </row>
    <row r="26" spans="1:17" s="25" customFormat="1" ht="12.75">
      <c r="A26" s="21"/>
      <c r="B26" s="31" t="s">
        <v>47</v>
      </c>
      <c r="C26" s="31"/>
      <c r="D26" s="31"/>
      <c r="E26" s="33">
        <v>24</v>
      </c>
      <c r="F26" s="96">
        <f t="shared" si="2"/>
        <v>0</v>
      </c>
      <c r="G26" s="97"/>
      <c r="H26" s="100"/>
      <c r="I26" s="99"/>
      <c r="J26" s="99"/>
      <c r="K26" s="384"/>
      <c r="L26" s="99"/>
      <c r="M26" s="100"/>
      <c r="N26" s="101">
        <v>335232</v>
      </c>
      <c r="O26" s="522"/>
      <c r="P26" s="522"/>
      <c r="Q26" s="527"/>
    </row>
    <row r="27" spans="1:17" s="25" customFormat="1" ht="13.5" thickBot="1">
      <c r="A27" s="21"/>
      <c r="B27" s="30" t="s">
        <v>49</v>
      </c>
      <c r="C27" s="30"/>
      <c r="D27" s="30"/>
      <c r="E27" s="28">
        <v>25</v>
      </c>
      <c r="F27" s="96">
        <f t="shared" si="2"/>
        <v>0</v>
      </c>
      <c r="G27" s="97"/>
      <c r="H27" s="100"/>
      <c r="I27" s="99"/>
      <c r="J27" s="99"/>
      <c r="K27" s="384"/>
      <c r="L27" s="99"/>
      <c r="M27" s="100"/>
      <c r="N27" s="101"/>
      <c r="O27" s="522"/>
      <c r="P27" s="522"/>
      <c r="Q27" s="52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80">
        <f>SUM(F29:F45)</f>
        <v>25265000</v>
      </c>
      <c r="G28" s="81">
        <f aca="true" t="shared" si="3" ref="G28:N28">SUM(G29:G45)</f>
        <v>0</v>
      </c>
      <c r="H28" s="82">
        <f t="shared" si="3"/>
        <v>25175000</v>
      </c>
      <c r="I28" s="83">
        <f t="shared" si="3"/>
        <v>25000</v>
      </c>
      <c r="J28" s="83">
        <f t="shared" si="3"/>
        <v>0</v>
      </c>
      <c r="K28" s="381">
        <f t="shared" si="3"/>
        <v>0</v>
      </c>
      <c r="L28" s="83">
        <f t="shared" si="3"/>
        <v>65000</v>
      </c>
      <c r="M28" s="82">
        <f t="shared" si="3"/>
        <v>0</v>
      </c>
      <c r="N28" s="84">
        <f t="shared" si="3"/>
        <v>22549669.21</v>
      </c>
    </row>
    <row r="29" spans="1:17" s="25" customFormat="1" ht="12.75">
      <c r="A29" s="21" t="s">
        <v>14</v>
      </c>
      <c r="B29" s="27" t="s">
        <v>52</v>
      </c>
      <c r="C29" s="27"/>
      <c r="D29" s="27"/>
      <c r="E29" s="28">
        <v>27</v>
      </c>
      <c r="F29" s="96">
        <f t="shared" si="2"/>
        <v>3352000</v>
      </c>
      <c r="G29" s="86"/>
      <c r="H29" s="87">
        <v>3352000</v>
      </c>
      <c r="I29" s="88"/>
      <c r="J29" s="88"/>
      <c r="K29" s="382"/>
      <c r="L29" s="88"/>
      <c r="M29" s="87"/>
      <c r="N29" s="89">
        <v>3295000</v>
      </c>
      <c r="O29" s="522"/>
      <c r="P29" s="522"/>
      <c r="Q29" s="527"/>
    </row>
    <row r="30" spans="1:17" s="25" customFormat="1" ht="12.75">
      <c r="A30" s="21"/>
      <c r="B30" s="30" t="s">
        <v>28</v>
      </c>
      <c r="C30" s="30"/>
      <c r="D30" s="30"/>
      <c r="E30" s="28">
        <v>28</v>
      </c>
      <c r="F30" s="96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522"/>
      <c r="P30" s="522"/>
      <c r="Q30" s="527"/>
    </row>
    <row r="31" spans="1:17" s="25" customFormat="1" ht="12.75">
      <c r="A31" s="21"/>
      <c r="B31" s="30" t="s">
        <v>30</v>
      </c>
      <c r="C31" s="30"/>
      <c r="D31" s="30"/>
      <c r="E31" s="28">
        <v>29</v>
      </c>
      <c r="F31" s="96">
        <f t="shared" si="2"/>
        <v>0</v>
      </c>
      <c r="G31" s="102"/>
      <c r="H31" s="103"/>
      <c r="I31" s="104"/>
      <c r="J31" s="104"/>
      <c r="K31" s="385"/>
      <c r="L31" s="104"/>
      <c r="M31" s="103"/>
      <c r="N31" s="105"/>
      <c r="O31" s="522"/>
      <c r="P31" s="522"/>
      <c r="Q31" s="527"/>
    </row>
    <row r="32" spans="1:17" s="25" customFormat="1" ht="12.75">
      <c r="A32" s="21"/>
      <c r="B32" s="31" t="s">
        <v>32</v>
      </c>
      <c r="C32" s="32"/>
      <c r="D32" s="32"/>
      <c r="E32" s="33">
        <v>30</v>
      </c>
      <c r="F32" s="96">
        <f t="shared" si="2"/>
        <v>15850000</v>
      </c>
      <c r="G32" s="102"/>
      <c r="H32" s="103">
        <f>H18</f>
        <v>15850000</v>
      </c>
      <c r="I32" s="104"/>
      <c r="J32" s="104"/>
      <c r="K32" s="385"/>
      <c r="L32" s="104"/>
      <c r="M32" s="103"/>
      <c r="N32" s="105">
        <v>17714000</v>
      </c>
      <c r="O32" s="522"/>
      <c r="P32" s="522">
        <f>H32-Q32*1000</f>
        <v>170000</v>
      </c>
      <c r="Q32" s="522">
        <v>15680</v>
      </c>
    </row>
    <row r="33" spans="1:17" s="25" customFormat="1" ht="12.75">
      <c r="A33" s="21"/>
      <c r="B33" s="31" t="s">
        <v>34</v>
      </c>
      <c r="C33" s="31"/>
      <c r="D33" s="31"/>
      <c r="E33" s="33">
        <v>31</v>
      </c>
      <c r="F33" s="96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522"/>
      <c r="P33" s="522"/>
      <c r="Q33" s="527"/>
    </row>
    <row r="34" spans="1:17" s="25" customFormat="1" ht="12.75">
      <c r="A34" s="21"/>
      <c r="B34" s="31" t="s">
        <v>54</v>
      </c>
      <c r="C34" s="31"/>
      <c r="D34" s="31"/>
      <c r="E34" s="33">
        <v>32</v>
      </c>
      <c r="F34" s="96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22"/>
      <c r="Q34" s="527"/>
    </row>
    <row r="35" spans="1:17" s="25" customFormat="1" ht="12.75">
      <c r="A35" s="21"/>
      <c r="B35" s="31" t="s">
        <v>36</v>
      </c>
      <c r="C35" s="31"/>
      <c r="D35" s="31"/>
      <c r="E35" s="33">
        <v>33</v>
      </c>
      <c r="F35" s="96">
        <f t="shared" si="2"/>
        <v>0</v>
      </c>
      <c r="G35" s="102"/>
      <c r="H35" s="103"/>
      <c r="I35" s="104"/>
      <c r="J35" s="104"/>
      <c r="K35" s="385"/>
      <c r="L35" s="104"/>
      <c r="M35" s="103"/>
      <c r="N35" s="105"/>
      <c r="O35" s="522"/>
      <c r="P35" s="522"/>
      <c r="Q35" s="527"/>
    </row>
    <row r="36" spans="1:17" s="25" customFormat="1" ht="12.75">
      <c r="A36" s="21"/>
      <c r="B36" s="31" t="s">
        <v>38</v>
      </c>
      <c r="C36" s="31"/>
      <c r="D36" s="31"/>
      <c r="E36" s="33">
        <v>34</v>
      </c>
      <c r="F36" s="96">
        <f t="shared" si="2"/>
        <v>4607000</v>
      </c>
      <c r="G36" s="102"/>
      <c r="H36" s="103">
        <f>H21</f>
        <v>4607000</v>
      </c>
      <c r="I36" s="104"/>
      <c r="J36" s="104"/>
      <c r="K36" s="385"/>
      <c r="L36" s="104"/>
      <c r="M36" s="103"/>
      <c r="N36" s="105">
        <v>-30181.14</v>
      </c>
      <c r="O36" s="522"/>
      <c r="P36" s="522"/>
      <c r="Q36" s="527"/>
    </row>
    <row r="37" spans="1:17" s="25" customFormat="1" ht="12.75">
      <c r="A37" s="21"/>
      <c r="B37" s="31" t="s">
        <v>56</v>
      </c>
      <c r="C37" s="31"/>
      <c r="D37" s="31"/>
      <c r="E37" s="33">
        <v>35</v>
      </c>
      <c r="F37" s="96">
        <f t="shared" si="2"/>
        <v>500000</v>
      </c>
      <c r="G37" s="102"/>
      <c r="H37" s="103">
        <v>500000</v>
      </c>
      <c r="I37" s="104"/>
      <c r="J37" s="104"/>
      <c r="K37" s="385"/>
      <c r="L37" s="104"/>
      <c r="M37" s="103"/>
      <c r="N37" s="105">
        <v>47938.18</v>
      </c>
      <c r="O37" s="522"/>
      <c r="P37" s="522"/>
      <c r="Q37" s="527"/>
    </row>
    <row r="38" spans="1:17" s="25" customFormat="1" ht="12.75">
      <c r="A38" s="21"/>
      <c r="B38" s="31" t="s">
        <v>57</v>
      </c>
      <c r="C38" s="31"/>
      <c r="D38" s="31"/>
      <c r="E38" s="33">
        <v>36</v>
      </c>
      <c r="F38" s="96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522"/>
      <c r="P38" s="522"/>
      <c r="Q38" s="527"/>
    </row>
    <row r="39" spans="1:17" s="25" customFormat="1" ht="12.75">
      <c r="A39" s="21"/>
      <c r="B39" s="31" t="s">
        <v>59</v>
      </c>
      <c r="C39" s="31"/>
      <c r="D39" s="31"/>
      <c r="E39" s="33">
        <v>37</v>
      </c>
      <c r="F39" s="96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522"/>
      <c r="P39" s="522"/>
      <c r="Q39" s="527"/>
    </row>
    <row r="40" spans="1:17" s="25" customFormat="1" ht="12.75">
      <c r="A40" s="21"/>
      <c r="B40" s="31" t="s">
        <v>60</v>
      </c>
      <c r="C40" s="31"/>
      <c r="D40" s="31"/>
      <c r="E40" s="33">
        <v>38</v>
      </c>
      <c r="F40" s="96">
        <f t="shared" si="2"/>
        <v>96000</v>
      </c>
      <c r="G40" s="102"/>
      <c r="H40" s="282">
        <f>H24</f>
        <v>96000</v>
      </c>
      <c r="I40" s="104"/>
      <c r="J40" s="104"/>
      <c r="K40" s="385"/>
      <c r="L40" s="104"/>
      <c r="M40" s="103"/>
      <c r="N40" s="105"/>
      <c r="O40" s="522"/>
      <c r="P40" s="522"/>
      <c r="Q40" s="527"/>
    </row>
    <row r="41" spans="1:17" s="25" customFormat="1" ht="12.75">
      <c r="A41" s="21"/>
      <c r="B41" s="31" t="s">
        <v>45</v>
      </c>
      <c r="C41" s="31"/>
      <c r="D41" s="31"/>
      <c r="E41" s="33">
        <v>39</v>
      </c>
      <c r="F41" s="96">
        <f t="shared" si="2"/>
        <v>0</v>
      </c>
      <c r="G41" s="102"/>
      <c r="H41" s="103"/>
      <c r="I41" s="104"/>
      <c r="J41" s="104"/>
      <c r="K41" s="385"/>
      <c r="L41" s="104"/>
      <c r="M41" s="103"/>
      <c r="N41" s="105"/>
      <c r="O41" s="522"/>
      <c r="P41" s="522"/>
      <c r="Q41" s="527"/>
    </row>
    <row r="42" spans="1:17" s="25" customFormat="1" ht="12.75">
      <c r="A42" s="21"/>
      <c r="B42" s="31" t="s">
        <v>61</v>
      </c>
      <c r="C42" s="31"/>
      <c r="D42" s="31"/>
      <c r="E42" s="33">
        <v>40</v>
      </c>
      <c r="F42" s="96">
        <f t="shared" si="2"/>
        <v>0</v>
      </c>
      <c r="G42" s="102"/>
      <c r="H42" s="103"/>
      <c r="I42" s="104"/>
      <c r="J42" s="104"/>
      <c r="K42" s="385"/>
      <c r="L42" s="104"/>
      <c r="M42" s="103"/>
      <c r="N42" s="105">
        <v>335232</v>
      </c>
      <c r="O42" s="522"/>
      <c r="P42" s="522"/>
      <c r="Q42" s="527"/>
    </row>
    <row r="43" spans="1:17" s="25" customFormat="1" ht="12.75">
      <c r="A43" s="21"/>
      <c r="B43" s="31" t="s">
        <v>62</v>
      </c>
      <c r="C43" s="31"/>
      <c r="D43" s="31"/>
      <c r="E43" s="33">
        <v>41</v>
      </c>
      <c r="F43" s="96">
        <f t="shared" si="2"/>
        <v>770000</v>
      </c>
      <c r="G43" s="102"/>
      <c r="H43" s="103">
        <v>770000</v>
      </c>
      <c r="I43" s="104"/>
      <c r="J43" s="104"/>
      <c r="K43" s="385"/>
      <c r="L43" s="104"/>
      <c r="M43" s="103"/>
      <c r="N43" s="105">
        <v>833781.21</v>
      </c>
      <c r="O43" s="522"/>
      <c r="P43" s="522"/>
      <c r="Q43" s="527"/>
    </row>
    <row r="44" spans="1:17" s="25" customFormat="1" ht="12.75">
      <c r="A44" s="21"/>
      <c r="B44" s="31" t="s">
        <v>63</v>
      </c>
      <c r="C44" s="31"/>
      <c r="D44" s="31"/>
      <c r="E44" s="33">
        <v>42</v>
      </c>
      <c r="F44" s="96">
        <f t="shared" si="2"/>
        <v>90000</v>
      </c>
      <c r="G44" s="102"/>
      <c r="H44" s="106" t="s">
        <v>97</v>
      </c>
      <c r="I44" s="104">
        <f>I3</f>
        <v>25000</v>
      </c>
      <c r="J44" s="104"/>
      <c r="K44" s="385"/>
      <c r="L44" s="204">
        <f>L15</f>
        <v>65000</v>
      </c>
      <c r="M44" s="103"/>
      <c r="N44" s="105">
        <v>353898.96</v>
      </c>
      <c r="O44" s="522"/>
      <c r="P44" s="522"/>
      <c r="Q44" s="527"/>
    </row>
    <row r="45" spans="1:17" s="25" customFormat="1" ht="12.75">
      <c r="A45" s="40"/>
      <c r="B45" s="41" t="s">
        <v>49</v>
      </c>
      <c r="C45" s="41"/>
      <c r="D45" s="41"/>
      <c r="E45" s="42">
        <v>43</v>
      </c>
      <c r="F45" s="107">
        <f t="shared" si="2"/>
        <v>0</v>
      </c>
      <c r="G45" s="108"/>
      <c r="H45" s="109"/>
      <c r="I45" s="110"/>
      <c r="J45" s="110"/>
      <c r="K45" s="386"/>
      <c r="L45" s="110"/>
      <c r="M45" s="109"/>
      <c r="N45" s="111"/>
      <c r="O45" s="522"/>
      <c r="P45" s="522"/>
      <c r="Q45" s="527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71000</v>
      </c>
      <c r="G46" s="113">
        <f>G29+G34+G38+G43+G44+G45+-G4-G27</f>
        <v>0</v>
      </c>
      <c r="H46" s="113">
        <f>H29+H34+H38+H43+H45-H4-H27</f>
        <v>71000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91657.95999999996</v>
      </c>
      <c r="O46" s="522"/>
      <c r="P46" s="522"/>
      <c r="Q46" s="52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80">
        <f>F28-F3</f>
        <v>71000</v>
      </c>
      <c r="G47" s="81">
        <f aca="true" t="shared" si="4" ref="G47:N47">G28-G3</f>
        <v>0</v>
      </c>
      <c r="H47" s="82">
        <f t="shared" si="4"/>
        <v>71000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93346.4600000009</v>
      </c>
    </row>
    <row r="48" spans="1:5" ht="9.75" customHeight="1">
      <c r="A48" s="47"/>
      <c r="B48" s="47"/>
      <c r="C48" s="47"/>
      <c r="D48" s="47"/>
      <c r="E48" s="48"/>
    </row>
    <row r="49" spans="5:17" s="47" customFormat="1" ht="8.25" customHeight="1">
      <c r="E49" s="48"/>
      <c r="F49" s="16"/>
      <c r="H49" s="59"/>
      <c r="I49" s="59"/>
      <c r="J49" s="59"/>
      <c r="K49" s="59"/>
      <c r="L49" s="59"/>
      <c r="M49" s="59"/>
      <c r="N49" s="59"/>
      <c r="O49" s="522"/>
      <c r="P49" s="522"/>
      <c r="Q49" s="530"/>
    </row>
    <row r="50" spans="1:17" s="47" customFormat="1" ht="12.75">
      <c r="A50" s="51" t="s">
        <v>98</v>
      </c>
      <c r="E50" s="48"/>
      <c r="F50" s="123"/>
      <c r="H50" s="59"/>
      <c r="J50" s="122"/>
      <c r="M50" s="59"/>
      <c r="N50" s="59"/>
      <c r="O50" s="522"/>
      <c r="P50" s="522"/>
      <c r="Q50" s="530"/>
    </row>
    <row r="51" spans="5:17" s="51" customFormat="1" ht="12.75">
      <c r="E51" s="53"/>
      <c r="F51" s="55"/>
      <c r="H51" s="75"/>
      <c r="I51" s="75"/>
      <c r="J51" s="75"/>
      <c r="K51" s="75"/>
      <c r="L51" s="75"/>
      <c r="M51" s="75"/>
      <c r="N51" s="75"/>
      <c r="O51" s="522"/>
      <c r="P51" s="522"/>
      <c r="Q51" s="530"/>
    </row>
    <row r="52" spans="5:17" s="51" customFormat="1" ht="12.75">
      <c r="E52" s="53"/>
      <c r="F52" s="55"/>
      <c r="H52" s="75"/>
      <c r="I52" s="75"/>
      <c r="J52" s="75"/>
      <c r="K52" s="75"/>
      <c r="L52" s="75"/>
      <c r="M52" s="75"/>
      <c r="N52" s="75"/>
      <c r="O52" s="522"/>
      <c r="P52" s="522"/>
      <c r="Q52" s="530"/>
    </row>
    <row r="53" spans="5:17" s="51" customFormat="1" ht="12.75">
      <c r="E53" s="53"/>
      <c r="F53" s="55"/>
      <c r="H53" s="75"/>
      <c r="I53" s="75"/>
      <c r="J53" s="75"/>
      <c r="K53" s="75"/>
      <c r="L53" s="75"/>
      <c r="M53" s="75"/>
      <c r="N53" s="75"/>
      <c r="O53" s="522"/>
      <c r="P53" s="522"/>
      <c r="Q53" s="530"/>
    </row>
    <row r="54" spans="1:17" s="47" customFormat="1" ht="12.75">
      <c r="A54" s="51"/>
      <c r="B54" s="51"/>
      <c r="C54" s="51"/>
      <c r="D54" s="51"/>
      <c r="E54" s="48"/>
      <c r="F54" s="16"/>
      <c r="H54" s="59"/>
      <c r="I54" s="59"/>
      <c r="J54" s="59"/>
      <c r="K54" s="59"/>
      <c r="L54" s="59"/>
      <c r="M54" s="59"/>
      <c r="N54" s="59"/>
      <c r="O54" s="522"/>
      <c r="P54" s="522"/>
      <c r="Q54" s="530"/>
    </row>
    <row r="55" spans="1:17" s="59" customFormat="1" ht="12.75">
      <c r="A55" s="51"/>
      <c r="B55" s="51"/>
      <c r="C55" s="51"/>
      <c r="D55" s="51"/>
      <c r="E55" s="57"/>
      <c r="F55" s="16"/>
      <c r="O55" s="522"/>
      <c r="P55" s="522"/>
      <c r="Q55" s="530"/>
    </row>
    <row r="56" spans="1:17" s="59" customFormat="1" ht="12.75">
      <c r="A56" s="51"/>
      <c r="B56" s="51"/>
      <c r="C56" s="51"/>
      <c r="D56" s="51"/>
      <c r="E56" s="57"/>
      <c r="F56" s="16"/>
      <c r="O56" s="522"/>
      <c r="P56" s="522"/>
      <c r="Q56" s="530"/>
    </row>
    <row r="57" spans="1:17" s="59" customFormat="1" ht="12.75">
      <c r="A57" s="51"/>
      <c r="B57" s="51"/>
      <c r="C57" s="51"/>
      <c r="D57" s="51"/>
      <c r="E57" s="57"/>
      <c r="F57" s="16"/>
      <c r="O57" s="522"/>
      <c r="P57" s="522"/>
      <c r="Q57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27" bottom="0.28" header="0.1968503937007874" footer="0.19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5">
      <selection activeCell="K50" sqref="K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00390625" style="25" customWidth="1"/>
    <col min="7" max="7" width="5.125" style="0" hidden="1" customWidth="1"/>
    <col min="8" max="8" width="11.75390625" style="59" customWidth="1"/>
    <col min="9" max="9" width="10.00390625" style="59" customWidth="1"/>
    <col min="10" max="10" width="8.875" style="59" customWidth="1"/>
    <col min="11" max="12" width="8.00390625" style="59" customWidth="1"/>
    <col min="13" max="13" width="8.125" style="59" customWidth="1"/>
    <col min="14" max="14" width="9.625" style="59" customWidth="1"/>
    <col min="15" max="15" width="9.125" style="317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5" s="16" customFormat="1" ht="13.5" thickBot="1">
      <c r="A2" s="6" t="s">
        <v>134</v>
      </c>
      <c r="B2" s="7"/>
      <c r="C2" s="550" t="s">
        <v>92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7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37558000</v>
      </c>
      <c r="G3" s="81">
        <f aca="true" t="shared" si="0" ref="G3:M3">SUM(G5:G27)</f>
        <v>0</v>
      </c>
      <c r="H3" s="82">
        <f t="shared" si="0"/>
        <v>11423000</v>
      </c>
      <c r="I3" s="83">
        <f t="shared" si="0"/>
        <v>0</v>
      </c>
      <c r="J3" s="83">
        <f t="shared" si="0"/>
        <v>26000000</v>
      </c>
      <c r="K3" s="381">
        <f t="shared" si="0"/>
        <v>0</v>
      </c>
      <c r="L3" s="83">
        <f t="shared" si="0"/>
        <v>135000</v>
      </c>
      <c r="M3" s="82">
        <f t="shared" si="0"/>
        <v>0</v>
      </c>
      <c r="N3" s="84">
        <f>SUM(N5:N27)</f>
        <v>68610998.6</v>
      </c>
    </row>
    <row r="4" spans="1:15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26135000</v>
      </c>
      <c r="G4" s="86">
        <f aca="true" t="shared" si="1" ref="G4:N4">SUM(G5:G15)</f>
        <v>0</v>
      </c>
      <c r="H4" s="87">
        <f t="shared" si="1"/>
        <v>0</v>
      </c>
      <c r="I4" s="88">
        <f t="shared" si="1"/>
        <v>0</v>
      </c>
      <c r="J4" s="88">
        <f t="shared" si="1"/>
        <v>26000000</v>
      </c>
      <c r="K4" s="382">
        <f t="shared" si="1"/>
        <v>0</v>
      </c>
      <c r="L4" s="88">
        <f t="shared" si="1"/>
        <v>135000</v>
      </c>
      <c r="M4" s="87">
        <f t="shared" si="1"/>
        <v>0</v>
      </c>
      <c r="N4" s="89">
        <f t="shared" si="1"/>
        <v>48222623.39</v>
      </c>
      <c r="O4" s="317"/>
    </row>
    <row r="5" spans="1:15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6100000</v>
      </c>
      <c r="G5" s="91"/>
      <c r="H5" s="92"/>
      <c r="I5" s="92"/>
      <c r="J5" s="93">
        <v>6100000</v>
      </c>
      <c r="K5" s="383"/>
      <c r="L5" s="93"/>
      <c r="M5" s="94"/>
      <c r="N5" s="95">
        <v>3786372.02</v>
      </c>
      <c r="O5" s="319"/>
    </row>
    <row r="6" spans="1:15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11090000</v>
      </c>
      <c r="G6" s="91"/>
      <c r="H6" s="92"/>
      <c r="I6" s="92"/>
      <c r="J6" s="93">
        <v>11090000</v>
      </c>
      <c r="K6" s="383"/>
      <c r="L6" s="93"/>
      <c r="M6" s="94"/>
      <c r="N6" s="95">
        <v>6727354</v>
      </c>
      <c r="O6" s="319"/>
    </row>
    <row r="7" spans="1:15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2196000</v>
      </c>
      <c r="G7" s="91"/>
      <c r="H7" s="92"/>
      <c r="I7" s="92"/>
      <c r="J7" s="93">
        <v>2196000</v>
      </c>
      <c r="K7" s="383"/>
      <c r="L7" s="93"/>
      <c r="M7" s="94"/>
      <c r="N7" s="95">
        <v>1459380.75</v>
      </c>
      <c r="O7" s="319"/>
    </row>
    <row r="8" spans="1:15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100000</v>
      </c>
      <c r="G8" s="91"/>
      <c r="H8" s="92"/>
      <c r="I8" s="92"/>
      <c r="J8" s="93">
        <v>100000</v>
      </c>
      <c r="K8" s="383"/>
      <c r="L8" s="93"/>
      <c r="M8" s="94"/>
      <c r="N8" s="95">
        <v>63270.92</v>
      </c>
      <c r="O8" s="319"/>
    </row>
    <row r="9" spans="1:15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40000</v>
      </c>
      <c r="G9" s="91"/>
      <c r="H9" s="92"/>
      <c r="I9" s="92"/>
      <c r="J9" s="93">
        <v>40000</v>
      </c>
      <c r="K9" s="383"/>
      <c r="L9" s="93"/>
      <c r="M9" s="94"/>
      <c r="N9" s="95">
        <v>10592.57</v>
      </c>
      <c r="O9" s="319"/>
    </row>
    <row r="10" spans="1:15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600000</v>
      </c>
      <c r="G10" s="91"/>
      <c r="H10" s="92"/>
      <c r="I10" s="92"/>
      <c r="J10" s="93">
        <v>600000</v>
      </c>
      <c r="K10" s="383"/>
      <c r="L10" s="93"/>
      <c r="M10" s="94"/>
      <c r="N10" s="95">
        <v>284970.53</v>
      </c>
      <c r="O10" s="319"/>
    </row>
    <row r="11" spans="1:15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5100000</v>
      </c>
      <c r="G11" s="91"/>
      <c r="H11" s="92"/>
      <c r="I11" s="92"/>
      <c r="J11" s="93">
        <v>5100000</v>
      </c>
      <c r="K11" s="383"/>
      <c r="L11" s="93"/>
      <c r="M11" s="94"/>
      <c r="N11" s="95">
        <v>2796453.24</v>
      </c>
      <c r="O11" s="319"/>
    </row>
    <row r="12" spans="1:15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504000</v>
      </c>
      <c r="G12" s="91"/>
      <c r="H12" s="92"/>
      <c r="I12" s="92"/>
      <c r="J12" s="93">
        <v>504000</v>
      </c>
      <c r="K12" s="383"/>
      <c r="L12" s="93"/>
      <c r="M12" s="94"/>
      <c r="N12" s="95">
        <v>303203.25</v>
      </c>
      <c r="O12" s="319"/>
    </row>
    <row r="13" spans="1:15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180000</v>
      </c>
      <c r="G13" s="91"/>
      <c r="H13" s="92"/>
      <c r="I13" s="92"/>
      <c r="J13" s="93">
        <v>180000</v>
      </c>
      <c r="K13" s="383"/>
      <c r="L13" s="93"/>
      <c r="M13" s="94"/>
      <c r="N13" s="95">
        <v>241829</v>
      </c>
      <c r="O13" s="319"/>
    </row>
    <row r="14" spans="1:15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0</v>
      </c>
      <c r="G14" s="91"/>
      <c r="H14" s="92"/>
      <c r="I14" s="92"/>
      <c r="J14" s="93"/>
      <c r="K14" s="383"/>
      <c r="L14" s="93"/>
      <c r="M14" s="94"/>
      <c r="N14" s="95"/>
      <c r="O14" s="319"/>
    </row>
    <row r="15" spans="1:15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225000</v>
      </c>
      <c r="G15" s="91"/>
      <c r="H15" s="92"/>
      <c r="I15" s="92"/>
      <c r="J15" s="93">
        <v>90000</v>
      </c>
      <c r="K15" s="383"/>
      <c r="L15" s="299">
        <v>135000</v>
      </c>
      <c r="M15" s="94"/>
      <c r="N15" s="95">
        <v>32549197.11</v>
      </c>
      <c r="O15" s="319"/>
    </row>
    <row r="16" spans="1:15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317"/>
    </row>
    <row r="17" spans="1:15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101"/>
      <c r="O17" s="317"/>
    </row>
    <row r="18" spans="1:15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0</v>
      </c>
      <c r="G18" s="97"/>
      <c r="H18" s="98"/>
      <c r="I18" s="98"/>
      <c r="J18" s="99"/>
      <c r="K18" s="384"/>
      <c r="L18" s="99"/>
      <c r="M18" s="100"/>
      <c r="N18" s="101"/>
      <c r="O18" s="317"/>
    </row>
    <row r="19" spans="1:15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317"/>
    </row>
    <row r="20" spans="1:15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101">
        <v>1782583.26</v>
      </c>
      <c r="O20" s="317"/>
    </row>
    <row r="21" spans="1:15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317"/>
    </row>
    <row r="22" spans="1:15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00"/>
      <c r="I22" s="99"/>
      <c r="J22" s="99"/>
      <c r="K22" s="384"/>
      <c r="L22" s="99"/>
      <c r="M22" s="100"/>
      <c r="N22" s="101"/>
      <c r="O22" s="317"/>
    </row>
    <row r="23" spans="1:15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317"/>
    </row>
    <row r="24" spans="1:15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2540000</v>
      </c>
      <c r="G24" s="97"/>
      <c r="H24" s="100">
        <v>2540000</v>
      </c>
      <c r="I24" s="99"/>
      <c r="J24" s="99"/>
      <c r="K24" s="384"/>
      <c r="L24" s="99"/>
      <c r="M24" s="100"/>
      <c r="N24" s="101">
        <v>1278000</v>
      </c>
      <c r="O24" s="317"/>
    </row>
    <row r="25" spans="1:15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317"/>
    </row>
    <row r="26" spans="1:15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317"/>
    </row>
    <row r="27" spans="1:15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8883000</v>
      </c>
      <c r="G27" s="97"/>
      <c r="H27" s="100">
        <v>8883000</v>
      </c>
      <c r="I27" s="99"/>
      <c r="J27" s="99"/>
      <c r="K27" s="384"/>
      <c r="L27" s="99"/>
      <c r="M27" s="100"/>
      <c r="N27" s="101">
        <v>17327791.95</v>
      </c>
      <c r="O27" s="31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38025000</v>
      </c>
      <c r="G28" s="81">
        <f aca="true" t="shared" si="3" ref="G28:N28">SUM(G29:G45)</f>
        <v>0</v>
      </c>
      <c r="H28" s="82">
        <f t="shared" si="3"/>
        <v>11890000</v>
      </c>
      <c r="I28" s="83">
        <f t="shared" si="3"/>
        <v>0</v>
      </c>
      <c r="J28" s="83">
        <f t="shared" si="3"/>
        <v>26000000</v>
      </c>
      <c r="K28" s="381">
        <f t="shared" si="3"/>
        <v>0</v>
      </c>
      <c r="L28" s="83">
        <f t="shared" si="3"/>
        <v>135000</v>
      </c>
      <c r="M28" s="82">
        <f t="shared" si="3"/>
        <v>0</v>
      </c>
      <c r="N28" s="84">
        <f t="shared" si="3"/>
        <v>68793301.85</v>
      </c>
    </row>
    <row r="29" spans="1:15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0</v>
      </c>
      <c r="G29" s="86"/>
      <c r="H29" s="87"/>
      <c r="I29" s="88"/>
      <c r="J29" s="88"/>
      <c r="K29" s="382"/>
      <c r="L29" s="88"/>
      <c r="M29" s="87"/>
      <c r="N29" s="89"/>
      <c r="O29" s="320"/>
    </row>
    <row r="30" spans="1:15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317"/>
    </row>
    <row r="31" spans="1:15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105"/>
      <c r="O31" s="317"/>
    </row>
    <row r="32" spans="1:15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0</v>
      </c>
      <c r="G32" s="102"/>
      <c r="H32" s="103"/>
      <c r="I32" s="104"/>
      <c r="J32" s="104"/>
      <c r="K32" s="385"/>
      <c r="L32" s="104"/>
      <c r="M32" s="103"/>
      <c r="N32" s="105"/>
      <c r="O32" s="317"/>
    </row>
    <row r="33" spans="1:15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317"/>
    </row>
    <row r="34" spans="1:15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317"/>
    </row>
    <row r="35" spans="1:15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>
        <v>1782583.26</v>
      </c>
      <c r="O35" s="317"/>
    </row>
    <row r="36" spans="1:15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317"/>
    </row>
    <row r="37" spans="1:15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0</v>
      </c>
      <c r="G37" s="102"/>
      <c r="H37" s="103"/>
      <c r="I37" s="104"/>
      <c r="J37" s="104"/>
      <c r="K37" s="385"/>
      <c r="L37" s="104"/>
      <c r="M37" s="103"/>
      <c r="N37" s="105"/>
      <c r="O37" s="317"/>
    </row>
    <row r="38" spans="1:15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320"/>
    </row>
    <row r="39" spans="1:15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317"/>
    </row>
    <row r="40" spans="1:15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2540000</v>
      </c>
      <c r="G40" s="102"/>
      <c r="H40" s="103">
        <f>H24</f>
        <v>2540000</v>
      </c>
      <c r="I40" s="104"/>
      <c r="J40" s="104"/>
      <c r="K40" s="385"/>
      <c r="L40" s="104"/>
      <c r="M40" s="103"/>
      <c r="N40" s="105">
        <v>1278000</v>
      </c>
      <c r="O40" s="317"/>
    </row>
    <row r="41" spans="1:15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03"/>
      <c r="I41" s="104"/>
      <c r="J41" s="104"/>
      <c r="K41" s="385"/>
      <c r="L41" s="104"/>
      <c r="M41" s="103"/>
      <c r="N41" s="105"/>
      <c r="O41" s="317"/>
    </row>
    <row r="42" spans="1:15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317"/>
    </row>
    <row r="43" spans="1:15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0</v>
      </c>
      <c r="G43" s="102"/>
      <c r="H43" s="103"/>
      <c r="I43" s="104"/>
      <c r="J43" s="104"/>
      <c r="K43" s="385"/>
      <c r="L43" s="104"/>
      <c r="M43" s="103"/>
      <c r="N43" s="105">
        <v>48090790.68</v>
      </c>
      <c r="O43" s="317"/>
    </row>
    <row r="44" spans="1:15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26135000</v>
      </c>
      <c r="G44" s="102"/>
      <c r="H44" s="106" t="s">
        <v>97</v>
      </c>
      <c r="I44" s="104"/>
      <c r="J44" s="104">
        <f>J3</f>
        <v>26000000</v>
      </c>
      <c r="K44" s="385"/>
      <c r="L44" s="204">
        <f>L15</f>
        <v>135000</v>
      </c>
      <c r="M44" s="103"/>
      <c r="N44" s="105">
        <v>131832.71</v>
      </c>
      <c r="O44" s="317"/>
    </row>
    <row r="45" spans="1:15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9350000</v>
      </c>
      <c r="G45" s="108"/>
      <c r="H45" s="109">
        <v>9350000</v>
      </c>
      <c r="I45" s="110"/>
      <c r="J45" s="110"/>
      <c r="K45" s="386"/>
      <c r="L45" s="110"/>
      <c r="M45" s="109"/>
      <c r="N45" s="111">
        <v>17510095.2</v>
      </c>
      <c r="O45" s="317"/>
    </row>
    <row r="46" spans="1:15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467000</v>
      </c>
      <c r="G46" s="113">
        <f>G29+G34+G38+G43+G44+G45+-G4-G27</f>
        <v>0</v>
      </c>
      <c r="H46" s="113">
        <f>H29+H34+H38+H43+H45-H4-H27</f>
        <v>467000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182303.25000000373</v>
      </c>
      <c r="O46" s="31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467000</v>
      </c>
      <c r="G47" s="81">
        <f aca="true" t="shared" si="4" ref="G47:N47">G28-G3</f>
        <v>0</v>
      </c>
      <c r="H47" s="82">
        <f t="shared" si="4"/>
        <v>467000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182303.25</v>
      </c>
    </row>
    <row r="48" spans="1:12" ht="12.75">
      <c r="A48" s="47"/>
      <c r="B48" s="47"/>
      <c r="C48" s="47"/>
      <c r="D48" s="47"/>
      <c r="E48" s="48"/>
      <c r="J48" s="425">
        <v>35025149</v>
      </c>
      <c r="K48" s="431"/>
      <c r="L48" s="424"/>
    </row>
    <row r="49" spans="5:15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317"/>
    </row>
    <row r="50" spans="1:15" s="47" customFormat="1" ht="12">
      <c r="A50" s="51" t="s">
        <v>98</v>
      </c>
      <c r="E50" s="48"/>
      <c r="F50" s="133"/>
      <c r="H50" s="59"/>
      <c r="J50" s="122"/>
      <c r="M50" s="59"/>
      <c r="N50" s="59"/>
      <c r="O50" s="317"/>
    </row>
    <row r="51" spans="5:15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317"/>
    </row>
    <row r="52" spans="5:15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317"/>
    </row>
    <row r="53" spans="5:15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317"/>
    </row>
    <row r="54" spans="1:15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317"/>
    </row>
    <row r="55" spans="1:15" s="59" customFormat="1" ht="12">
      <c r="A55" s="51"/>
      <c r="B55" s="51"/>
      <c r="C55" s="51"/>
      <c r="D55" s="51"/>
      <c r="E55" s="57"/>
      <c r="F55" s="25"/>
      <c r="O55" s="317"/>
    </row>
    <row r="56" spans="1:15" s="59" customFormat="1" ht="12">
      <c r="A56" s="51"/>
      <c r="B56" s="51"/>
      <c r="C56" s="51"/>
      <c r="D56" s="51"/>
      <c r="E56" s="57"/>
      <c r="F56" s="25"/>
      <c r="O56" s="317"/>
    </row>
    <row r="57" spans="1:15" s="59" customFormat="1" ht="12">
      <c r="A57" s="51"/>
      <c r="B57" s="51"/>
      <c r="C57" s="51"/>
      <c r="D57" s="51"/>
      <c r="E57" s="57"/>
      <c r="F57" s="25"/>
      <c r="O57" s="317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49"/>
  <sheetViews>
    <sheetView workbookViewId="0" topLeftCell="A1">
      <selection activeCell="Q3" sqref="Q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1.375" style="25" customWidth="1"/>
    <col min="7" max="7" width="11.125" style="25" customWidth="1"/>
    <col min="8" max="8" width="11.625" style="280" customWidth="1"/>
    <col min="9" max="9" width="5.125" style="0" hidden="1" customWidth="1"/>
    <col min="10" max="10" width="10.625" style="59" customWidth="1"/>
    <col min="11" max="11" width="7.375" style="59" customWidth="1"/>
    <col min="12" max="15" width="6.375" style="59" customWidth="1"/>
    <col min="16" max="16" width="10.625" style="59" customWidth="1"/>
    <col min="17" max="17" width="8.625" style="522" customWidth="1"/>
    <col min="18" max="18" width="7.25390625" style="522" customWidth="1"/>
  </cols>
  <sheetData>
    <row r="1" spans="1:16" ht="15.75" customHeight="1">
      <c r="A1" s="544" t="s">
        <v>144</v>
      </c>
      <c r="B1" s="545"/>
      <c r="C1" s="545"/>
      <c r="D1" s="546"/>
      <c r="E1" s="252"/>
      <c r="F1" s="260"/>
      <c r="G1" s="255"/>
      <c r="H1" s="273" t="s">
        <v>0</v>
      </c>
      <c r="I1" s="4" t="s">
        <v>1</v>
      </c>
      <c r="J1" s="68" t="s">
        <v>2</v>
      </c>
      <c r="K1" s="547" t="s">
        <v>3</v>
      </c>
      <c r="L1" s="548"/>
      <c r="M1" s="548"/>
      <c r="N1" s="548"/>
      <c r="O1" s="549"/>
      <c r="P1" s="69" t="s">
        <v>4</v>
      </c>
    </row>
    <row r="2" spans="1:18" s="16" customFormat="1" ht="13.5" thickBot="1">
      <c r="A2" s="6" t="s">
        <v>149</v>
      </c>
      <c r="B2" s="7"/>
      <c r="C2" s="550" t="s">
        <v>126</v>
      </c>
      <c r="D2" s="551"/>
      <c r="E2" s="253" t="s">
        <v>5</v>
      </c>
      <c r="F2" s="266" t="s">
        <v>127</v>
      </c>
      <c r="G2" s="267" t="s">
        <v>27</v>
      </c>
      <c r="H2" s="274">
        <v>2009</v>
      </c>
      <c r="I2" s="12" t="s">
        <v>7</v>
      </c>
      <c r="J2" s="70" t="s">
        <v>8</v>
      </c>
      <c r="K2" s="71" t="s">
        <v>9</v>
      </c>
      <c r="L2" s="72" t="s">
        <v>10</v>
      </c>
      <c r="M2" s="72" t="s">
        <v>11</v>
      </c>
      <c r="N2" s="72" t="s">
        <v>147</v>
      </c>
      <c r="O2" s="72" t="s">
        <v>12</v>
      </c>
      <c r="P2" s="73">
        <v>2008</v>
      </c>
      <c r="Q2" s="522"/>
      <c r="R2" s="522"/>
    </row>
    <row r="3" spans="1:16" ht="13.5" thickBot="1">
      <c r="A3" s="17" t="s">
        <v>13</v>
      </c>
      <c r="B3" s="18"/>
      <c r="C3" s="18"/>
      <c r="D3" s="18"/>
      <c r="E3" s="216">
        <v>1</v>
      </c>
      <c r="F3" s="261">
        <f>SUM(F5:F27)</f>
        <v>2879458.7020000005</v>
      </c>
      <c r="G3" s="256">
        <f>SUM(G5:G27)</f>
        <v>1195627.0710000002</v>
      </c>
      <c r="H3" s="217">
        <f>SUM(H5:H27)</f>
        <v>4075085.773</v>
      </c>
      <c r="I3" s="81">
        <f aca="true" t="shared" si="0" ref="I3:P3">SUM(I5:I27)</f>
        <v>0</v>
      </c>
      <c r="J3" s="82">
        <f t="shared" si="0"/>
        <v>3802089.3</v>
      </c>
      <c r="K3" s="83">
        <f t="shared" si="0"/>
        <v>156487.034</v>
      </c>
      <c r="L3" s="83">
        <f t="shared" si="0"/>
        <v>69884.439</v>
      </c>
      <c r="M3" s="83">
        <f t="shared" si="0"/>
        <v>5440</v>
      </c>
      <c r="N3" s="83">
        <f>SUM(N5:N27)</f>
        <v>16521</v>
      </c>
      <c r="O3" s="82">
        <f t="shared" si="0"/>
        <v>24664</v>
      </c>
      <c r="P3" s="84">
        <f t="shared" si="0"/>
        <v>3840642.62126</v>
      </c>
    </row>
    <row r="4" spans="1:18" s="25" customFormat="1" ht="12">
      <c r="A4" s="21" t="s">
        <v>14</v>
      </c>
      <c r="B4" s="22" t="s">
        <v>15</v>
      </c>
      <c r="C4" s="22"/>
      <c r="D4" s="22"/>
      <c r="E4" s="254">
        <v>2</v>
      </c>
      <c r="F4" s="262">
        <f>SUM(F5:F15)</f>
        <v>1911185.263</v>
      </c>
      <c r="G4" s="86">
        <f>SUM(G5:G15)</f>
        <v>951524.412</v>
      </c>
      <c r="H4" s="275">
        <f>SUM(H5:H15)</f>
        <v>2862709.6750000003</v>
      </c>
      <c r="I4" s="86">
        <f aca="true" t="shared" si="1" ref="I4:O4">SUM(I5:I15)</f>
        <v>0</v>
      </c>
      <c r="J4" s="87">
        <f t="shared" si="1"/>
        <v>2631499.641</v>
      </c>
      <c r="K4" s="88">
        <f t="shared" si="1"/>
        <v>156487.034</v>
      </c>
      <c r="L4" s="88">
        <f t="shared" si="1"/>
        <v>28098</v>
      </c>
      <c r="M4" s="88">
        <f t="shared" si="1"/>
        <v>5440</v>
      </c>
      <c r="N4" s="88">
        <f>SUM(N5:N15)</f>
        <v>16521</v>
      </c>
      <c r="O4" s="87">
        <f t="shared" si="1"/>
        <v>24664</v>
      </c>
      <c r="P4" s="89">
        <f>'fak v tis'!W5+'ostatni v tis'!X5</f>
        <v>1063305.65257</v>
      </c>
      <c r="Q4" s="522"/>
      <c r="R4" s="522"/>
    </row>
    <row r="5" spans="1:18" s="25" customFormat="1" ht="12">
      <c r="A5" s="21"/>
      <c r="B5" s="26"/>
      <c r="C5" s="26" t="s">
        <v>16</v>
      </c>
      <c r="D5" s="27" t="s">
        <v>17</v>
      </c>
      <c r="E5" s="213">
        <v>3</v>
      </c>
      <c r="F5" s="263">
        <f>'fak v tis'!O5</f>
        <v>895172.72</v>
      </c>
      <c r="G5" s="257">
        <f>'ostatni v tis'!P5</f>
        <v>189500.028</v>
      </c>
      <c r="H5" s="276">
        <f>SUM(F5:G5)</f>
        <v>1084672.748</v>
      </c>
      <c r="I5" s="91"/>
      <c r="J5" s="208">
        <f>'fak v tis'!Q5+'ostatni v tis'!R5</f>
        <v>1060236.923</v>
      </c>
      <c r="K5" s="208">
        <f>'fak v tis'!R5+'ostatni v tis'!S5</f>
        <v>14325.825</v>
      </c>
      <c r="L5" s="150">
        <f>'fak v tis'!S5+'ostatni v tis'!T5</f>
        <v>6110</v>
      </c>
      <c r="M5" s="150">
        <f>'fak v tis'!T5+'ostatni v tis'!U5</f>
        <v>4000</v>
      </c>
      <c r="N5" s="150">
        <f>'fak v tis'!U5+'ostatni v tis'!V5</f>
        <v>0</v>
      </c>
      <c r="O5" s="269">
        <f>'fak v tis'!V5+'ostatni v tis'!W5</f>
        <v>0</v>
      </c>
      <c r="P5" s="209">
        <f>'fak v tis'!W5+'ostatni v tis'!X5</f>
        <v>1063305.65257</v>
      </c>
      <c r="Q5" s="522"/>
      <c r="R5" s="522"/>
    </row>
    <row r="6" spans="1:18" s="25" customFormat="1" ht="12">
      <c r="A6" s="21"/>
      <c r="B6" s="26"/>
      <c r="C6" s="26"/>
      <c r="D6" s="27" t="s">
        <v>18</v>
      </c>
      <c r="E6" s="213">
        <v>4</v>
      </c>
      <c r="F6" s="264">
        <f>'fak v tis'!O6</f>
        <v>34205.45</v>
      </c>
      <c r="G6" s="258">
        <f>'ostatni v tis'!P6</f>
        <v>19210.5</v>
      </c>
      <c r="H6" s="277">
        <f aca="true" t="shared" si="2" ref="H6:H45">SUM(F6:G6)</f>
        <v>53415.95</v>
      </c>
      <c r="I6" s="91"/>
      <c r="J6" s="92">
        <f>'fak v tis'!Q6+'ostatni v tis'!R6</f>
        <v>42205.95</v>
      </c>
      <c r="K6" s="92">
        <f>'fak v tis'!R6+'ostatni v tis'!S6</f>
        <v>120</v>
      </c>
      <c r="L6" s="93">
        <f>'fak v tis'!S6+'ostatni v tis'!T6</f>
        <v>11090</v>
      </c>
      <c r="M6" s="93">
        <f>'fak v tis'!T6+'ostatni v tis'!U6</f>
        <v>0</v>
      </c>
      <c r="N6" s="93">
        <f>'fak v tis'!U6+'ostatni v tis'!V6</f>
        <v>0</v>
      </c>
      <c r="O6" s="94">
        <f>'fak v tis'!V6+'ostatni v tis'!W6</f>
        <v>0</v>
      </c>
      <c r="P6" s="209">
        <f>'fak v tis'!W6+'ostatni v tis'!X6</f>
        <v>47781.5625</v>
      </c>
      <c r="Q6" s="522"/>
      <c r="R6" s="522"/>
    </row>
    <row r="7" spans="1:18" s="25" customFormat="1" ht="12">
      <c r="A7" s="21"/>
      <c r="B7" s="26"/>
      <c r="C7" s="26"/>
      <c r="D7" s="27" t="s">
        <v>19</v>
      </c>
      <c r="E7" s="213">
        <v>5</v>
      </c>
      <c r="F7" s="264">
        <f>'fak v tis'!O7</f>
        <v>322937.166</v>
      </c>
      <c r="G7" s="258">
        <f>'ostatni v tis'!P7</f>
        <v>69581.062</v>
      </c>
      <c r="H7" s="277">
        <f t="shared" si="2"/>
        <v>392518.228</v>
      </c>
      <c r="I7" s="91"/>
      <c r="J7" s="92">
        <f>'fak v tis'!Q7+'ostatni v tis'!R7</f>
        <v>387573.053</v>
      </c>
      <c r="K7" s="92">
        <f>'fak v tis'!R7+'ostatni v tis'!S7</f>
        <v>1305.175</v>
      </c>
      <c r="L7" s="93">
        <f>'fak v tis'!S7+'ostatni v tis'!T7</f>
        <v>2200</v>
      </c>
      <c r="M7" s="93">
        <f>'fak v tis'!T7+'ostatni v tis'!U7</f>
        <v>1440</v>
      </c>
      <c r="N7" s="93">
        <f>'fak v tis'!U7+'ostatni v tis'!V7</f>
        <v>0</v>
      </c>
      <c r="O7" s="94">
        <f>'fak v tis'!V7+'ostatni v tis'!W7</f>
        <v>0</v>
      </c>
      <c r="P7" s="209">
        <f>'fak v tis'!W7+'ostatni v tis'!X7</f>
        <v>387013.13297</v>
      </c>
      <c r="Q7" s="522"/>
      <c r="R7" s="522"/>
    </row>
    <row r="8" spans="1:18" s="25" customFormat="1" ht="12">
      <c r="A8" s="21"/>
      <c r="B8" s="26"/>
      <c r="C8" s="26"/>
      <c r="D8" s="27" t="s">
        <v>20</v>
      </c>
      <c r="E8" s="213">
        <v>6</v>
      </c>
      <c r="F8" s="264">
        <f>'fak v tis'!O8</f>
        <v>83110.942</v>
      </c>
      <c r="G8" s="258">
        <f>'ostatni v tis'!P8</f>
        <v>46908</v>
      </c>
      <c r="H8" s="277">
        <f t="shared" si="2"/>
        <v>130018.942</v>
      </c>
      <c r="I8" s="91"/>
      <c r="J8" s="92">
        <f>'fak v tis'!Q8+'ostatni v tis'!R8</f>
        <v>117210.942</v>
      </c>
      <c r="K8" s="92">
        <f>'fak v tis'!R8+'ostatni v tis'!S8</f>
        <v>12708</v>
      </c>
      <c r="L8" s="93">
        <f>'fak v tis'!S8+'ostatni v tis'!T8</f>
        <v>100</v>
      </c>
      <c r="M8" s="93">
        <f>'fak v tis'!T8+'ostatni v tis'!U8</f>
        <v>0</v>
      </c>
      <c r="N8" s="93">
        <f>'fak v tis'!U8+'ostatni v tis'!V8</f>
        <v>0</v>
      </c>
      <c r="O8" s="94">
        <f>'fak v tis'!V8+'ostatni v tis'!W8</f>
        <v>0</v>
      </c>
      <c r="P8" s="209">
        <f>'fak v tis'!W8+'ostatni v tis'!X8</f>
        <v>92567.46085</v>
      </c>
      <c r="Q8" s="522"/>
      <c r="R8" s="522"/>
    </row>
    <row r="9" spans="1:18" s="25" customFormat="1" ht="12">
      <c r="A9" s="21"/>
      <c r="B9" s="26"/>
      <c r="C9" s="26"/>
      <c r="D9" s="27" t="s">
        <v>21</v>
      </c>
      <c r="E9" s="213">
        <v>7</v>
      </c>
      <c r="F9" s="264">
        <f>'fak v tis'!O9</f>
        <v>20938</v>
      </c>
      <c r="G9" s="258">
        <f>'ostatni v tis'!P9</f>
        <v>36951</v>
      </c>
      <c r="H9" s="277">
        <f t="shared" si="2"/>
        <v>57889</v>
      </c>
      <c r="I9" s="91"/>
      <c r="J9" s="92">
        <f>'fak v tis'!Q9+'ostatni v tis'!R9</f>
        <v>54828</v>
      </c>
      <c r="K9" s="92">
        <f>'fak v tis'!R9+'ostatni v tis'!S9</f>
        <v>3021</v>
      </c>
      <c r="L9" s="93">
        <f>'fak v tis'!S9+'ostatni v tis'!T9</f>
        <v>40</v>
      </c>
      <c r="M9" s="93">
        <f>'fak v tis'!T9+'ostatni v tis'!U9</f>
        <v>0</v>
      </c>
      <c r="N9" s="93">
        <f>'fak v tis'!U9+'ostatni v tis'!V9</f>
        <v>0</v>
      </c>
      <c r="O9" s="94">
        <f>'fak v tis'!V9+'ostatni v tis'!W9</f>
        <v>0</v>
      </c>
      <c r="P9" s="209">
        <f>'fak v tis'!W9+'ostatni v tis'!X9</f>
        <v>62687.611690000005</v>
      </c>
      <c r="Q9" s="522"/>
      <c r="R9" s="522"/>
    </row>
    <row r="10" spans="1:18" s="25" customFormat="1" ht="12">
      <c r="A10" s="21"/>
      <c r="B10" s="26"/>
      <c r="C10" s="26"/>
      <c r="D10" s="27" t="s">
        <v>22</v>
      </c>
      <c r="E10" s="213">
        <v>8</v>
      </c>
      <c r="F10" s="264">
        <f>'fak v tis'!O10</f>
        <v>88529.032</v>
      </c>
      <c r="G10" s="258">
        <f>'ostatni v tis'!P10</f>
        <v>92514.147</v>
      </c>
      <c r="H10" s="277">
        <f t="shared" si="2"/>
        <v>181043.179</v>
      </c>
      <c r="I10" s="91"/>
      <c r="J10" s="92">
        <f>'fak v tis'!Q10+'ostatni v tis'!R10</f>
        <v>159592.8</v>
      </c>
      <c r="K10" s="92">
        <f>'fak v tis'!R10+'ostatni v tis'!S10</f>
        <v>20702.379</v>
      </c>
      <c r="L10" s="93">
        <f>'fak v tis'!S10+'ostatni v tis'!T10</f>
        <v>748</v>
      </c>
      <c r="M10" s="93">
        <f>'fak v tis'!T10+'ostatni v tis'!U10</f>
        <v>0</v>
      </c>
      <c r="N10" s="93">
        <f>'fak v tis'!U10+'ostatni v tis'!V10</f>
        <v>0</v>
      </c>
      <c r="O10" s="94">
        <f>'fak v tis'!V10+'ostatni v tis'!W10</f>
        <v>0</v>
      </c>
      <c r="P10" s="209">
        <f>'fak v tis'!W10+'ostatni v tis'!X10</f>
        <v>147077.17722</v>
      </c>
      <c r="Q10" s="522"/>
      <c r="R10" s="522"/>
    </row>
    <row r="11" spans="1:18" s="25" customFormat="1" ht="12">
      <c r="A11" s="21"/>
      <c r="B11" s="26"/>
      <c r="C11" s="26"/>
      <c r="D11" s="27" t="s">
        <v>23</v>
      </c>
      <c r="E11" s="213">
        <v>9</v>
      </c>
      <c r="F11" s="264">
        <f>'fak v tis'!O11</f>
        <v>89894.4</v>
      </c>
      <c r="G11" s="258">
        <f>'ostatni v tis'!P11</f>
        <v>191549.031</v>
      </c>
      <c r="H11" s="277">
        <f t="shared" si="2"/>
        <v>281443.431</v>
      </c>
      <c r="I11" s="91"/>
      <c r="J11" s="92">
        <f>'fak v tis'!Q11+'ostatni v tis'!R11</f>
        <v>195929.02899999998</v>
      </c>
      <c r="K11" s="92">
        <f>'fak v tis'!R11+'ostatni v tis'!S11</f>
        <v>80355.402</v>
      </c>
      <c r="L11" s="93">
        <f>'fak v tis'!S11+'ostatni v tis'!T11</f>
        <v>5159</v>
      </c>
      <c r="M11" s="93">
        <f>'fak v tis'!T11+'ostatni v tis'!U11</f>
        <v>0</v>
      </c>
      <c r="N11" s="93">
        <f>'fak v tis'!U11+'ostatni v tis'!V11</f>
        <v>0</v>
      </c>
      <c r="O11" s="94">
        <f>'fak v tis'!V11+'ostatni v tis'!W11</f>
        <v>0</v>
      </c>
      <c r="P11" s="209">
        <f>'fak v tis'!W11+'ostatni v tis'!X11</f>
        <v>176281.98163</v>
      </c>
      <c r="Q11" s="522"/>
      <c r="R11" s="522"/>
    </row>
    <row r="12" spans="1:18" s="25" customFormat="1" ht="12">
      <c r="A12" s="21"/>
      <c r="B12" s="26"/>
      <c r="C12" s="26"/>
      <c r="D12" s="27" t="s">
        <v>24</v>
      </c>
      <c r="E12" s="213">
        <v>10</v>
      </c>
      <c r="F12" s="264">
        <f>'fak v tis'!O12</f>
        <v>14904</v>
      </c>
      <c r="G12" s="258">
        <f>'ostatni v tis'!P12</f>
        <v>5238.915</v>
      </c>
      <c r="H12" s="277">
        <f t="shared" si="2"/>
        <v>20142.915</v>
      </c>
      <c r="I12" s="91"/>
      <c r="J12" s="92">
        <f>'fak v tis'!Q12+'ostatni v tis'!R12</f>
        <v>19576.915</v>
      </c>
      <c r="K12" s="92">
        <f>'fak v tis'!R12+'ostatni v tis'!S12</f>
        <v>62</v>
      </c>
      <c r="L12" s="93">
        <f>'fak v tis'!S12+'ostatni v tis'!T12</f>
        <v>504</v>
      </c>
      <c r="M12" s="93">
        <f>'fak v tis'!T12+'ostatni v tis'!U12</f>
        <v>0</v>
      </c>
      <c r="N12" s="93">
        <f>'fak v tis'!U12+'ostatni v tis'!V12</f>
        <v>0</v>
      </c>
      <c r="O12" s="94">
        <f>'fak v tis'!V12+'ostatni v tis'!W12</f>
        <v>0</v>
      </c>
      <c r="P12" s="209">
        <f>'fak v tis'!W12+'ostatni v tis'!X12</f>
        <v>16079.70426</v>
      </c>
      <c r="Q12" s="522"/>
      <c r="R12" s="522"/>
    </row>
    <row r="13" spans="1:18" s="25" customFormat="1" ht="12">
      <c r="A13" s="21"/>
      <c r="B13" s="26"/>
      <c r="C13" s="26"/>
      <c r="D13" s="27" t="s">
        <v>25</v>
      </c>
      <c r="E13" s="213">
        <v>11</v>
      </c>
      <c r="F13" s="264">
        <f>'fak v tis'!O13</f>
        <v>184216</v>
      </c>
      <c r="G13" s="258">
        <f>'ostatni v tis'!P13</f>
        <v>131559</v>
      </c>
      <c r="H13" s="277">
        <f t="shared" si="2"/>
        <v>315775</v>
      </c>
      <c r="I13" s="91"/>
      <c r="J13" s="92">
        <f>'fak v tis'!Q13+'ostatni v tis'!R13</f>
        <v>312793</v>
      </c>
      <c r="K13" s="92">
        <f>'fak v tis'!R13+'ostatni v tis'!S13</f>
        <v>2802</v>
      </c>
      <c r="L13" s="93">
        <f>'fak v tis'!S13+'ostatni v tis'!T13</f>
        <v>180</v>
      </c>
      <c r="M13" s="93">
        <f>'fak v tis'!T13+'ostatni v tis'!U13</f>
        <v>0</v>
      </c>
      <c r="N13" s="93">
        <f>'fak v tis'!U13+'ostatni v tis'!V13</f>
        <v>0</v>
      </c>
      <c r="O13" s="94">
        <f>'fak v tis'!V13+'ostatni v tis'!W13</f>
        <v>0</v>
      </c>
      <c r="P13" s="209">
        <f>'fak v tis'!W13+'ostatni v tis'!X13</f>
        <v>300165.9932</v>
      </c>
      <c r="Q13" s="522"/>
      <c r="R13" s="522"/>
    </row>
    <row r="14" spans="1:18" s="25" customFormat="1" ht="12">
      <c r="A14" s="21"/>
      <c r="B14" s="26"/>
      <c r="C14" s="26"/>
      <c r="D14" s="27" t="s">
        <v>26</v>
      </c>
      <c r="E14" s="213">
        <v>12</v>
      </c>
      <c r="F14" s="264">
        <f>'fak v tis'!O14</f>
        <v>35264</v>
      </c>
      <c r="G14" s="258">
        <f>'ostatni v tis'!P14</f>
        <v>124035.79</v>
      </c>
      <c r="H14" s="277">
        <f t="shared" si="2"/>
        <v>159299.78999999998</v>
      </c>
      <c r="I14" s="91"/>
      <c r="J14" s="92">
        <f>'fak v tis'!Q14+'ostatni v tis'!R14</f>
        <v>129910.8</v>
      </c>
      <c r="K14" s="92">
        <f>'fak v tis'!R14+'ostatni v tis'!S14</f>
        <v>4415.99</v>
      </c>
      <c r="L14" s="93">
        <f>'fak v tis'!S14+'ostatni v tis'!T14</f>
        <v>309</v>
      </c>
      <c r="M14" s="93">
        <f>'fak v tis'!T14+'ostatni v tis'!U14</f>
        <v>0</v>
      </c>
      <c r="N14" s="93">
        <f>'fak v tis'!U14+'ostatni v tis'!V14</f>
        <v>0</v>
      </c>
      <c r="O14" s="94">
        <f>'fak v tis'!V14+'ostatni v tis'!W14</f>
        <v>24664</v>
      </c>
      <c r="P14" s="209">
        <f>'fak v tis'!W14+'ostatni v tis'!X14</f>
        <v>141367.47206</v>
      </c>
      <c r="Q14" s="522"/>
      <c r="R14" s="522"/>
    </row>
    <row r="15" spans="1:18" s="25" customFormat="1" ht="12">
      <c r="A15" s="21"/>
      <c r="B15" s="26"/>
      <c r="C15" s="27"/>
      <c r="D15" s="27" t="s">
        <v>27</v>
      </c>
      <c r="E15" s="213">
        <v>13</v>
      </c>
      <c r="F15" s="264">
        <f>'fak v tis'!O15</f>
        <v>142013.553</v>
      </c>
      <c r="G15" s="258">
        <f>'ostatni v tis'!P15</f>
        <v>44476.939</v>
      </c>
      <c r="H15" s="277">
        <f t="shared" si="2"/>
        <v>186490.49200000003</v>
      </c>
      <c r="I15" s="91"/>
      <c r="J15" s="92">
        <f>'fak v tis'!Q15+'ostatni v tis'!R15</f>
        <v>151642.229</v>
      </c>
      <c r="K15" s="92">
        <f>'fak v tis'!R15+'ostatni v tis'!S15</f>
        <v>16669.263</v>
      </c>
      <c r="L15" s="93">
        <f>'fak v tis'!S15+'ostatni v tis'!T15</f>
        <v>1658</v>
      </c>
      <c r="M15" s="93">
        <f>'fak v tis'!T15+'ostatni v tis'!U15</f>
        <v>0</v>
      </c>
      <c r="N15" s="93">
        <f>'fak v tis'!U15+'ostatni v tis'!V15</f>
        <v>16521</v>
      </c>
      <c r="O15" s="94">
        <f>'fak v tis'!V15+'ostatni v tis'!W15</f>
        <v>0</v>
      </c>
      <c r="P15" s="209">
        <f>'fak v tis'!W15+'ostatni v tis'!X15</f>
        <v>231083.00277999998</v>
      </c>
      <c r="Q15" s="522"/>
      <c r="R15" s="522"/>
    </row>
    <row r="16" spans="1:18" s="25" customFormat="1" ht="12">
      <c r="A16" s="21"/>
      <c r="B16" s="30" t="s">
        <v>28</v>
      </c>
      <c r="C16" s="27"/>
      <c r="D16" s="27"/>
      <c r="E16" s="213">
        <v>14</v>
      </c>
      <c r="F16" s="264">
        <f>'fak v tis'!O16</f>
        <v>115840</v>
      </c>
      <c r="G16" s="258">
        <f>'ostatni v tis'!P16</f>
        <v>0</v>
      </c>
      <c r="H16" s="277">
        <f t="shared" si="2"/>
        <v>115840</v>
      </c>
      <c r="I16" s="97"/>
      <c r="J16" s="92">
        <f>'fak v tis'!Q16+'ostatni v tis'!R16</f>
        <v>115840</v>
      </c>
      <c r="K16" s="92">
        <f>'fak v tis'!R16+'ostatni v tis'!S16</f>
        <v>0</v>
      </c>
      <c r="L16" s="93">
        <f>'fak v tis'!S16+'ostatni v tis'!T16</f>
        <v>0</v>
      </c>
      <c r="M16" s="93">
        <f>'fak v tis'!T16+'ostatni v tis'!U16</f>
        <v>0</v>
      </c>
      <c r="N16" s="93">
        <f>'fak v tis'!U16+'ostatni v tis'!V16</f>
        <v>0</v>
      </c>
      <c r="O16" s="94">
        <f>'fak v tis'!V16+'ostatni v tis'!W16</f>
        <v>0</v>
      </c>
      <c r="P16" s="209">
        <f>'fak v tis'!W16+'ostatni v tis'!X16</f>
        <v>113189</v>
      </c>
      <c r="Q16" s="522"/>
      <c r="R16" s="522"/>
    </row>
    <row r="17" spans="1:18" s="25" customFormat="1" ht="12">
      <c r="A17" s="21"/>
      <c r="B17" s="30" t="s">
        <v>30</v>
      </c>
      <c r="C17" s="27"/>
      <c r="D17" s="27"/>
      <c r="E17" s="213">
        <v>15</v>
      </c>
      <c r="F17" s="264">
        <f>'fak v tis'!O17</f>
        <v>7241</v>
      </c>
      <c r="G17" s="258">
        <f>'ostatni v tis'!P17</f>
        <v>31000</v>
      </c>
      <c r="H17" s="277">
        <f t="shared" si="2"/>
        <v>38241</v>
      </c>
      <c r="I17" s="97"/>
      <c r="J17" s="92">
        <f>'fak v tis'!Q17+'ostatni v tis'!R17</f>
        <v>37296</v>
      </c>
      <c r="K17" s="92">
        <f>'fak v tis'!R17+'ostatni v tis'!S17</f>
        <v>0</v>
      </c>
      <c r="L17" s="93">
        <f>'fak v tis'!S17+'ostatni v tis'!T17</f>
        <v>945</v>
      </c>
      <c r="M17" s="93">
        <f>'fak v tis'!T17+'ostatni v tis'!U17</f>
        <v>0</v>
      </c>
      <c r="N17" s="93">
        <f>'fak v tis'!U17+'ostatni v tis'!V17</f>
        <v>0</v>
      </c>
      <c r="O17" s="94">
        <f>'fak v tis'!V17+'ostatni v tis'!W17</f>
        <v>0</v>
      </c>
      <c r="P17" s="209">
        <f>'fak v tis'!W17+'ostatni v tis'!X17</f>
        <v>38475.06648</v>
      </c>
      <c r="Q17" s="522"/>
      <c r="R17" s="522"/>
    </row>
    <row r="18" spans="1:18" s="25" customFormat="1" ht="12">
      <c r="A18" s="21"/>
      <c r="B18" s="31" t="s">
        <v>32</v>
      </c>
      <c r="C18" s="32"/>
      <c r="D18" s="32"/>
      <c r="E18" s="214">
        <v>16</v>
      </c>
      <c r="F18" s="264">
        <f>'fak v tis'!O18</f>
        <v>56137</v>
      </c>
      <c r="G18" s="258">
        <f>'ostatni v tis'!P18</f>
        <v>80911</v>
      </c>
      <c r="H18" s="277">
        <f t="shared" si="2"/>
        <v>137048</v>
      </c>
      <c r="I18" s="97"/>
      <c r="J18" s="92">
        <f>'fak v tis'!Q18+'ostatni v tis'!R18</f>
        <v>137048</v>
      </c>
      <c r="K18" s="92">
        <f>'fak v tis'!R18+'ostatni v tis'!S18</f>
        <v>0</v>
      </c>
      <c r="L18" s="93">
        <f>'fak v tis'!S18+'ostatni v tis'!T18</f>
        <v>0</v>
      </c>
      <c r="M18" s="93">
        <f>'fak v tis'!T18+'ostatni v tis'!U18</f>
        <v>0</v>
      </c>
      <c r="N18" s="93">
        <f>'fak v tis'!U18+'ostatni v tis'!V18</f>
        <v>0</v>
      </c>
      <c r="O18" s="94">
        <f>'fak v tis'!V18+'ostatni v tis'!W18</f>
        <v>0</v>
      </c>
      <c r="P18" s="209">
        <f>'fak v tis'!W18+'ostatni v tis'!X18</f>
        <v>129001.5986</v>
      </c>
      <c r="Q18" s="522"/>
      <c r="R18" s="522"/>
    </row>
    <row r="19" spans="1:18" s="25" customFormat="1" ht="12">
      <c r="A19" s="21"/>
      <c r="B19" s="31" t="s">
        <v>34</v>
      </c>
      <c r="C19" s="32"/>
      <c r="D19" s="32"/>
      <c r="E19" s="214">
        <v>17</v>
      </c>
      <c r="F19" s="264">
        <f>'fak v tis'!O19</f>
        <v>7550</v>
      </c>
      <c r="G19" s="258">
        <f>'ostatni v tis'!P19</f>
        <v>0</v>
      </c>
      <c r="H19" s="277">
        <f t="shared" si="2"/>
        <v>7550</v>
      </c>
      <c r="I19" s="97"/>
      <c r="J19" s="92">
        <f>'fak v tis'!Q19+'ostatni v tis'!R19</f>
        <v>7550</v>
      </c>
      <c r="K19" s="92">
        <f>'fak v tis'!R19+'ostatni v tis'!S19</f>
        <v>0</v>
      </c>
      <c r="L19" s="93">
        <f>'fak v tis'!S19+'ostatni v tis'!T19</f>
        <v>0</v>
      </c>
      <c r="M19" s="93">
        <f>'fak v tis'!T19+'ostatni v tis'!U19</f>
        <v>0</v>
      </c>
      <c r="N19" s="93">
        <f>'fak v tis'!U19+'ostatni v tis'!V19</f>
        <v>0</v>
      </c>
      <c r="O19" s="94">
        <f>'fak v tis'!V19+'ostatni v tis'!W19</f>
        <v>0</v>
      </c>
      <c r="P19" s="209">
        <f>'fak v tis'!W19+'ostatni v tis'!X19</f>
        <v>7626.36305</v>
      </c>
      <c r="Q19" s="522"/>
      <c r="R19" s="522"/>
    </row>
    <row r="20" spans="1:18" s="25" customFormat="1" ht="12">
      <c r="A20" s="21"/>
      <c r="B20" s="31" t="s">
        <v>36</v>
      </c>
      <c r="C20" s="31"/>
      <c r="D20" s="31"/>
      <c r="E20" s="214">
        <v>18</v>
      </c>
      <c r="F20" s="264">
        <f>'fak v tis'!O20</f>
        <v>4625</v>
      </c>
      <c r="G20" s="258">
        <f>'ostatni v tis'!P20</f>
        <v>4627.476</v>
      </c>
      <c r="H20" s="277">
        <f t="shared" si="2"/>
        <v>9252.475999999999</v>
      </c>
      <c r="I20" s="97"/>
      <c r="J20" s="92">
        <f>'fak v tis'!Q20+'ostatni v tis'!R20</f>
        <v>9252.475999999999</v>
      </c>
      <c r="K20" s="92">
        <f>'fak v tis'!R20+'ostatni v tis'!S20</f>
        <v>0</v>
      </c>
      <c r="L20" s="93">
        <f>'fak v tis'!S20+'ostatni v tis'!T20</f>
        <v>0</v>
      </c>
      <c r="M20" s="93">
        <f>'fak v tis'!T20+'ostatni v tis'!U20</f>
        <v>0</v>
      </c>
      <c r="N20" s="93">
        <f>'fak v tis'!U20+'ostatni v tis'!V20</f>
        <v>0</v>
      </c>
      <c r="O20" s="94">
        <f>'fak v tis'!V20+'ostatni v tis'!W20</f>
        <v>0</v>
      </c>
      <c r="P20" s="209">
        <f>'fak v tis'!W20+'ostatni v tis'!X20</f>
        <v>6461.680259999999</v>
      </c>
      <c r="Q20" s="522"/>
      <c r="R20" s="522"/>
    </row>
    <row r="21" spans="1:18" s="25" customFormat="1" ht="12">
      <c r="A21" s="21"/>
      <c r="B21" s="31" t="s">
        <v>38</v>
      </c>
      <c r="C21" s="31"/>
      <c r="D21" s="31"/>
      <c r="E21" s="214">
        <v>19</v>
      </c>
      <c r="F21" s="264">
        <f>'fak v tis'!O21</f>
        <v>15500</v>
      </c>
      <c r="G21" s="258">
        <f>'ostatni v tis'!P21</f>
        <v>4607</v>
      </c>
      <c r="H21" s="277">
        <f t="shared" si="2"/>
        <v>20107</v>
      </c>
      <c r="I21" s="97"/>
      <c r="J21" s="92">
        <f>'fak v tis'!Q21+'ostatni v tis'!R21</f>
        <v>20107</v>
      </c>
      <c r="K21" s="92">
        <f>'fak v tis'!R21+'ostatni v tis'!S21</f>
        <v>0</v>
      </c>
      <c r="L21" s="93">
        <f>'fak v tis'!S21+'ostatni v tis'!T21</f>
        <v>0</v>
      </c>
      <c r="M21" s="93">
        <f>'fak v tis'!T21+'ostatni v tis'!U21</f>
        <v>0</v>
      </c>
      <c r="N21" s="93">
        <f>'fak v tis'!U21+'ostatni v tis'!V21</f>
        <v>0</v>
      </c>
      <c r="O21" s="94">
        <f>'fak v tis'!V21+'ostatni v tis'!W21</f>
        <v>0</v>
      </c>
      <c r="P21" s="209">
        <f>'fak v tis'!W21+'ostatni v tis'!X21</f>
        <v>7567.72119</v>
      </c>
      <c r="Q21" s="522"/>
      <c r="R21" s="522"/>
    </row>
    <row r="22" spans="1:18" s="25" customFormat="1" ht="12">
      <c r="A22" s="21"/>
      <c r="B22" s="31" t="s">
        <v>40</v>
      </c>
      <c r="C22" s="31"/>
      <c r="D22" s="31"/>
      <c r="E22" s="214">
        <v>20</v>
      </c>
      <c r="F22" s="264">
        <f>'fak v tis'!O22</f>
        <v>18130.571</v>
      </c>
      <c r="G22" s="258">
        <f>'ostatni v tis'!P22</f>
        <v>35653</v>
      </c>
      <c r="H22" s="277">
        <f t="shared" si="2"/>
        <v>53783.570999999996</v>
      </c>
      <c r="I22" s="97"/>
      <c r="J22" s="92">
        <f>'fak v tis'!Q22+'ostatni v tis'!R22</f>
        <v>42053</v>
      </c>
      <c r="K22" s="92">
        <f>'fak v tis'!R22+'ostatni v tis'!S22</f>
        <v>0</v>
      </c>
      <c r="L22" s="93">
        <f>'fak v tis'!S22+'ostatni v tis'!T22</f>
        <v>11730.571</v>
      </c>
      <c r="M22" s="93">
        <f>'fak v tis'!T22+'ostatni v tis'!U22</f>
        <v>0</v>
      </c>
      <c r="N22" s="93">
        <f>'fak v tis'!U22+'ostatni v tis'!V22</f>
        <v>0</v>
      </c>
      <c r="O22" s="94">
        <f>'fak v tis'!V22+'ostatni v tis'!W22</f>
        <v>0</v>
      </c>
      <c r="P22" s="209">
        <f>'fak v tis'!W22+'ostatni v tis'!X22</f>
        <v>56449.23366</v>
      </c>
      <c r="Q22" s="522"/>
      <c r="R22" s="522"/>
    </row>
    <row r="23" spans="1:18" s="25" customFormat="1" ht="12">
      <c r="A23" s="21"/>
      <c r="B23" s="31" t="s">
        <v>42</v>
      </c>
      <c r="C23" s="31"/>
      <c r="D23" s="31"/>
      <c r="E23" s="214">
        <v>21</v>
      </c>
      <c r="F23" s="264">
        <f>'fak v tis'!O23</f>
        <v>330826.868</v>
      </c>
      <c r="G23" s="258">
        <f>'ostatni v tis'!P23</f>
        <v>60</v>
      </c>
      <c r="H23" s="277">
        <f t="shared" si="2"/>
        <v>330886.868</v>
      </c>
      <c r="I23" s="97"/>
      <c r="J23" s="92">
        <f>'fak v tis'!Q23+'ostatni v tis'!R23</f>
        <v>322912</v>
      </c>
      <c r="K23" s="92">
        <f>'fak v tis'!R23+'ostatni v tis'!S23</f>
        <v>0</v>
      </c>
      <c r="L23" s="93">
        <f>'fak v tis'!S23+'ostatni v tis'!T23</f>
        <v>7974.868</v>
      </c>
      <c r="M23" s="93">
        <f>'fak v tis'!T23+'ostatni v tis'!U23</f>
        <v>0</v>
      </c>
      <c r="N23" s="93">
        <f>'fak v tis'!U23+'ostatni v tis'!V23</f>
        <v>0</v>
      </c>
      <c r="O23" s="94">
        <f>'fak v tis'!V23+'ostatni v tis'!W23</f>
        <v>0</v>
      </c>
      <c r="P23" s="209">
        <f>'fak v tis'!W23+'ostatni v tis'!X23</f>
        <v>324598.50919</v>
      </c>
      <c r="Q23" s="522"/>
      <c r="R23" s="522"/>
    </row>
    <row r="24" spans="1:18" s="25" customFormat="1" ht="12">
      <c r="A24" s="21"/>
      <c r="B24" s="31" t="s">
        <v>44</v>
      </c>
      <c r="C24" s="31"/>
      <c r="D24" s="31"/>
      <c r="E24" s="214">
        <v>22</v>
      </c>
      <c r="F24" s="264">
        <f>'fak v tis'!O24</f>
        <v>276872</v>
      </c>
      <c r="G24" s="258">
        <f>'ostatni v tis'!P24</f>
        <v>20536</v>
      </c>
      <c r="H24" s="277">
        <f t="shared" si="2"/>
        <v>297408</v>
      </c>
      <c r="I24" s="97"/>
      <c r="J24" s="92">
        <f>'fak v tis'!Q24+'ostatni v tis'!R24</f>
        <v>295310</v>
      </c>
      <c r="K24" s="92">
        <f>'fak v tis'!R24+'ostatni v tis'!S24</f>
        <v>0</v>
      </c>
      <c r="L24" s="93">
        <f>'fak v tis'!S24+'ostatni v tis'!T24</f>
        <v>2098</v>
      </c>
      <c r="M24" s="93">
        <f>'fak v tis'!T24+'ostatni v tis'!U24</f>
        <v>0</v>
      </c>
      <c r="N24" s="93">
        <f>'fak v tis'!U24+'ostatni v tis'!V24</f>
        <v>0</v>
      </c>
      <c r="O24" s="94">
        <f>'fak v tis'!V24+'ostatni v tis'!W24</f>
        <v>0</v>
      </c>
      <c r="P24" s="209">
        <f>'fak v tis'!W24+'ostatni v tis'!X24</f>
        <v>296507.95666</v>
      </c>
      <c r="Q24" s="522"/>
      <c r="R24" s="522"/>
    </row>
    <row r="25" spans="1:18" s="25" customFormat="1" ht="12">
      <c r="A25" s="21"/>
      <c r="B25" s="31" t="s">
        <v>45</v>
      </c>
      <c r="C25" s="31"/>
      <c r="D25" s="31"/>
      <c r="E25" s="214">
        <v>23</v>
      </c>
      <c r="F25" s="264">
        <f>'fak v tis'!O25</f>
        <v>66401</v>
      </c>
      <c r="G25" s="258">
        <f>'ostatni v tis'!P25</f>
        <v>1334.333</v>
      </c>
      <c r="H25" s="277">
        <f t="shared" si="2"/>
        <v>67735.333</v>
      </c>
      <c r="I25" s="97"/>
      <c r="J25" s="92">
        <f>'fak v tis'!Q25+'ostatni v tis'!R25</f>
        <v>49531.333</v>
      </c>
      <c r="K25" s="92">
        <f>'fak v tis'!R25+'ostatni v tis'!S25</f>
        <v>0</v>
      </c>
      <c r="L25" s="93">
        <f>'fak v tis'!S25+'ostatni v tis'!T25</f>
        <v>18204</v>
      </c>
      <c r="M25" s="93">
        <f>'fak v tis'!T25+'ostatni v tis'!U25</f>
        <v>0</v>
      </c>
      <c r="N25" s="93">
        <f>'fak v tis'!U25+'ostatni v tis'!V25</f>
        <v>0</v>
      </c>
      <c r="O25" s="94">
        <f>'fak v tis'!V25+'ostatni v tis'!W25</f>
        <v>0</v>
      </c>
      <c r="P25" s="209">
        <f>'fak v tis'!W25+'ostatni v tis'!X25</f>
        <v>50902.14111</v>
      </c>
      <c r="Q25" s="522"/>
      <c r="R25" s="522"/>
    </row>
    <row r="26" spans="1:18" s="25" customFormat="1" ht="12">
      <c r="A26" s="21"/>
      <c r="B26" s="31" t="s">
        <v>47</v>
      </c>
      <c r="C26" s="31"/>
      <c r="D26" s="31"/>
      <c r="E26" s="214">
        <v>24</v>
      </c>
      <c r="F26" s="264">
        <f>'fak v tis'!O26</f>
        <v>40354</v>
      </c>
      <c r="G26" s="258">
        <f>'ostatni v tis'!P26</f>
        <v>0</v>
      </c>
      <c r="H26" s="277">
        <f t="shared" si="2"/>
        <v>40354</v>
      </c>
      <c r="I26" s="97"/>
      <c r="J26" s="92">
        <f>'fak v tis'!Q26+'ostatni v tis'!R26</f>
        <v>39520</v>
      </c>
      <c r="K26" s="92">
        <f>'fak v tis'!R26+'ostatni v tis'!S26</f>
        <v>0</v>
      </c>
      <c r="L26" s="93">
        <f>'fak v tis'!S26+'ostatni v tis'!T26</f>
        <v>834</v>
      </c>
      <c r="M26" s="93">
        <f>'fak v tis'!T26+'ostatni v tis'!U26</f>
        <v>0</v>
      </c>
      <c r="N26" s="93">
        <f>'fak v tis'!U26+'ostatni v tis'!V26</f>
        <v>0</v>
      </c>
      <c r="O26" s="94">
        <f>'fak v tis'!V26+'ostatni v tis'!W26</f>
        <v>0</v>
      </c>
      <c r="P26" s="209">
        <f>'fak v tis'!W26+'ostatni v tis'!X26</f>
        <v>38078.42094000001</v>
      </c>
      <c r="Q26" s="522"/>
      <c r="R26" s="522"/>
    </row>
    <row r="27" spans="1:18" s="25" customFormat="1" ht="12.75" thickBot="1">
      <c r="A27" s="21"/>
      <c r="B27" s="30" t="s">
        <v>49</v>
      </c>
      <c r="C27" s="30"/>
      <c r="D27" s="30"/>
      <c r="E27" s="213">
        <v>25</v>
      </c>
      <c r="F27" s="264">
        <f>'fak v tis'!O27</f>
        <v>28796</v>
      </c>
      <c r="G27" s="258">
        <f>'ostatni v tis'!P27</f>
        <v>65373.85</v>
      </c>
      <c r="H27" s="277">
        <f t="shared" si="2"/>
        <v>94169.85</v>
      </c>
      <c r="I27" s="97"/>
      <c r="J27" s="92">
        <f>'fak v tis'!Q27+'ostatni v tis'!R27</f>
        <v>94169.85</v>
      </c>
      <c r="K27" s="92">
        <f>'fak v tis'!R27+'ostatni v tis'!S27</f>
        <v>0</v>
      </c>
      <c r="L27" s="93">
        <f>'fak v tis'!S27+'ostatni v tis'!T27</f>
        <v>0</v>
      </c>
      <c r="M27" s="93">
        <f>'fak v tis'!T27+'ostatni v tis'!U27</f>
        <v>0</v>
      </c>
      <c r="N27" s="93">
        <f>'fak v tis'!U27+'ostatni v tis'!V27</f>
        <v>0</v>
      </c>
      <c r="O27" s="94">
        <f>'fak v tis'!V27+'ostatni v tis'!W27</f>
        <v>0</v>
      </c>
      <c r="P27" s="209">
        <f>'fak v tis'!W27+'ostatni v tis'!X27</f>
        <v>106374.17839000002</v>
      </c>
      <c r="Q27" s="522"/>
      <c r="R27" s="522"/>
    </row>
    <row r="28" spans="1:16" ht="13.5" thickBot="1">
      <c r="A28" s="37" t="s">
        <v>51</v>
      </c>
      <c r="B28" s="38"/>
      <c r="C28" s="38"/>
      <c r="D28" s="38"/>
      <c r="E28" s="216">
        <v>26</v>
      </c>
      <c r="F28" s="261">
        <f aca="true" t="shared" si="3" ref="F28:P28">SUM(F29:F45)</f>
        <v>2893800.702</v>
      </c>
      <c r="G28" s="256">
        <f t="shared" si="3"/>
        <v>1213814.649</v>
      </c>
      <c r="H28" s="217">
        <f t="shared" si="3"/>
        <v>4107615.3510000003</v>
      </c>
      <c r="I28" s="127">
        <f t="shared" si="3"/>
        <v>0</v>
      </c>
      <c r="J28" s="82">
        <f t="shared" si="3"/>
        <v>3834618.878</v>
      </c>
      <c r="K28" s="83">
        <f t="shared" si="3"/>
        <v>156487.03399999999</v>
      </c>
      <c r="L28" s="83">
        <f t="shared" si="3"/>
        <v>69884.439</v>
      </c>
      <c r="M28" s="83">
        <f t="shared" si="3"/>
        <v>5440</v>
      </c>
      <c r="N28" s="83">
        <f>SUM(N29:N45)</f>
        <v>16521</v>
      </c>
      <c r="O28" s="82">
        <f t="shared" si="3"/>
        <v>24664</v>
      </c>
      <c r="P28" s="84">
        <f t="shared" si="3"/>
        <v>3944582.4238300007</v>
      </c>
    </row>
    <row r="29" spans="1:18" s="25" customFormat="1" ht="12">
      <c r="A29" s="21" t="s">
        <v>14</v>
      </c>
      <c r="B29" s="27" t="s">
        <v>52</v>
      </c>
      <c r="C29" s="27"/>
      <c r="D29" s="27"/>
      <c r="E29" s="213">
        <v>27</v>
      </c>
      <c r="F29" s="264">
        <f>'fak v tis'!O29</f>
        <v>1349501</v>
      </c>
      <c r="G29" s="258">
        <f>'ostatni v tis'!P29</f>
        <v>408459</v>
      </c>
      <c r="H29" s="277">
        <f t="shared" si="2"/>
        <v>1757960</v>
      </c>
      <c r="I29" s="86"/>
      <c r="J29" s="92">
        <f>'fak v tis'!Q29+'ostatni v tis'!R29</f>
        <v>1757937</v>
      </c>
      <c r="K29" s="92">
        <f>'fak v tis'!R29+'ostatni v tis'!S29</f>
        <v>0</v>
      </c>
      <c r="L29" s="93">
        <f>'fak v tis'!S29+'ostatni v tis'!T29</f>
        <v>23</v>
      </c>
      <c r="M29" s="93">
        <f>'fak v tis'!T29+'ostatni v tis'!U29</f>
        <v>0</v>
      </c>
      <c r="N29" s="93">
        <f>'fak v tis'!U29+'ostatni v tis'!V29</f>
        <v>0</v>
      </c>
      <c r="O29" s="94">
        <f>'fak v tis'!V29+'ostatni v tis'!W29</f>
        <v>0</v>
      </c>
      <c r="P29" s="209">
        <f>'fak v tis'!W29+'ostatni v tis'!X29</f>
        <v>1697395.77037</v>
      </c>
      <c r="Q29" s="522">
        <v>1757937</v>
      </c>
      <c r="R29" s="522">
        <f>J29-Q29</f>
        <v>0</v>
      </c>
    </row>
    <row r="30" spans="1:18" s="25" customFormat="1" ht="12">
      <c r="A30" s="21"/>
      <c r="B30" s="30" t="s">
        <v>28</v>
      </c>
      <c r="C30" s="30"/>
      <c r="D30" s="30"/>
      <c r="E30" s="213">
        <v>28</v>
      </c>
      <c r="F30" s="264">
        <f>'fak v tis'!O30</f>
        <v>115840</v>
      </c>
      <c r="G30" s="258">
        <f>'ostatni v tis'!P30</f>
        <v>0</v>
      </c>
      <c r="H30" s="277">
        <f t="shared" si="2"/>
        <v>115840</v>
      </c>
      <c r="I30" s="102"/>
      <c r="J30" s="92">
        <f>'fak v tis'!Q30+'ostatni v tis'!R30</f>
        <v>115840</v>
      </c>
      <c r="K30" s="92">
        <f>'fak v tis'!R30+'ostatni v tis'!S30</f>
        <v>0</v>
      </c>
      <c r="L30" s="93">
        <f>'fak v tis'!S30+'ostatni v tis'!T30</f>
        <v>0</v>
      </c>
      <c r="M30" s="93">
        <f>'fak v tis'!T30+'ostatni v tis'!U30</f>
        <v>0</v>
      </c>
      <c r="N30" s="93">
        <f>'fak v tis'!U30+'ostatni v tis'!V30</f>
        <v>0</v>
      </c>
      <c r="O30" s="94">
        <f>'fak v tis'!V30+'ostatni v tis'!W30</f>
        <v>0</v>
      </c>
      <c r="P30" s="209">
        <f>'fak v tis'!W30+'ostatni v tis'!X30</f>
        <v>113189</v>
      </c>
      <c r="Q30" s="522">
        <f>29718*4</f>
        <v>118872</v>
      </c>
      <c r="R30" s="522"/>
    </row>
    <row r="31" spans="1:18" s="25" customFormat="1" ht="12">
      <c r="A31" s="21"/>
      <c r="B31" s="30" t="s">
        <v>30</v>
      </c>
      <c r="C31" s="30"/>
      <c r="D31" s="30"/>
      <c r="E31" s="213">
        <v>29</v>
      </c>
      <c r="F31" s="264">
        <f>'fak v tis'!O31</f>
        <v>7241</v>
      </c>
      <c r="G31" s="258">
        <f>'ostatni v tis'!P31</f>
        <v>31000</v>
      </c>
      <c r="H31" s="277">
        <f t="shared" si="2"/>
        <v>38241</v>
      </c>
      <c r="I31" s="102"/>
      <c r="J31" s="92">
        <f>'fak v tis'!Q31+'ostatni v tis'!R31</f>
        <v>37296</v>
      </c>
      <c r="K31" s="92">
        <f>'fak v tis'!R31+'ostatni v tis'!S31</f>
        <v>0</v>
      </c>
      <c r="L31" s="93">
        <f>'fak v tis'!S31+'ostatni v tis'!T31</f>
        <v>945</v>
      </c>
      <c r="M31" s="93">
        <f>'fak v tis'!T31+'ostatni v tis'!U31</f>
        <v>0</v>
      </c>
      <c r="N31" s="93">
        <f>'fak v tis'!U31+'ostatni v tis'!V31</f>
        <v>0</v>
      </c>
      <c r="O31" s="94">
        <f>'fak v tis'!V31+'ostatni v tis'!W31</f>
        <v>0</v>
      </c>
      <c r="P31" s="209">
        <f>'fak v tis'!W31+'ostatni v tis'!X31</f>
        <v>38475.06648</v>
      </c>
      <c r="Q31" s="522">
        <f>22342+2086</f>
        <v>24428</v>
      </c>
      <c r="R31" s="522"/>
    </row>
    <row r="32" spans="1:18" s="25" customFormat="1" ht="12">
      <c r="A32" s="21"/>
      <c r="B32" s="31" t="s">
        <v>32</v>
      </c>
      <c r="C32" s="32"/>
      <c r="D32" s="32"/>
      <c r="E32" s="214">
        <v>30</v>
      </c>
      <c r="F32" s="264">
        <f>'fak v tis'!O32</f>
        <v>56137</v>
      </c>
      <c r="G32" s="258">
        <f>'ostatni v tis'!P32</f>
        <v>80911</v>
      </c>
      <c r="H32" s="277">
        <f t="shared" si="2"/>
        <v>137048</v>
      </c>
      <c r="I32" s="102"/>
      <c r="J32" s="92">
        <f>'fak v tis'!Q32+'ostatni v tis'!R32</f>
        <v>137048</v>
      </c>
      <c r="K32" s="92">
        <f>'fak v tis'!R32+'ostatni v tis'!S32</f>
        <v>0</v>
      </c>
      <c r="L32" s="93">
        <f>'fak v tis'!S32+'ostatni v tis'!T32</f>
        <v>0</v>
      </c>
      <c r="M32" s="93">
        <f>'fak v tis'!T32+'ostatni v tis'!U32</f>
        <v>0</v>
      </c>
      <c r="N32" s="93">
        <f>'fak v tis'!U32+'ostatni v tis'!V32</f>
        <v>0</v>
      </c>
      <c r="O32" s="94">
        <f>'fak v tis'!V32+'ostatni v tis'!W32</f>
        <v>0</v>
      </c>
      <c r="P32" s="209">
        <f>'fak v tis'!W32+'ostatni v tis'!X32</f>
        <v>129001.5986</v>
      </c>
      <c r="Q32" s="522">
        <v>126592</v>
      </c>
      <c r="R32" s="522">
        <f>J32-Q32</f>
        <v>10456</v>
      </c>
    </row>
    <row r="33" spans="1:18" s="25" customFormat="1" ht="12">
      <c r="A33" s="21"/>
      <c r="B33" s="31" t="s">
        <v>34</v>
      </c>
      <c r="C33" s="31"/>
      <c r="D33" s="31"/>
      <c r="E33" s="214">
        <v>31</v>
      </c>
      <c r="F33" s="264">
        <f>'fak v tis'!O33</f>
        <v>7550</v>
      </c>
      <c r="G33" s="258">
        <f>'ostatni v tis'!P33</f>
        <v>0</v>
      </c>
      <c r="H33" s="277">
        <f t="shared" si="2"/>
        <v>7550</v>
      </c>
      <c r="I33" s="102"/>
      <c r="J33" s="92">
        <f>'fak v tis'!Q33+'ostatni v tis'!R33</f>
        <v>7550</v>
      </c>
      <c r="K33" s="92">
        <f>'fak v tis'!R33+'ostatni v tis'!S33</f>
        <v>0</v>
      </c>
      <c r="L33" s="93">
        <f>'fak v tis'!S33+'ostatni v tis'!T33</f>
        <v>0</v>
      </c>
      <c r="M33" s="93">
        <f>'fak v tis'!T33+'ostatni v tis'!U33</f>
        <v>0</v>
      </c>
      <c r="N33" s="93">
        <f>'fak v tis'!U33+'ostatni v tis'!V33</f>
        <v>0</v>
      </c>
      <c r="O33" s="94">
        <f>'fak v tis'!V33+'ostatni v tis'!W33</f>
        <v>0</v>
      </c>
      <c r="P33" s="209">
        <f>'fak v tis'!W33+'ostatni v tis'!X33</f>
        <v>7626.36305</v>
      </c>
      <c r="Q33" s="522">
        <v>5748</v>
      </c>
      <c r="R33" s="522">
        <f>J33-Q33</f>
        <v>1802</v>
      </c>
    </row>
    <row r="34" spans="1:18" s="25" customFormat="1" ht="12">
      <c r="A34" s="21"/>
      <c r="B34" s="31" t="s">
        <v>54</v>
      </c>
      <c r="C34" s="31"/>
      <c r="D34" s="31"/>
      <c r="E34" s="214">
        <v>32</v>
      </c>
      <c r="F34" s="264">
        <f>'fak v tis'!O34</f>
        <v>0</v>
      </c>
      <c r="G34" s="258">
        <f>'ostatni v tis'!P34</f>
        <v>144242</v>
      </c>
      <c r="H34" s="277">
        <f t="shared" si="2"/>
        <v>144242</v>
      </c>
      <c r="I34" s="102"/>
      <c r="J34" s="92">
        <f>'fak v tis'!Q34+'ostatni v tis'!R34</f>
        <v>144242</v>
      </c>
      <c r="K34" s="92">
        <f>'fak v tis'!R34+'ostatni v tis'!S34</f>
        <v>0</v>
      </c>
      <c r="L34" s="93">
        <f>'fak v tis'!S34+'ostatni v tis'!T34</f>
        <v>0</v>
      </c>
      <c r="M34" s="93">
        <f>'fak v tis'!T34+'ostatni v tis'!U34</f>
        <v>0</v>
      </c>
      <c r="N34" s="93">
        <f>'fak v tis'!U34+'ostatni v tis'!V34</f>
        <v>0</v>
      </c>
      <c r="O34" s="94">
        <f>'fak v tis'!V34+'ostatni v tis'!W34</f>
        <v>0</v>
      </c>
      <c r="P34" s="209">
        <f>'fak v tis'!W34+'ostatni v tis'!X34</f>
        <v>139516</v>
      </c>
      <c r="Q34" s="522"/>
      <c r="R34" s="522"/>
    </row>
    <row r="35" spans="1:18" s="25" customFormat="1" ht="12">
      <c r="A35" s="21"/>
      <c r="B35" s="31" t="s">
        <v>36</v>
      </c>
      <c r="C35" s="31"/>
      <c r="D35" s="31"/>
      <c r="E35" s="214">
        <v>33</v>
      </c>
      <c r="F35" s="264">
        <f>'fak v tis'!O35</f>
        <v>4625</v>
      </c>
      <c r="G35" s="258">
        <f>'ostatni v tis'!P35</f>
        <v>4627.476</v>
      </c>
      <c r="H35" s="277">
        <f t="shared" si="2"/>
        <v>9252.475999999999</v>
      </c>
      <c r="I35" s="102"/>
      <c r="J35" s="92">
        <f>'fak v tis'!Q35+'ostatni v tis'!R35</f>
        <v>9252.475999999999</v>
      </c>
      <c r="K35" s="92">
        <f>'fak v tis'!R35+'ostatni v tis'!S35</f>
        <v>0</v>
      </c>
      <c r="L35" s="93">
        <f>'fak v tis'!S35+'ostatni v tis'!T35</f>
        <v>0</v>
      </c>
      <c r="M35" s="93">
        <f>'fak v tis'!T35+'ostatni v tis'!U35</f>
        <v>0</v>
      </c>
      <c r="N35" s="93">
        <f>'fak v tis'!U35+'ostatni v tis'!V35</f>
        <v>0</v>
      </c>
      <c r="O35" s="94">
        <f>'fak v tis'!V35+'ostatni v tis'!W35</f>
        <v>0</v>
      </c>
      <c r="P35" s="209">
        <f>'fak v tis'!W35+'ostatni v tis'!X35</f>
        <v>6461.680259999999</v>
      </c>
      <c r="Q35" s="522"/>
      <c r="R35" s="522"/>
    </row>
    <row r="36" spans="1:18" s="25" customFormat="1" ht="12">
      <c r="A36" s="21"/>
      <c r="B36" s="31" t="s">
        <v>38</v>
      </c>
      <c r="C36" s="31"/>
      <c r="D36" s="31"/>
      <c r="E36" s="214">
        <v>34</v>
      </c>
      <c r="F36" s="264">
        <f>'fak v tis'!O36</f>
        <v>15939</v>
      </c>
      <c r="G36" s="258">
        <f>'ostatni v tis'!P36</f>
        <v>4607</v>
      </c>
      <c r="H36" s="277">
        <f t="shared" si="2"/>
        <v>20546</v>
      </c>
      <c r="I36" s="102"/>
      <c r="J36" s="92">
        <f>'fak v tis'!Q36+'ostatni v tis'!R36</f>
        <v>20107</v>
      </c>
      <c r="K36" s="92">
        <f>'fak v tis'!R36+'ostatni v tis'!S36</f>
        <v>0</v>
      </c>
      <c r="L36" s="93">
        <f>'fak v tis'!S36+'ostatni v tis'!T36</f>
        <v>439</v>
      </c>
      <c r="M36" s="93">
        <f>'fak v tis'!T36+'ostatni v tis'!U36</f>
        <v>0</v>
      </c>
      <c r="N36" s="93">
        <f>'fak v tis'!U36+'ostatni v tis'!V36</f>
        <v>0</v>
      </c>
      <c r="O36" s="94">
        <f>'fak v tis'!V36+'ostatni v tis'!W36</f>
        <v>0</v>
      </c>
      <c r="P36" s="209">
        <f>'fak v tis'!W36+'ostatni v tis'!X36</f>
        <v>7569.40969</v>
      </c>
      <c r="Q36" s="522"/>
      <c r="R36" s="522"/>
    </row>
    <row r="37" spans="1:18" s="25" customFormat="1" ht="12">
      <c r="A37" s="21"/>
      <c r="B37" s="31" t="s">
        <v>56</v>
      </c>
      <c r="C37" s="31"/>
      <c r="D37" s="31"/>
      <c r="E37" s="214">
        <v>35</v>
      </c>
      <c r="F37" s="264">
        <f>'fak v tis'!O37</f>
        <v>17691.571</v>
      </c>
      <c r="G37" s="258">
        <f>'ostatni v tis'!P37</f>
        <v>35653</v>
      </c>
      <c r="H37" s="277">
        <f t="shared" si="2"/>
        <v>53344.570999999996</v>
      </c>
      <c r="I37" s="102"/>
      <c r="J37" s="92">
        <f>'fak v tis'!Q37+'ostatni v tis'!R37</f>
        <v>42053</v>
      </c>
      <c r="K37" s="92">
        <f>'fak v tis'!R37+'ostatni v tis'!S37</f>
        <v>0</v>
      </c>
      <c r="L37" s="93">
        <f>'fak v tis'!S37+'ostatni v tis'!T37</f>
        <v>11291.571</v>
      </c>
      <c r="M37" s="93">
        <f>'fak v tis'!T37+'ostatni v tis'!U37</f>
        <v>0</v>
      </c>
      <c r="N37" s="93">
        <f>'fak v tis'!U37+'ostatni v tis'!V37</f>
        <v>0</v>
      </c>
      <c r="O37" s="94">
        <f>'fak v tis'!V37+'ostatni v tis'!W37</f>
        <v>0</v>
      </c>
      <c r="P37" s="209">
        <f>'fak v tis'!W37+'ostatni v tis'!X37</f>
        <v>56494.615549999995</v>
      </c>
      <c r="Q37" s="522"/>
      <c r="R37" s="522"/>
    </row>
    <row r="38" spans="1:18" s="25" customFormat="1" ht="12">
      <c r="A38" s="21"/>
      <c r="B38" s="31" t="s">
        <v>57</v>
      </c>
      <c r="C38" s="31"/>
      <c r="D38" s="31"/>
      <c r="E38" s="214">
        <v>36</v>
      </c>
      <c r="F38" s="264">
        <f>'fak v tis'!O38</f>
        <v>123764</v>
      </c>
      <c r="G38" s="258">
        <f>'ostatni v tis'!P38</f>
        <v>0</v>
      </c>
      <c r="H38" s="277">
        <f t="shared" si="2"/>
        <v>123764</v>
      </c>
      <c r="I38" s="102"/>
      <c r="J38" s="92">
        <f>'fak v tis'!Q38+'ostatni v tis'!R38</f>
        <v>123764</v>
      </c>
      <c r="K38" s="92">
        <f>'fak v tis'!R38+'ostatni v tis'!S38</f>
        <v>0</v>
      </c>
      <c r="L38" s="93">
        <f>'fak v tis'!S38+'ostatni v tis'!T38</f>
        <v>0</v>
      </c>
      <c r="M38" s="93">
        <f>'fak v tis'!T38+'ostatni v tis'!U38</f>
        <v>0</v>
      </c>
      <c r="N38" s="93">
        <f>'fak v tis'!U38+'ostatni v tis'!V38</f>
        <v>0</v>
      </c>
      <c r="O38" s="94">
        <f>'fak v tis'!V38+'ostatni v tis'!W38</f>
        <v>0</v>
      </c>
      <c r="P38" s="209">
        <f>'fak v tis'!W38+'ostatni v tis'!X38</f>
        <v>121970</v>
      </c>
      <c r="Q38" s="522"/>
      <c r="R38" s="522"/>
    </row>
    <row r="39" spans="1:18" s="25" customFormat="1" ht="12">
      <c r="A39" s="21"/>
      <c r="B39" s="31" t="s">
        <v>59</v>
      </c>
      <c r="C39" s="31"/>
      <c r="D39" s="31"/>
      <c r="E39" s="214">
        <v>37</v>
      </c>
      <c r="F39" s="264">
        <f>'fak v tis'!O39</f>
        <v>330826.868</v>
      </c>
      <c r="G39" s="258">
        <f>'ostatni v tis'!P39</f>
        <v>60</v>
      </c>
      <c r="H39" s="277">
        <f t="shared" si="2"/>
        <v>330886.868</v>
      </c>
      <c r="I39" s="102"/>
      <c r="J39" s="92">
        <f>'fak v tis'!Q39+'ostatni v tis'!R39</f>
        <v>322912</v>
      </c>
      <c r="K39" s="92">
        <f>'fak v tis'!R39+'ostatni v tis'!S39</f>
        <v>0</v>
      </c>
      <c r="L39" s="93">
        <f>'fak v tis'!S39+'ostatni v tis'!T39</f>
        <v>7974.868</v>
      </c>
      <c r="M39" s="93">
        <f>'fak v tis'!T39+'ostatni v tis'!U39</f>
        <v>0</v>
      </c>
      <c r="N39" s="93">
        <f>'fak v tis'!U39+'ostatni v tis'!V39</f>
        <v>0</v>
      </c>
      <c r="O39" s="94">
        <f>'fak v tis'!V39+'ostatni v tis'!W39</f>
        <v>0</v>
      </c>
      <c r="P39" s="209">
        <f>'fak v tis'!W39+'ostatni v tis'!X39</f>
        <v>324598.50919</v>
      </c>
      <c r="Q39" s="522"/>
      <c r="R39" s="522"/>
    </row>
    <row r="40" spans="1:18" s="25" customFormat="1" ht="12">
      <c r="A40" s="21"/>
      <c r="B40" s="31" t="s">
        <v>60</v>
      </c>
      <c r="C40" s="31"/>
      <c r="D40" s="31"/>
      <c r="E40" s="214">
        <v>38</v>
      </c>
      <c r="F40" s="264">
        <f>'fak v tis'!O40</f>
        <v>276872</v>
      </c>
      <c r="G40" s="258">
        <f>'ostatni v tis'!P40</f>
        <v>20536</v>
      </c>
      <c r="H40" s="277">
        <f t="shared" si="2"/>
        <v>297408</v>
      </c>
      <c r="I40" s="102"/>
      <c r="J40" s="92">
        <f>'fak v tis'!Q40+'ostatni v tis'!R40</f>
        <v>295310</v>
      </c>
      <c r="K40" s="92">
        <f>'fak v tis'!R40+'ostatni v tis'!S40</f>
        <v>0</v>
      </c>
      <c r="L40" s="93">
        <f>'fak v tis'!S40+'ostatni v tis'!T40</f>
        <v>2098</v>
      </c>
      <c r="M40" s="93">
        <f>'fak v tis'!T40+'ostatni v tis'!U40</f>
        <v>0</v>
      </c>
      <c r="N40" s="93">
        <f>'fak v tis'!U40+'ostatni v tis'!V40</f>
        <v>0</v>
      </c>
      <c r="O40" s="94">
        <f>'fak v tis'!V40+'ostatni v tis'!W40</f>
        <v>0</v>
      </c>
      <c r="P40" s="209">
        <f>'fak v tis'!W40+'ostatni v tis'!X40</f>
        <v>296507.95666</v>
      </c>
      <c r="Q40" s="522"/>
      <c r="R40" s="522"/>
    </row>
    <row r="41" spans="1:18" s="25" customFormat="1" ht="12">
      <c r="A41" s="21"/>
      <c r="B41" s="31" t="s">
        <v>45</v>
      </c>
      <c r="C41" s="31"/>
      <c r="D41" s="31"/>
      <c r="E41" s="214">
        <v>39</v>
      </c>
      <c r="F41" s="264">
        <f>'fak v tis'!O41</f>
        <v>66401</v>
      </c>
      <c r="G41" s="258">
        <f>'ostatni v tis'!P41</f>
        <v>1334.333</v>
      </c>
      <c r="H41" s="277">
        <f t="shared" si="2"/>
        <v>67735.333</v>
      </c>
      <c r="I41" s="102"/>
      <c r="J41" s="92">
        <f>'fak v tis'!Q41+'ostatni v tis'!R41</f>
        <v>49531.333</v>
      </c>
      <c r="K41" s="92">
        <f>'fak v tis'!R41+'ostatni v tis'!S41</f>
        <v>0</v>
      </c>
      <c r="L41" s="93">
        <f>'fak v tis'!S41+'ostatni v tis'!T41</f>
        <v>18204</v>
      </c>
      <c r="M41" s="93">
        <f>'fak v tis'!T41+'ostatni v tis'!U41</f>
        <v>0</v>
      </c>
      <c r="N41" s="93">
        <f>'fak v tis'!U41+'ostatni v tis'!V41</f>
        <v>0</v>
      </c>
      <c r="O41" s="94">
        <f>'fak v tis'!V41+'ostatni v tis'!W41</f>
        <v>0</v>
      </c>
      <c r="P41" s="209">
        <f>'fak v tis'!W41+'ostatni v tis'!X41</f>
        <v>50902.14111</v>
      </c>
      <c r="Q41" s="522"/>
      <c r="R41" s="522"/>
    </row>
    <row r="42" spans="1:18" s="25" customFormat="1" ht="12">
      <c r="A42" s="21"/>
      <c r="B42" s="31" t="s">
        <v>61</v>
      </c>
      <c r="C42" s="31"/>
      <c r="D42" s="31"/>
      <c r="E42" s="214">
        <v>40</v>
      </c>
      <c r="F42" s="264">
        <f>'fak v tis'!O42</f>
        <v>40354</v>
      </c>
      <c r="G42" s="258">
        <f>'ostatni v tis'!P42</f>
        <v>0</v>
      </c>
      <c r="H42" s="277">
        <f t="shared" si="2"/>
        <v>40354</v>
      </c>
      <c r="I42" s="102"/>
      <c r="J42" s="92">
        <f>'fak v tis'!Q42+'ostatni v tis'!R42</f>
        <v>39520</v>
      </c>
      <c r="K42" s="92">
        <f>'fak v tis'!R42+'ostatni v tis'!S42</f>
        <v>0</v>
      </c>
      <c r="L42" s="93">
        <f>'fak v tis'!S42+'ostatni v tis'!T42</f>
        <v>834</v>
      </c>
      <c r="M42" s="93">
        <f>'fak v tis'!T42+'ostatni v tis'!U42</f>
        <v>0</v>
      </c>
      <c r="N42" s="93">
        <f>'fak v tis'!U42+'ostatni v tis'!V42</f>
        <v>0</v>
      </c>
      <c r="O42" s="94">
        <f>'fak v tis'!V42+'ostatni v tis'!W42</f>
        <v>0</v>
      </c>
      <c r="P42" s="209">
        <f>'fak v tis'!W42+'ostatni v tis'!X42</f>
        <v>38078.42094000001</v>
      </c>
      <c r="Q42" s="522"/>
      <c r="R42" s="522"/>
    </row>
    <row r="43" spans="1:18" s="25" customFormat="1" ht="12">
      <c r="A43" s="21"/>
      <c r="B43" s="31" t="s">
        <v>62</v>
      </c>
      <c r="C43" s="31"/>
      <c r="D43" s="31"/>
      <c r="E43" s="214">
        <v>41</v>
      </c>
      <c r="F43" s="264">
        <f>'fak v tis'!O43</f>
        <v>356531</v>
      </c>
      <c r="G43" s="258">
        <f>'ostatni v tis'!P43</f>
        <v>266798.389</v>
      </c>
      <c r="H43" s="277">
        <f t="shared" si="2"/>
        <v>623329.389</v>
      </c>
      <c r="I43" s="102"/>
      <c r="J43" s="92">
        <f>'fak v tis'!Q43+'ostatni v tis'!R43</f>
        <v>621294.389</v>
      </c>
      <c r="K43" s="92">
        <f>'fak v tis'!R43+'ostatni v tis'!S43</f>
        <v>0</v>
      </c>
      <c r="L43" s="93">
        <f>'fak v tis'!S43+'ostatni v tis'!T43</f>
        <v>2035</v>
      </c>
      <c r="M43" s="93">
        <f>'fak v tis'!T43+'ostatni v tis'!U43</f>
        <v>0</v>
      </c>
      <c r="N43" s="93">
        <f>'fak v tis'!U43+'ostatni v tis'!V43</f>
        <v>0</v>
      </c>
      <c r="O43" s="94">
        <f>'fak v tis'!V43+'ostatni v tis'!W43</f>
        <v>0</v>
      </c>
      <c r="P43" s="209">
        <f>'fak v tis'!W43+'ostatni v tis'!X43</f>
        <v>698463.74933</v>
      </c>
      <c r="Q43" s="522"/>
      <c r="R43" s="522"/>
    </row>
    <row r="44" spans="1:18" s="25" customFormat="1" ht="12">
      <c r="A44" s="21"/>
      <c r="B44" s="31" t="s">
        <v>63</v>
      </c>
      <c r="C44" s="31"/>
      <c r="D44" s="31"/>
      <c r="E44" s="214">
        <v>42</v>
      </c>
      <c r="F44" s="264">
        <f>'fak v tis'!O44</f>
        <v>92874.263</v>
      </c>
      <c r="G44" s="258">
        <f>'ostatni v tis'!P44</f>
        <v>136277.771</v>
      </c>
      <c r="H44" s="277">
        <f t="shared" si="2"/>
        <v>229152.034</v>
      </c>
      <c r="I44" s="102"/>
      <c r="J44" s="92">
        <f>'fak v tis'!Q44+'ostatni v tis'!R44</f>
        <v>0</v>
      </c>
      <c r="K44" s="92">
        <f>'fak v tis'!R44+'ostatni v tis'!S44</f>
        <v>156487.03399999999</v>
      </c>
      <c r="L44" s="93">
        <f>'fak v tis'!S44+'ostatni v tis'!T44</f>
        <v>26040</v>
      </c>
      <c r="M44" s="93">
        <f>'fak v tis'!T44+'ostatni v tis'!U44</f>
        <v>5440</v>
      </c>
      <c r="N44" s="93">
        <f>'fak v tis'!U44+'ostatni v tis'!V44</f>
        <v>16521</v>
      </c>
      <c r="O44" s="94">
        <f>'fak v tis'!V44+'ostatni v tis'!W44</f>
        <v>24664</v>
      </c>
      <c r="P44" s="209">
        <f>'fak v tis'!W44+'ostatni v tis'!X44</f>
        <v>94216.2599</v>
      </c>
      <c r="Q44" s="522"/>
      <c r="R44" s="522"/>
    </row>
    <row r="45" spans="1:18" s="25" customFormat="1" ht="12">
      <c r="A45" s="40"/>
      <c r="B45" s="41" t="s">
        <v>49</v>
      </c>
      <c r="C45" s="41"/>
      <c r="D45" s="41"/>
      <c r="E45" s="215">
        <v>43</v>
      </c>
      <c r="F45" s="265">
        <f>'fak v tis'!O45</f>
        <v>31653</v>
      </c>
      <c r="G45" s="259">
        <f>'ostatni v tis'!P45</f>
        <v>79308.68</v>
      </c>
      <c r="H45" s="278">
        <f t="shared" si="2"/>
        <v>110961.68</v>
      </c>
      <c r="I45" s="108"/>
      <c r="J45" s="270">
        <f>'fak v tis'!Q45+'ostatni v tis'!R45</f>
        <v>110961.68</v>
      </c>
      <c r="K45" s="270">
        <f>'fak v tis'!R45+'ostatni v tis'!S45</f>
        <v>0</v>
      </c>
      <c r="L45" s="271">
        <f>'fak v tis'!S45+'ostatni v tis'!T45</f>
        <v>0</v>
      </c>
      <c r="M45" s="271">
        <f>'fak v tis'!T45+'ostatni v tis'!U45</f>
        <v>0</v>
      </c>
      <c r="N45" s="271">
        <f>'fak v tis'!U45+'ostatni v tis'!V45</f>
        <v>0</v>
      </c>
      <c r="O45" s="272">
        <f>'fak v tis'!V45+'ostatni v tis'!W45</f>
        <v>0</v>
      </c>
      <c r="P45" s="410">
        <f>'fak v tis'!W45+'ostatni v tis'!X45</f>
        <v>124115.88270000002</v>
      </c>
      <c r="Q45" s="522"/>
      <c r="R45" s="522"/>
    </row>
    <row r="46" spans="1:18" s="25" customFormat="1" ht="12.75" thickBot="1">
      <c r="A46" s="44" t="s">
        <v>65</v>
      </c>
      <c r="B46" s="45"/>
      <c r="C46" s="45"/>
      <c r="D46" s="45"/>
      <c r="E46" s="213">
        <v>44</v>
      </c>
      <c r="F46" s="268">
        <f>F29+F34+F38+F43+F44+F45-F4-F27</f>
        <v>14342</v>
      </c>
      <c r="G46" s="112">
        <f>G29+G34+G38+G43+G44+G45-G4-G27</f>
        <v>18187.57799999984</v>
      </c>
      <c r="H46" s="279">
        <f>H29+H34+H38+H43+H44+H45-H4-H27</f>
        <v>32529.577999999834</v>
      </c>
      <c r="I46" s="113">
        <f>I29+I34+I38+I43+I44+I45+-I4-I27</f>
        <v>0</v>
      </c>
      <c r="J46" s="113">
        <f>J29+J34+J38+J43+J45-J4-J27</f>
        <v>32529.5780000003</v>
      </c>
      <c r="K46" s="113">
        <f>K29+K34+K38+K43+K44+K45-K4-K27</f>
        <v>-2.9103830456733704E-11</v>
      </c>
      <c r="L46" s="113">
        <f>L29+L34+L38+L43+L44+L45-L4-L27</f>
        <v>0</v>
      </c>
      <c r="M46" s="113">
        <f>M29+M34+M38+M43+M44+M45-M4-M27</f>
        <v>0</v>
      </c>
      <c r="N46" s="113">
        <f>N29+N34+N38+N43+N44+N45-N4-N27</f>
        <v>0</v>
      </c>
      <c r="O46" s="113">
        <f>O29+O34+O38+O43+O44+O45-O4-O27</f>
        <v>0</v>
      </c>
      <c r="P46" s="411">
        <f>'fak v tis'!W46+'ostatni v tis'!X46</f>
        <v>103892.73218000008</v>
      </c>
      <c r="Q46" s="522"/>
      <c r="R46" s="522"/>
    </row>
    <row r="47" spans="1:16" ht="13.5" thickBot="1">
      <c r="A47" s="37" t="s">
        <v>66</v>
      </c>
      <c r="B47" s="38"/>
      <c r="C47" s="38"/>
      <c r="D47" s="38"/>
      <c r="E47" s="216">
        <v>45</v>
      </c>
      <c r="F47" s="261">
        <f>F28-F3</f>
        <v>14341.999999999534</v>
      </c>
      <c r="G47" s="256">
        <f>G28-G3</f>
        <v>18187.577999999747</v>
      </c>
      <c r="H47" s="217">
        <f>H28-H3</f>
        <v>32529.578000000212</v>
      </c>
      <c r="I47" s="81">
        <f aca="true" t="shared" si="4" ref="I47:P47">I28-I3</f>
        <v>0</v>
      </c>
      <c r="J47" s="82">
        <f t="shared" si="4"/>
        <v>32529.578000000212</v>
      </c>
      <c r="K47" s="83">
        <f t="shared" si="4"/>
        <v>0</v>
      </c>
      <c r="L47" s="83">
        <f t="shared" si="4"/>
        <v>0</v>
      </c>
      <c r="M47" s="83">
        <f t="shared" si="4"/>
        <v>0</v>
      </c>
      <c r="N47" s="83">
        <f>N28-N3</f>
        <v>0</v>
      </c>
      <c r="O47" s="82">
        <f t="shared" si="4"/>
        <v>0</v>
      </c>
      <c r="P47" s="84">
        <f t="shared" si="4"/>
        <v>103939.80257000076</v>
      </c>
    </row>
    <row r="48" spans="5:18" s="47" customFormat="1" ht="9" customHeight="1">
      <c r="E48" s="48"/>
      <c r="F48" s="25"/>
      <c r="G48" s="25"/>
      <c r="H48" s="280"/>
      <c r="J48" s="59"/>
      <c r="K48" s="59"/>
      <c r="L48" s="59"/>
      <c r="M48" s="59"/>
      <c r="N48" s="59"/>
      <c r="O48" s="59"/>
      <c r="P48" s="59"/>
      <c r="Q48" s="522"/>
      <c r="R48" s="522"/>
    </row>
    <row r="49" spans="1:22" s="47" customFormat="1" ht="11.25">
      <c r="A49" s="51" t="s">
        <v>98</v>
      </c>
      <c r="E49" s="48"/>
      <c r="F49" s="59"/>
      <c r="G49" s="59"/>
      <c r="H49" s="200">
        <f>'fak v tis'!O49+'ostatni v tis'!P49</f>
        <v>10400</v>
      </c>
      <c r="I49" s="59"/>
      <c r="J49" s="59"/>
      <c r="K49" s="59"/>
      <c r="L49" s="59"/>
      <c r="M49" s="59"/>
      <c r="N49" s="59"/>
      <c r="O49" s="59"/>
      <c r="P49" s="287"/>
      <c r="Q49" s="522"/>
      <c r="R49" s="522"/>
      <c r="T49" s="59"/>
      <c r="V49" s="59"/>
    </row>
  </sheetData>
  <mergeCells count="3">
    <mergeCell ref="A1:D1"/>
    <mergeCell ref="K1:O1"/>
    <mergeCell ref="C2:D2"/>
  </mergeCells>
  <printOptions horizontalCentered="1" verticalCentered="1"/>
  <pageMargins left="0.6692913385826772" right="0.4724409448818898" top="0.4330708661417323" bottom="0.35433070866141736" header="0.1968503937007874" footer="0.275590551181102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D10" sqref="D1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25390625" style="25" customWidth="1"/>
    <col min="7" max="7" width="2.125" style="0" hidden="1" customWidth="1"/>
    <col min="8" max="8" width="11.75390625" style="59" customWidth="1"/>
    <col min="9" max="9" width="10.00390625" style="59" customWidth="1"/>
    <col min="10" max="10" width="8.625" style="59" customWidth="1"/>
    <col min="11" max="12" width="8.00390625" style="59" customWidth="1"/>
    <col min="13" max="13" width="8.125" style="59" customWidth="1"/>
    <col min="14" max="14" width="11.75390625" style="59" customWidth="1"/>
    <col min="15" max="15" width="6.875" style="522" customWidth="1"/>
    <col min="16" max="16" width="9.125" style="522" customWidth="1"/>
    <col min="17" max="17" width="6.00390625" style="522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6" t="s">
        <v>134</v>
      </c>
      <c r="B2" s="7"/>
      <c r="C2" s="550" t="s">
        <v>93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2"/>
      <c r="Q2" s="522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206280000</v>
      </c>
      <c r="G3" s="81">
        <f aca="true" t="shared" si="0" ref="G3:M3">SUM(G5:G27)</f>
        <v>0</v>
      </c>
      <c r="H3" s="82">
        <f t="shared" si="0"/>
        <v>198773000</v>
      </c>
      <c r="I3" s="83">
        <f t="shared" si="0"/>
        <v>6237000</v>
      </c>
      <c r="J3" s="83">
        <f t="shared" si="0"/>
        <v>170000</v>
      </c>
      <c r="K3" s="381">
        <f t="shared" si="0"/>
        <v>0</v>
      </c>
      <c r="L3" s="83">
        <f t="shared" si="0"/>
        <v>1100000</v>
      </c>
      <c r="M3" s="82">
        <f t="shared" si="0"/>
        <v>0</v>
      </c>
      <c r="N3" s="84">
        <f>SUM(N5:N27)</f>
        <v>222431018.72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193367000</v>
      </c>
      <c r="G4" s="86">
        <f aca="true" t="shared" si="1" ref="G4:N4">SUM(G5:G15)</f>
        <v>0</v>
      </c>
      <c r="H4" s="87">
        <f t="shared" si="1"/>
        <v>186030000</v>
      </c>
      <c r="I4" s="88">
        <f t="shared" si="1"/>
        <v>6237000</v>
      </c>
      <c r="J4" s="88">
        <f t="shared" si="1"/>
        <v>0</v>
      </c>
      <c r="K4" s="382">
        <f t="shared" si="1"/>
        <v>0</v>
      </c>
      <c r="L4" s="88">
        <f t="shared" si="1"/>
        <v>1100000</v>
      </c>
      <c r="M4" s="87">
        <f t="shared" si="1"/>
        <v>0</v>
      </c>
      <c r="N4" s="89">
        <f t="shared" si="1"/>
        <v>182961380.16</v>
      </c>
      <c r="O4" s="522"/>
      <c r="P4" s="522"/>
      <c r="Q4" s="522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51732000</v>
      </c>
      <c r="G5" s="91"/>
      <c r="H5" s="182">
        <v>51732000</v>
      </c>
      <c r="I5" s="98"/>
      <c r="J5" s="99"/>
      <c r="K5" s="400"/>
      <c r="L5" s="180"/>
      <c r="M5" s="181"/>
      <c r="N5" s="101">
        <v>51846125</v>
      </c>
      <c r="O5" s="528"/>
      <c r="P5" s="528"/>
      <c r="Q5" s="528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3299000</v>
      </c>
      <c r="G6" s="91"/>
      <c r="H6" s="183">
        <v>3299000</v>
      </c>
      <c r="I6" s="98"/>
      <c r="J6" s="99"/>
      <c r="K6" s="400"/>
      <c r="L6" s="180"/>
      <c r="M6" s="181"/>
      <c r="N6" s="101">
        <v>3383263</v>
      </c>
      <c r="O6" s="528"/>
      <c r="P6" s="528"/>
      <c r="Q6" s="528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19704000</v>
      </c>
      <c r="G7" s="91"/>
      <c r="H7" s="183">
        <v>19704000</v>
      </c>
      <c r="I7" s="98"/>
      <c r="J7" s="99"/>
      <c r="K7" s="400"/>
      <c r="L7" s="180"/>
      <c r="M7" s="181"/>
      <c r="N7" s="101">
        <v>19914538.05</v>
      </c>
      <c r="O7" s="528"/>
      <c r="P7" s="528"/>
      <c r="Q7" s="528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5300000</v>
      </c>
      <c r="G8" s="91"/>
      <c r="H8" s="183">
        <v>2300000</v>
      </c>
      <c r="I8" s="98">
        <v>3000000</v>
      </c>
      <c r="J8" s="99"/>
      <c r="K8" s="400"/>
      <c r="L8" s="180"/>
      <c r="M8" s="181"/>
      <c r="N8" s="101">
        <v>4247620.41</v>
      </c>
      <c r="O8" s="528"/>
      <c r="P8" s="528"/>
      <c r="Q8" s="528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3800000</v>
      </c>
      <c r="G9" s="91"/>
      <c r="H9" s="183">
        <v>3800000</v>
      </c>
      <c r="I9" s="98"/>
      <c r="J9" s="99"/>
      <c r="K9" s="400"/>
      <c r="L9" s="180"/>
      <c r="M9" s="181"/>
      <c r="N9" s="101">
        <v>3707911</v>
      </c>
      <c r="O9" s="528"/>
      <c r="P9" s="528"/>
      <c r="Q9" s="528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13840000</v>
      </c>
      <c r="G10" s="91"/>
      <c r="H10" s="183">
        <v>13840000</v>
      </c>
      <c r="I10" s="98"/>
      <c r="J10" s="99"/>
      <c r="K10" s="400"/>
      <c r="L10" s="180"/>
      <c r="M10" s="181"/>
      <c r="N10" s="101">
        <v>13666187.86</v>
      </c>
      <c r="O10" s="528"/>
      <c r="P10" s="528"/>
      <c r="Q10" s="528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27918000</v>
      </c>
      <c r="G11" s="91"/>
      <c r="H11" s="183">
        <v>24681000</v>
      </c>
      <c r="I11" s="98">
        <v>3237000</v>
      </c>
      <c r="J11" s="99"/>
      <c r="K11" s="400"/>
      <c r="L11" s="180"/>
      <c r="M11" s="181"/>
      <c r="N11" s="101">
        <v>28287463.74</v>
      </c>
      <c r="O11" s="528"/>
      <c r="P11" s="528"/>
      <c r="Q11" s="528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1100000</v>
      </c>
      <c r="G12" s="91"/>
      <c r="H12" s="183">
        <v>1100000</v>
      </c>
      <c r="I12" s="98"/>
      <c r="J12" s="99"/>
      <c r="K12" s="400"/>
      <c r="L12" s="180"/>
      <c r="M12" s="181"/>
      <c r="N12" s="101">
        <v>1099021.55</v>
      </c>
      <c r="O12" s="528"/>
      <c r="P12" s="528"/>
      <c r="Q12" s="528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58524000</v>
      </c>
      <c r="G13" s="91"/>
      <c r="H13" s="183">
        <v>58524000</v>
      </c>
      <c r="I13" s="98"/>
      <c r="J13" s="99"/>
      <c r="K13" s="400"/>
      <c r="L13" s="180"/>
      <c r="M13" s="181"/>
      <c r="N13" s="101">
        <v>49870901.33</v>
      </c>
      <c r="O13" s="528"/>
      <c r="P13" s="528"/>
      <c r="Q13" s="528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50000</v>
      </c>
      <c r="G14" s="91"/>
      <c r="H14" s="183">
        <v>50000</v>
      </c>
      <c r="I14" s="98"/>
      <c r="J14" s="99"/>
      <c r="K14" s="400"/>
      <c r="L14" s="180"/>
      <c r="M14" s="181"/>
      <c r="N14" s="101">
        <v>45500</v>
      </c>
      <c r="O14" s="528"/>
      <c r="P14" s="528"/>
      <c r="Q14" s="528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8100000</v>
      </c>
      <c r="G15" s="91"/>
      <c r="H15" s="183">
        <v>7000000</v>
      </c>
      <c r="I15" s="98"/>
      <c r="J15" s="99"/>
      <c r="K15" s="400"/>
      <c r="L15" s="104">
        <v>1100000</v>
      </c>
      <c r="M15" s="181"/>
      <c r="N15" s="101">
        <v>6892848.22</v>
      </c>
      <c r="O15" s="528"/>
      <c r="P15" s="528"/>
      <c r="Q15" s="528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183"/>
      <c r="I16" s="98"/>
      <c r="J16" s="99"/>
      <c r="K16" s="400"/>
      <c r="L16" s="180"/>
      <c r="M16" s="181"/>
      <c r="N16" s="101"/>
      <c r="O16" s="522"/>
      <c r="P16" s="522"/>
      <c r="Q16" s="522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183"/>
      <c r="I17" s="98"/>
      <c r="J17" s="99"/>
      <c r="K17" s="400"/>
      <c r="L17" s="180"/>
      <c r="M17" s="181"/>
      <c r="N17" s="101"/>
      <c r="O17" s="522"/>
      <c r="P17" s="522"/>
      <c r="Q17" s="522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1168000</v>
      </c>
      <c r="G18" s="97"/>
      <c r="H18" s="183">
        <v>1168000</v>
      </c>
      <c r="I18" s="98"/>
      <c r="J18" s="99"/>
      <c r="K18" s="400"/>
      <c r="L18" s="180"/>
      <c r="M18" s="181"/>
      <c r="N18" s="101">
        <v>5720000</v>
      </c>
      <c r="O18" s="522"/>
      <c r="P18" s="522"/>
      <c r="Q18" s="522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183"/>
      <c r="I19" s="98"/>
      <c r="J19" s="99"/>
      <c r="K19" s="400"/>
      <c r="L19" s="180"/>
      <c r="M19" s="181"/>
      <c r="N19" s="101"/>
      <c r="O19" s="522"/>
      <c r="P19" s="522"/>
      <c r="Q19" s="522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183"/>
      <c r="I20" s="98"/>
      <c r="J20" s="99"/>
      <c r="K20" s="400"/>
      <c r="L20" s="180"/>
      <c r="M20" s="181"/>
      <c r="N20" s="101"/>
      <c r="O20" s="522"/>
      <c r="P20" s="522"/>
      <c r="Q20" s="522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183"/>
      <c r="I21" s="98"/>
      <c r="J21" s="99"/>
      <c r="K21" s="400"/>
      <c r="L21" s="180"/>
      <c r="M21" s="181"/>
      <c r="N21" s="101"/>
      <c r="O21" s="522"/>
      <c r="P21" s="522"/>
      <c r="Q21" s="522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83"/>
      <c r="I22" s="98"/>
      <c r="J22" s="99"/>
      <c r="K22" s="400"/>
      <c r="L22" s="180"/>
      <c r="M22" s="181"/>
      <c r="N22" s="101"/>
      <c r="O22" s="522"/>
      <c r="P22" s="522"/>
      <c r="Q22" s="522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60000</v>
      </c>
      <c r="G23" s="97"/>
      <c r="H23" s="183"/>
      <c r="I23" s="98"/>
      <c r="J23" s="99">
        <v>60000</v>
      </c>
      <c r="K23" s="400"/>
      <c r="L23" s="180"/>
      <c r="M23" s="181"/>
      <c r="N23" s="101">
        <v>1346517.33</v>
      </c>
      <c r="O23" s="522"/>
      <c r="P23" s="522"/>
      <c r="Q23" s="522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2326000</v>
      </c>
      <c r="G24" s="97"/>
      <c r="H24" s="183">
        <v>2326000</v>
      </c>
      <c r="I24" s="98"/>
      <c r="J24" s="99"/>
      <c r="K24" s="400"/>
      <c r="L24" s="180"/>
      <c r="M24" s="181"/>
      <c r="N24" s="101">
        <v>11090000</v>
      </c>
      <c r="O24" s="522"/>
      <c r="P24" s="522"/>
      <c r="Q24" s="522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359000</v>
      </c>
      <c r="G25" s="97"/>
      <c r="H25" s="183">
        <v>249000</v>
      </c>
      <c r="I25" s="98"/>
      <c r="J25" s="99">
        <v>110000</v>
      </c>
      <c r="K25" s="400"/>
      <c r="L25" s="180"/>
      <c r="M25" s="181"/>
      <c r="N25" s="101">
        <v>1563553.44</v>
      </c>
      <c r="O25" s="522"/>
      <c r="P25" s="522"/>
      <c r="Q25" s="522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83"/>
      <c r="I26" s="98"/>
      <c r="J26" s="99"/>
      <c r="K26" s="400"/>
      <c r="L26" s="180"/>
      <c r="M26" s="181"/>
      <c r="N26" s="101"/>
      <c r="O26" s="522"/>
      <c r="P26" s="522"/>
      <c r="Q26" s="522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9000000</v>
      </c>
      <c r="G27" s="97"/>
      <c r="H27" s="184">
        <v>9000000</v>
      </c>
      <c r="I27" s="98"/>
      <c r="J27" s="99"/>
      <c r="K27" s="400"/>
      <c r="L27" s="180"/>
      <c r="M27" s="181"/>
      <c r="N27" s="101">
        <v>19749567.79</v>
      </c>
      <c r="O27" s="522"/>
      <c r="P27" s="522"/>
      <c r="Q27" s="522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206880000</v>
      </c>
      <c r="G28" s="81">
        <f aca="true" t="shared" si="3" ref="G28:N28">SUM(G29:G45)</f>
        <v>0</v>
      </c>
      <c r="H28" s="82">
        <f t="shared" si="3"/>
        <v>199373000</v>
      </c>
      <c r="I28" s="83">
        <f t="shared" si="3"/>
        <v>6237000</v>
      </c>
      <c r="J28" s="83">
        <f t="shared" si="3"/>
        <v>170000</v>
      </c>
      <c r="K28" s="381">
        <f t="shared" si="3"/>
        <v>0</v>
      </c>
      <c r="L28" s="83">
        <f t="shared" si="3"/>
        <v>1100000</v>
      </c>
      <c r="M28" s="82">
        <f t="shared" si="3"/>
        <v>0</v>
      </c>
      <c r="N28" s="84">
        <f t="shared" si="3"/>
        <v>225716493.84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138449000</v>
      </c>
      <c r="G29" s="86"/>
      <c r="H29" s="87">
        <v>138449000</v>
      </c>
      <c r="I29" s="88"/>
      <c r="J29" s="88"/>
      <c r="K29" s="382"/>
      <c r="L29" s="88"/>
      <c r="M29" s="87"/>
      <c r="N29" s="89">
        <v>134823000</v>
      </c>
      <c r="O29" s="522"/>
      <c r="P29" s="522"/>
      <c r="Q29" s="522"/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522"/>
      <c r="P30" s="522"/>
      <c r="Q30" s="522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105"/>
      <c r="O31" s="522"/>
      <c r="P31" s="522"/>
      <c r="Q31" s="522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1168000</v>
      </c>
      <c r="G32" s="102"/>
      <c r="H32" s="103">
        <f>H18</f>
        <v>1168000</v>
      </c>
      <c r="I32" s="104"/>
      <c r="J32" s="104"/>
      <c r="K32" s="385"/>
      <c r="L32" s="104"/>
      <c r="M32" s="103"/>
      <c r="N32" s="105">
        <v>5720000</v>
      </c>
      <c r="O32" s="522"/>
      <c r="P32" s="522">
        <f>H32/1000-Q32</f>
        <v>-652</v>
      </c>
      <c r="Q32" s="522">
        <v>1820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522"/>
      <c r="P33" s="522"/>
      <c r="Q33" s="522"/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22"/>
      <c r="Q34" s="522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/>
      <c r="O35" s="522"/>
      <c r="P35" s="522"/>
      <c r="Q35" s="522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522"/>
      <c r="P36" s="522"/>
      <c r="Q36" s="522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0</v>
      </c>
      <c r="G37" s="102"/>
      <c r="H37" s="103"/>
      <c r="I37" s="104"/>
      <c r="J37" s="104"/>
      <c r="K37" s="385"/>
      <c r="L37" s="104"/>
      <c r="M37" s="103"/>
      <c r="N37" s="105"/>
      <c r="O37" s="522"/>
      <c r="P37" s="522"/>
      <c r="Q37" s="522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522"/>
      <c r="P38" s="522"/>
      <c r="Q38" s="522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60000</v>
      </c>
      <c r="G39" s="102"/>
      <c r="H39" s="103"/>
      <c r="I39" s="104"/>
      <c r="J39" s="104">
        <f>J23</f>
        <v>60000</v>
      </c>
      <c r="K39" s="385"/>
      <c r="L39" s="104"/>
      <c r="M39" s="103"/>
      <c r="N39" s="105">
        <v>1346517.33</v>
      </c>
      <c r="O39" s="522"/>
      <c r="P39" s="522"/>
      <c r="Q39" s="522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2326000</v>
      </c>
      <c r="G40" s="102"/>
      <c r="H40" s="103">
        <f>H24</f>
        <v>2326000</v>
      </c>
      <c r="I40" s="104"/>
      <c r="J40" s="104"/>
      <c r="K40" s="385"/>
      <c r="L40" s="104"/>
      <c r="M40" s="103"/>
      <c r="N40" s="105">
        <v>11090000</v>
      </c>
      <c r="O40" s="522"/>
      <c r="P40" s="522"/>
      <c r="Q40" s="522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359000</v>
      </c>
      <c r="G41" s="102"/>
      <c r="H41" s="103">
        <f>H25</f>
        <v>249000</v>
      </c>
      <c r="I41" s="104"/>
      <c r="J41" s="104">
        <f>J25</f>
        <v>110000</v>
      </c>
      <c r="K41" s="385"/>
      <c r="L41" s="104"/>
      <c r="M41" s="103"/>
      <c r="N41" s="105">
        <v>1563553.44</v>
      </c>
      <c r="O41" s="522"/>
      <c r="P41" s="522"/>
      <c r="Q41" s="522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522"/>
      <c r="P42" s="522"/>
      <c r="Q42" s="522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47681000</v>
      </c>
      <c r="G43" s="102"/>
      <c r="H43" s="103">
        <v>47681000</v>
      </c>
      <c r="I43" s="104"/>
      <c r="J43" s="104"/>
      <c r="K43" s="385"/>
      <c r="L43" s="104"/>
      <c r="M43" s="103"/>
      <c r="N43" s="105">
        <v>39495146.22</v>
      </c>
      <c r="O43" s="522"/>
      <c r="P43" s="522"/>
      <c r="Q43" s="522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7337000</v>
      </c>
      <c r="G44" s="102"/>
      <c r="H44" s="106" t="s">
        <v>97</v>
      </c>
      <c r="I44" s="104">
        <v>6237000</v>
      </c>
      <c r="J44" s="104"/>
      <c r="K44" s="385"/>
      <c r="L44" s="104">
        <v>1100000</v>
      </c>
      <c r="M44" s="103"/>
      <c r="N44" s="105">
        <v>8752001.85</v>
      </c>
      <c r="O44" s="522"/>
      <c r="P44" s="522"/>
      <c r="Q44" s="522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9500000</v>
      </c>
      <c r="G45" s="108"/>
      <c r="H45" s="109">
        <v>9500000</v>
      </c>
      <c r="I45" s="110"/>
      <c r="J45" s="110"/>
      <c r="K45" s="386"/>
      <c r="L45" s="110"/>
      <c r="M45" s="109"/>
      <c r="N45" s="111">
        <v>22926275</v>
      </c>
      <c r="O45" s="522"/>
      <c r="P45" s="522"/>
      <c r="Q45" s="522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600000</v>
      </c>
      <c r="G46" s="113">
        <f>G29+G34+G38+G43+G44+G45+-G4-G27</f>
        <v>0</v>
      </c>
      <c r="H46" s="113">
        <f>H29+H34+H38+H43+H45-H4-H27</f>
        <v>600000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3285475.1199999973</v>
      </c>
      <c r="O46" s="522"/>
      <c r="P46" s="522"/>
      <c r="Q46" s="522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600000</v>
      </c>
      <c r="G47" s="81">
        <f aca="true" t="shared" si="4" ref="G47:N47">G28-G3</f>
        <v>0</v>
      </c>
      <c r="H47" s="82">
        <f t="shared" si="4"/>
        <v>600000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3285475.120000005</v>
      </c>
    </row>
    <row r="48" spans="1:5" ht="12.75">
      <c r="A48" s="47"/>
      <c r="B48" s="47"/>
      <c r="C48" s="47"/>
      <c r="D48" s="47"/>
      <c r="E48" s="48"/>
    </row>
    <row r="49" spans="5:17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22"/>
      <c r="Q49" s="522"/>
    </row>
    <row r="50" spans="1:17" s="47" customFormat="1" ht="12">
      <c r="A50" s="51" t="s">
        <v>98</v>
      </c>
      <c r="E50" s="48"/>
      <c r="F50" s="133"/>
      <c r="H50" s="59"/>
      <c r="I50" s="59"/>
      <c r="J50" s="122"/>
      <c r="M50" s="59"/>
      <c r="N50" s="59"/>
      <c r="O50" s="522"/>
      <c r="P50" s="522"/>
      <c r="Q50" s="522"/>
    </row>
    <row r="51" spans="5:17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522"/>
      <c r="P51" s="522"/>
      <c r="Q51" s="522"/>
    </row>
    <row r="52" spans="5:17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522"/>
      <c r="P52" s="522"/>
      <c r="Q52" s="522"/>
    </row>
    <row r="53" spans="5:17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522"/>
      <c r="P53" s="522"/>
      <c r="Q53" s="522"/>
    </row>
    <row r="54" spans="1:17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522"/>
      <c r="P54" s="522"/>
      <c r="Q54" s="522"/>
    </row>
    <row r="55" spans="1:17" s="59" customFormat="1" ht="12">
      <c r="A55" s="51"/>
      <c r="B55" s="51"/>
      <c r="C55" s="51"/>
      <c r="D55" s="51"/>
      <c r="E55" s="57"/>
      <c r="F55" s="25"/>
      <c r="O55" s="522"/>
      <c r="P55" s="522"/>
      <c r="Q55" s="522"/>
    </row>
    <row r="56" spans="1:17" s="59" customFormat="1" ht="12">
      <c r="A56" s="51"/>
      <c r="B56" s="51"/>
      <c r="C56" s="51"/>
      <c r="D56" s="51"/>
      <c r="E56" s="57"/>
      <c r="F56" s="25"/>
      <c r="O56" s="522"/>
      <c r="P56" s="522"/>
      <c r="Q56" s="522"/>
    </row>
    <row r="57" spans="1:17" s="59" customFormat="1" ht="12">
      <c r="A57" s="51"/>
      <c r="B57" s="51"/>
      <c r="C57" s="51"/>
      <c r="D57" s="51"/>
      <c r="E57" s="57"/>
      <c r="F57" s="25"/>
      <c r="O57" s="522"/>
      <c r="P57" s="522"/>
      <c r="Q57" s="522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5">
      <selection activeCell="E12" sqref="E12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375" style="25" customWidth="1"/>
    <col min="7" max="7" width="5.125" style="0" hidden="1" customWidth="1"/>
    <col min="8" max="8" width="11.75390625" style="59" customWidth="1"/>
    <col min="9" max="9" width="10.00390625" style="59" customWidth="1"/>
    <col min="10" max="12" width="8.00390625" style="59" customWidth="1"/>
    <col min="13" max="13" width="8.125" style="59" customWidth="1"/>
    <col min="14" max="14" width="9.625" style="59" customWidth="1"/>
    <col min="15" max="15" width="9.125" style="317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5" s="16" customFormat="1" ht="13.5" thickBot="1">
      <c r="A2" s="6" t="s">
        <v>134</v>
      </c>
      <c r="B2" s="7"/>
      <c r="C2" s="550" t="s">
        <v>94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7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30247000</v>
      </c>
      <c r="G3" s="81">
        <f aca="true" t="shared" si="0" ref="G3:M3">SUM(G5:G27)</f>
        <v>0</v>
      </c>
      <c r="H3" s="82">
        <f t="shared" si="0"/>
        <v>29859000</v>
      </c>
      <c r="I3" s="83">
        <f t="shared" si="0"/>
        <v>0</v>
      </c>
      <c r="J3" s="83">
        <f t="shared" si="0"/>
        <v>68000</v>
      </c>
      <c r="K3" s="381">
        <f t="shared" si="0"/>
        <v>0</v>
      </c>
      <c r="L3" s="83">
        <f t="shared" si="0"/>
        <v>320000</v>
      </c>
      <c r="M3" s="82">
        <f t="shared" si="0"/>
        <v>0</v>
      </c>
      <c r="N3" s="84">
        <f>SUM(N5:N27)</f>
        <v>30554251.740000006</v>
      </c>
    </row>
    <row r="4" spans="1:15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30179000</v>
      </c>
      <c r="G4" s="86">
        <f aca="true" t="shared" si="1" ref="G4:N4">SUM(G5:G15)</f>
        <v>0</v>
      </c>
      <c r="H4" s="87">
        <f t="shared" si="1"/>
        <v>29859000</v>
      </c>
      <c r="I4" s="88">
        <f t="shared" si="1"/>
        <v>0</v>
      </c>
      <c r="J4" s="88">
        <f t="shared" si="1"/>
        <v>0</v>
      </c>
      <c r="K4" s="382">
        <f t="shared" si="1"/>
        <v>0</v>
      </c>
      <c r="L4" s="88">
        <f t="shared" si="1"/>
        <v>320000</v>
      </c>
      <c r="M4" s="87">
        <f t="shared" si="1"/>
        <v>0</v>
      </c>
      <c r="N4" s="89">
        <f t="shared" si="1"/>
        <v>29029643.220000006</v>
      </c>
      <c r="O4" s="317"/>
    </row>
    <row r="5" spans="1:15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20110000</v>
      </c>
      <c r="G5" s="91"/>
      <c r="H5" s="77">
        <v>20110000</v>
      </c>
      <c r="I5" s="92"/>
      <c r="J5" s="93"/>
      <c r="K5" s="383"/>
      <c r="L5" s="93"/>
      <c r="M5" s="94"/>
      <c r="N5" s="115">
        <v>19510148.8</v>
      </c>
      <c r="O5" s="319"/>
    </row>
    <row r="6" spans="1:15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930000</v>
      </c>
      <c r="G6" s="91"/>
      <c r="H6" s="78">
        <v>930000</v>
      </c>
      <c r="I6" s="92"/>
      <c r="J6" s="93"/>
      <c r="K6" s="383"/>
      <c r="L6" s="93"/>
      <c r="M6" s="94"/>
      <c r="N6" s="115">
        <v>879520</v>
      </c>
      <c r="O6" s="319"/>
    </row>
    <row r="7" spans="1:15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7500000</v>
      </c>
      <c r="G7" s="91"/>
      <c r="H7" s="78">
        <v>7500000</v>
      </c>
      <c r="I7" s="92"/>
      <c r="J7" s="93"/>
      <c r="K7" s="383"/>
      <c r="L7" s="93"/>
      <c r="M7" s="94"/>
      <c r="N7" s="115">
        <v>7458595.33</v>
      </c>
      <c r="O7" s="319"/>
    </row>
    <row r="8" spans="1:15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83000</v>
      </c>
      <c r="G8" s="91"/>
      <c r="H8" s="78">
        <v>83000</v>
      </c>
      <c r="I8" s="92"/>
      <c r="J8" s="93"/>
      <c r="K8" s="383"/>
      <c r="L8" s="93"/>
      <c r="M8" s="94"/>
      <c r="N8" s="115">
        <v>67847.23</v>
      </c>
      <c r="O8" s="319"/>
    </row>
    <row r="9" spans="1:15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70000</v>
      </c>
      <c r="G9" s="91"/>
      <c r="H9" s="78">
        <v>70000</v>
      </c>
      <c r="I9" s="92"/>
      <c r="J9" s="93"/>
      <c r="K9" s="383"/>
      <c r="L9" s="93"/>
      <c r="M9" s="94"/>
      <c r="N9" s="115">
        <v>28925</v>
      </c>
      <c r="O9" s="319"/>
    </row>
    <row r="10" spans="1:15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900000</v>
      </c>
      <c r="G10" s="91"/>
      <c r="H10" s="78">
        <v>900000</v>
      </c>
      <c r="I10" s="92"/>
      <c r="J10" s="93"/>
      <c r="K10" s="383"/>
      <c r="L10" s="93"/>
      <c r="M10" s="94"/>
      <c r="N10" s="115">
        <v>840973.32</v>
      </c>
      <c r="O10" s="319"/>
    </row>
    <row r="11" spans="1:15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176000</v>
      </c>
      <c r="G11" s="91"/>
      <c r="H11" s="78">
        <v>176000</v>
      </c>
      <c r="I11" s="92"/>
      <c r="J11" s="93"/>
      <c r="K11" s="383"/>
      <c r="L11" s="93"/>
      <c r="M11" s="94"/>
      <c r="N11" s="115">
        <v>259841.1</v>
      </c>
      <c r="O11" s="319"/>
    </row>
    <row r="12" spans="1:15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80000</v>
      </c>
      <c r="G12" s="91"/>
      <c r="H12" s="78">
        <v>80000</v>
      </c>
      <c r="I12" s="92"/>
      <c r="J12" s="93"/>
      <c r="K12" s="383"/>
      <c r="L12" s="93"/>
      <c r="M12" s="94"/>
      <c r="N12" s="115">
        <v>53486.59</v>
      </c>
      <c r="O12" s="319"/>
    </row>
    <row r="13" spans="1:15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165000</v>
      </c>
      <c r="G13" s="91"/>
      <c r="H13" s="78">
        <v>165000</v>
      </c>
      <c r="I13" s="92"/>
      <c r="J13" s="93"/>
      <c r="K13" s="383"/>
      <c r="L13" s="93"/>
      <c r="M13" s="94"/>
      <c r="N13" s="115">
        <v>81230</v>
      </c>
      <c r="O13" s="319"/>
    </row>
    <row r="14" spans="1:15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0</v>
      </c>
      <c r="G14" s="91"/>
      <c r="H14" s="78"/>
      <c r="I14" s="92"/>
      <c r="J14" s="93"/>
      <c r="K14" s="383"/>
      <c r="L14" s="93"/>
      <c r="M14" s="94"/>
      <c r="N14" s="115"/>
      <c r="O14" s="319"/>
    </row>
    <row r="15" spans="1:15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165000</v>
      </c>
      <c r="G15" s="91"/>
      <c r="H15" s="432">
        <v>-155000</v>
      </c>
      <c r="I15" s="92"/>
      <c r="J15" s="93"/>
      <c r="K15" s="383"/>
      <c r="L15" s="93">
        <f>L44</f>
        <v>320000</v>
      </c>
      <c r="M15" s="94"/>
      <c r="N15" s="115">
        <v>-150924.15</v>
      </c>
      <c r="O15" s="319"/>
    </row>
    <row r="16" spans="1:15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15"/>
      <c r="O16" s="317"/>
    </row>
    <row r="17" spans="1:15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115"/>
      <c r="O17" s="317"/>
    </row>
    <row r="18" spans="1:15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0</v>
      </c>
      <c r="G18" s="97"/>
      <c r="H18" s="98"/>
      <c r="I18" s="98"/>
      <c r="J18" s="99"/>
      <c r="K18" s="384"/>
      <c r="L18" s="99"/>
      <c r="M18" s="100"/>
      <c r="N18" s="115">
        <v>205500</v>
      </c>
      <c r="O18" s="317"/>
    </row>
    <row r="19" spans="1:15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317"/>
    </row>
    <row r="20" spans="1:15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101">
        <v>29507</v>
      </c>
      <c r="O20" s="317"/>
    </row>
    <row r="21" spans="1:15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317"/>
    </row>
    <row r="22" spans="1:15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68000</v>
      </c>
      <c r="G22" s="97"/>
      <c r="H22" s="76"/>
      <c r="I22" s="79"/>
      <c r="J22" s="79">
        <f>J37</f>
        <v>68000</v>
      </c>
      <c r="K22" s="394"/>
      <c r="L22" s="79"/>
      <c r="M22" s="165"/>
      <c r="N22" s="115">
        <v>1289601.52</v>
      </c>
      <c r="O22" s="317"/>
    </row>
    <row r="23" spans="1:15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317"/>
    </row>
    <row r="24" spans="1:15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0</v>
      </c>
      <c r="G24" s="97"/>
      <c r="H24" s="100"/>
      <c r="I24" s="99"/>
      <c r="J24" s="99"/>
      <c r="K24" s="384"/>
      <c r="L24" s="99"/>
      <c r="M24" s="100"/>
      <c r="N24" s="115"/>
      <c r="O24" s="317"/>
    </row>
    <row r="25" spans="1:15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317"/>
    </row>
    <row r="26" spans="1:15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317"/>
    </row>
    <row r="27" spans="1:15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0</v>
      </c>
      <c r="G27" s="97"/>
      <c r="H27" s="100"/>
      <c r="I27" s="99"/>
      <c r="J27" s="99"/>
      <c r="K27" s="384"/>
      <c r="L27" s="99"/>
      <c r="M27" s="100"/>
      <c r="N27" s="101"/>
      <c r="O27" s="31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30335000</v>
      </c>
      <c r="G28" s="81">
        <f aca="true" t="shared" si="3" ref="G28:N28">SUM(G29:G45)</f>
        <v>0</v>
      </c>
      <c r="H28" s="82">
        <f t="shared" si="3"/>
        <v>29947000</v>
      </c>
      <c r="I28" s="83">
        <f t="shared" si="3"/>
        <v>0</v>
      </c>
      <c r="J28" s="83">
        <f t="shared" si="3"/>
        <v>68000</v>
      </c>
      <c r="K28" s="381">
        <f t="shared" si="3"/>
        <v>0</v>
      </c>
      <c r="L28" s="83">
        <f t="shared" si="3"/>
        <v>320000</v>
      </c>
      <c r="M28" s="82">
        <f t="shared" si="3"/>
        <v>0</v>
      </c>
      <c r="N28" s="84">
        <f t="shared" si="3"/>
        <v>30641682.29</v>
      </c>
    </row>
    <row r="29" spans="1:15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29689000</v>
      </c>
      <c r="G29" s="86"/>
      <c r="H29" s="76">
        <v>29689000</v>
      </c>
      <c r="I29" s="116"/>
      <c r="J29" s="116"/>
      <c r="K29" s="401"/>
      <c r="L29" s="116"/>
      <c r="M29" s="117"/>
      <c r="N29" s="118">
        <v>28604000</v>
      </c>
      <c r="O29" s="320"/>
    </row>
    <row r="30" spans="1:15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317"/>
    </row>
    <row r="31" spans="1:15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105"/>
      <c r="O31" s="317"/>
    </row>
    <row r="32" spans="1:15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0</v>
      </c>
      <c r="G32" s="102"/>
      <c r="H32" s="103"/>
      <c r="I32" s="104"/>
      <c r="J32" s="104"/>
      <c r="K32" s="385"/>
      <c r="L32" s="104"/>
      <c r="M32" s="103"/>
      <c r="N32" s="119">
        <v>205500</v>
      </c>
      <c r="O32" s="317"/>
    </row>
    <row r="33" spans="1:15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317"/>
    </row>
    <row r="34" spans="1:15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317"/>
    </row>
    <row r="35" spans="1:15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>
        <v>29507</v>
      </c>
      <c r="O35" s="317"/>
    </row>
    <row r="36" spans="1:15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317"/>
    </row>
    <row r="37" spans="1:15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68000</v>
      </c>
      <c r="G37" s="102"/>
      <c r="H37" s="76"/>
      <c r="I37" s="120"/>
      <c r="J37" s="120">
        <v>68000</v>
      </c>
      <c r="K37" s="322"/>
      <c r="L37" s="120"/>
      <c r="M37" s="121"/>
      <c r="N37" s="119">
        <v>1289601.52</v>
      </c>
      <c r="O37" s="317"/>
    </row>
    <row r="38" spans="1:15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21"/>
      <c r="I38" s="120"/>
      <c r="J38" s="120"/>
      <c r="K38" s="322"/>
      <c r="L38" s="120"/>
      <c r="M38" s="121"/>
      <c r="N38" s="119"/>
      <c r="O38" s="320"/>
    </row>
    <row r="39" spans="1:15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21"/>
      <c r="I39" s="120"/>
      <c r="J39" s="120"/>
      <c r="K39" s="322"/>
      <c r="L39" s="120"/>
      <c r="M39" s="121"/>
      <c r="N39" s="119"/>
      <c r="O39" s="317"/>
    </row>
    <row r="40" spans="1:15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0</v>
      </c>
      <c r="G40" s="102"/>
      <c r="H40" s="121"/>
      <c r="I40" s="120"/>
      <c r="J40" s="120"/>
      <c r="K40" s="322"/>
      <c r="L40" s="120"/>
      <c r="M40" s="121"/>
      <c r="N40" s="119"/>
      <c r="O40" s="317"/>
    </row>
    <row r="41" spans="1:15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21"/>
      <c r="I41" s="120"/>
      <c r="J41" s="120"/>
      <c r="K41" s="322"/>
      <c r="L41" s="120"/>
      <c r="M41" s="121"/>
      <c r="N41" s="119"/>
      <c r="O41" s="317"/>
    </row>
    <row r="42" spans="1:15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21"/>
      <c r="I42" s="120"/>
      <c r="J42" s="120"/>
      <c r="K42" s="322"/>
      <c r="L42" s="120"/>
      <c r="M42" s="121"/>
      <c r="N42" s="119"/>
      <c r="O42" s="317"/>
    </row>
    <row r="43" spans="1:15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258000</v>
      </c>
      <c r="G43" s="102"/>
      <c r="H43" s="76">
        <v>258000</v>
      </c>
      <c r="I43" s="120"/>
      <c r="J43" s="120"/>
      <c r="K43" s="322"/>
      <c r="L43" s="120"/>
      <c r="M43" s="121"/>
      <c r="N43" s="119">
        <v>212647.57</v>
      </c>
      <c r="O43" s="317"/>
    </row>
    <row r="44" spans="1:15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320000</v>
      </c>
      <c r="G44" s="102"/>
      <c r="H44" s="106" t="s">
        <v>97</v>
      </c>
      <c r="I44" s="120"/>
      <c r="J44" s="120"/>
      <c r="K44" s="322"/>
      <c r="L44" s="120">
        <v>320000</v>
      </c>
      <c r="M44" s="121"/>
      <c r="N44" s="119">
        <v>300426.2</v>
      </c>
      <c r="O44" s="317"/>
    </row>
    <row r="45" spans="1:15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0</v>
      </c>
      <c r="G45" s="108"/>
      <c r="H45" s="109"/>
      <c r="I45" s="110"/>
      <c r="J45" s="110"/>
      <c r="K45" s="386"/>
      <c r="L45" s="110"/>
      <c r="M45" s="109"/>
      <c r="N45" s="111"/>
      <c r="O45" s="317"/>
    </row>
    <row r="46" spans="1:15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88000</v>
      </c>
      <c r="G46" s="113">
        <f>G29+G34+G38+G43+G44+G45+-G4-G27</f>
        <v>0</v>
      </c>
      <c r="H46" s="113">
        <f>H29+H34+H38+H43+H45-H4-H27</f>
        <v>88000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87430.5499999933</v>
      </c>
      <c r="O46" s="31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88000</v>
      </c>
      <c r="G47" s="81">
        <f aca="true" t="shared" si="4" ref="G47:N47">G28-G3</f>
        <v>0</v>
      </c>
      <c r="H47" s="82">
        <f t="shared" si="4"/>
        <v>88000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87430.5499999933</v>
      </c>
    </row>
    <row r="48" spans="1:5" ht="12.75">
      <c r="A48" s="47"/>
      <c r="B48" s="47"/>
      <c r="C48" s="47"/>
      <c r="D48" s="47"/>
      <c r="E48" s="48"/>
    </row>
    <row r="49" spans="5:15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317"/>
    </row>
    <row r="50" spans="1:15" s="47" customFormat="1" ht="12">
      <c r="A50" s="51" t="s">
        <v>98</v>
      </c>
      <c r="E50" s="48"/>
      <c r="F50" s="133"/>
      <c r="H50" s="59"/>
      <c r="J50" s="122"/>
      <c r="M50" s="59"/>
      <c r="N50" s="59"/>
      <c r="O50" s="317"/>
    </row>
    <row r="51" spans="5:15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317"/>
    </row>
    <row r="52" spans="5:15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317"/>
    </row>
    <row r="53" spans="5:15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317"/>
    </row>
    <row r="54" spans="1:15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317"/>
    </row>
    <row r="55" spans="1:15" s="59" customFormat="1" ht="12">
      <c r="A55" s="51"/>
      <c r="B55" s="51"/>
      <c r="C55" s="51"/>
      <c r="D55" s="51"/>
      <c r="E55" s="57"/>
      <c r="F55" s="25"/>
      <c r="O55" s="317"/>
    </row>
    <row r="56" spans="1:15" s="59" customFormat="1" ht="12">
      <c r="A56" s="51"/>
      <c r="B56" s="51"/>
      <c r="C56" s="51"/>
      <c r="D56" s="51"/>
      <c r="E56" s="57"/>
      <c r="F56" s="25"/>
      <c r="O56" s="317"/>
    </row>
    <row r="57" spans="1:15" s="59" customFormat="1" ht="12">
      <c r="A57" s="51"/>
      <c r="B57" s="51"/>
      <c r="C57" s="51"/>
      <c r="D57" s="51"/>
      <c r="E57" s="57"/>
      <c r="F57" s="25"/>
      <c r="O57" s="317"/>
    </row>
  </sheetData>
  <mergeCells count="3">
    <mergeCell ref="A1:D1"/>
    <mergeCell ref="I1:M1"/>
    <mergeCell ref="C2:D2"/>
  </mergeCells>
  <printOptions horizontalCentered="1" verticalCentered="1"/>
  <pageMargins left="0.5905511811023623" right="0.2755905511811024" top="0.4724409448818898" bottom="0.35433070866141736" header="0.1968503937007874" footer="0.2755905511811024"/>
  <pageSetup horizontalDpi="600" verticalDpi="600" orientation="landscape" paperSize="9" scale="9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D6" sqref="D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00390625" style="25" customWidth="1"/>
    <col min="7" max="7" width="5.125" style="0" hidden="1" customWidth="1"/>
    <col min="8" max="8" width="11.75390625" style="59" customWidth="1"/>
    <col min="9" max="9" width="10.00390625" style="59" customWidth="1"/>
    <col min="10" max="10" width="8.625" style="59" customWidth="1"/>
    <col min="11" max="12" width="8.00390625" style="59" customWidth="1"/>
    <col min="13" max="13" width="8.125" style="59" customWidth="1"/>
    <col min="14" max="14" width="9.625" style="59" customWidth="1"/>
    <col min="15" max="15" width="6.375" style="522" customWidth="1"/>
    <col min="16" max="16" width="6.875" style="522" customWidth="1"/>
    <col min="17" max="17" width="7.375" style="522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6" t="s">
        <v>134</v>
      </c>
      <c r="B2" s="7"/>
      <c r="C2" s="550" t="s">
        <v>95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2"/>
      <c r="Q2" s="522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84267000</v>
      </c>
      <c r="G3" s="81">
        <f aca="true" t="shared" si="0" ref="G3:M3">SUM(G5:G27)</f>
        <v>0</v>
      </c>
      <c r="H3" s="82">
        <f t="shared" si="0"/>
        <v>72760000</v>
      </c>
      <c r="I3" s="83">
        <f t="shared" si="0"/>
        <v>1000</v>
      </c>
      <c r="J3" s="83">
        <f t="shared" si="0"/>
        <v>11411000</v>
      </c>
      <c r="K3" s="381">
        <f t="shared" si="0"/>
        <v>0</v>
      </c>
      <c r="L3" s="83">
        <f t="shared" si="0"/>
        <v>86000</v>
      </c>
      <c r="M3" s="82">
        <f t="shared" si="0"/>
        <v>9000</v>
      </c>
      <c r="N3" s="84">
        <f>SUM(N5:N27)</f>
        <v>81048334.66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13667000</v>
      </c>
      <c r="G4" s="86">
        <f aca="true" t="shared" si="1" ref="G4:N4">SUM(G5:G15)</f>
        <v>0</v>
      </c>
      <c r="H4" s="137">
        <f t="shared" si="1"/>
        <v>13317000</v>
      </c>
      <c r="I4" s="137">
        <f t="shared" si="1"/>
        <v>1000</v>
      </c>
      <c r="J4" s="88">
        <f t="shared" si="1"/>
        <v>254000</v>
      </c>
      <c r="K4" s="382">
        <f t="shared" si="1"/>
        <v>0</v>
      </c>
      <c r="L4" s="88">
        <f t="shared" si="1"/>
        <v>86000</v>
      </c>
      <c r="M4" s="87">
        <f t="shared" si="1"/>
        <v>9000</v>
      </c>
      <c r="N4" s="89">
        <f t="shared" si="1"/>
        <v>13162103.879999999</v>
      </c>
      <c r="O4" s="522"/>
      <c r="P4" s="522"/>
      <c r="Q4" s="522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5420000</v>
      </c>
      <c r="G5" s="91"/>
      <c r="H5" s="138">
        <v>5420000</v>
      </c>
      <c r="I5" s="98"/>
      <c r="J5" s="99"/>
      <c r="K5" s="384"/>
      <c r="L5" s="99"/>
      <c r="M5" s="100"/>
      <c r="N5" s="101">
        <v>5263688</v>
      </c>
      <c r="O5" s="528"/>
      <c r="P5" s="528"/>
      <c r="Q5" s="528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190000</v>
      </c>
      <c r="G6" s="91"/>
      <c r="H6" s="138">
        <v>190000</v>
      </c>
      <c r="I6" s="98"/>
      <c r="J6" s="99"/>
      <c r="K6" s="384"/>
      <c r="L6" s="99"/>
      <c r="M6" s="100"/>
      <c r="N6" s="101">
        <v>196248</v>
      </c>
      <c r="O6" s="528"/>
      <c r="P6" s="528"/>
      <c r="Q6" s="528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1951000</v>
      </c>
      <c r="G7" s="91"/>
      <c r="H7" s="138">
        <v>1951000</v>
      </c>
      <c r="I7" s="98"/>
      <c r="J7" s="99"/>
      <c r="K7" s="384"/>
      <c r="L7" s="99"/>
      <c r="M7" s="100"/>
      <c r="N7" s="101">
        <v>1943702.52</v>
      </c>
      <c r="O7" s="528"/>
      <c r="P7" s="528"/>
      <c r="Q7" s="528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90000</v>
      </c>
      <c r="G8" s="91"/>
      <c r="H8" s="138">
        <v>90000</v>
      </c>
      <c r="I8" s="98"/>
      <c r="J8" s="99"/>
      <c r="K8" s="384"/>
      <c r="L8" s="99"/>
      <c r="M8" s="100"/>
      <c r="N8" s="101">
        <v>87914.88</v>
      </c>
      <c r="O8" s="528"/>
      <c r="P8" s="528"/>
      <c r="Q8" s="528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10000</v>
      </c>
      <c r="G9" s="91"/>
      <c r="H9" s="138">
        <v>10000</v>
      </c>
      <c r="I9" s="98"/>
      <c r="J9" s="99"/>
      <c r="K9" s="384"/>
      <c r="L9" s="99"/>
      <c r="M9" s="100"/>
      <c r="N9" s="101">
        <v>3475</v>
      </c>
      <c r="O9" s="528"/>
      <c r="P9" s="528"/>
      <c r="Q9" s="528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460000</v>
      </c>
      <c r="G10" s="91"/>
      <c r="H10" s="138">
        <v>460000</v>
      </c>
      <c r="I10" s="98"/>
      <c r="J10" s="99"/>
      <c r="K10" s="384"/>
      <c r="L10" s="99"/>
      <c r="M10" s="100"/>
      <c r="N10" s="101">
        <v>516203.79</v>
      </c>
      <c r="O10" s="528"/>
      <c r="P10" s="528"/>
      <c r="Q10" s="528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1440000</v>
      </c>
      <c r="G11" s="91"/>
      <c r="H11" s="138">
        <v>1440000</v>
      </c>
      <c r="I11" s="98"/>
      <c r="J11" s="99"/>
      <c r="K11" s="384"/>
      <c r="L11" s="99"/>
      <c r="M11" s="100"/>
      <c r="N11" s="101">
        <v>1323972.12</v>
      </c>
      <c r="O11" s="528"/>
      <c r="P11" s="528"/>
      <c r="Q11" s="528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1028000</v>
      </c>
      <c r="G12" s="91"/>
      <c r="H12" s="138">
        <v>1028000</v>
      </c>
      <c r="I12" s="98"/>
      <c r="J12" s="99"/>
      <c r="K12" s="384"/>
      <c r="L12" s="99"/>
      <c r="M12" s="100"/>
      <c r="N12" s="101">
        <v>941164.11</v>
      </c>
      <c r="O12" s="528"/>
      <c r="P12" s="528"/>
      <c r="Q12" s="528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100000</v>
      </c>
      <c r="G13" s="91"/>
      <c r="H13" s="138">
        <v>100000</v>
      </c>
      <c r="I13" s="98"/>
      <c r="J13" s="99"/>
      <c r="K13" s="384"/>
      <c r="L13" s="99"/>
      <c r="M13" s="100"/>
      <c r="N13" s="101">
        <v>91944</v>
      </c>
      <c r="O13" s="528"/>
      <c r="P13" s="528"/>
      <c r="Q13" s="528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1611000</v>
      </c>
      <c r="G14" s="91"/>
      <c r="H14" s="98">
        <v>1348000</v>
      </c>
      <c r="I14" s="98"/>
      <c r="J14" s="98">
        <v>254000</v>
      </c>
      <c r="K14" s="384"/>
      <c r="L14" s="99"/>
      <c r="M14" s="100">
        <v>9000</v>
      </c>
      <c r="N14" s="101">
        <v>1539886.41</v>
      </c>
      <c r="O14" s="528"/>
      <c r="P14" s="528"/>
      <c r="Q14" s="528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36">
        <f t="shared" si="2"/>
        <v>1367000</v>
      </c>
      <c r="G15" s="91"/>
      <c r="H15" s="98">
        <v>1280000</v>
      </c>
      <c r="I15" s="98">
        <v>1000</v>
      </c>
      <c r="J15" s="99"/>
      <c r="K15" s="384"/>
      <c r="L15" s="99">
        <v>86000</v>
      </c>
      <c r="M15" s="100"/>
      <c r="N15" s="101">
        <v>1253905.05</v>
      </c>
      <c r="O15" s="528"/>
      <c r="P15" s="528"/>
      <c r="Q15" s="528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522"/>
      <c r="P16" s="522"/>
      <c r="Q16" s="522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31000000</v>
      </c>
      <c r="G17" s="97"/>
      <c r="H17" s="98">
        <v>30055000</v>
      </c>
      <c r="I17" s="98"/>
      <c r="J17" s="98">
        <v>945000</v>
      </c>
      <c r="K17" s="384"/>
      <c r="L17" s="99"/>
      <c r="M17" s="100"/>
      <c r="N17" s="101">
        <v>28878701.48</v>
      </c>
      <c r="O17" s="522"/>
      <c r="P17" s="522"/>
      <c r="Q17" s="522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6500000</v>
      </c>
      <c r="G18" s="97"/>
      <c r="H18" s="98">
        <v>6500000</v>
      </c>
      <c r="I18" s="98"/>
      <c r="J18" s="99"/>
      <c r="K18" s="384"/>
      <c r="L18" s="99"/>
      <c r="M18" s="100"/>
      <c r="N18" s="101">
        <v>6000000</v>
      </c>
      <c r="O18" s="522"/>
      <c r="P18" s="522"/>
      <c r="Q18" s="522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522"/>
      <c r="P19" s="522"/>
      <c r="Q19" s="522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100000</v>
      </c>
      <c r="G20" s="97"/>
      <c r="H20" s="98">
        <v>100000</v>
      </c>
      <c r="I20" s="98"/>
      <c r="J20" s="99"/>
      <c r="K20" s="384"/>
      <c r="L20" s="99"/>
      <c r="M20" s="100"/>
      <c r="N20" s="101">
        <v>100000</v>
      </c>
      <c r="O20" s="522"/>
      <c r="P20" s="522"/>
      <c r="Q20" s="522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522"/>
      <c r="P21" s="522"/>
      <c r="Q21" s="522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33000000</v>
      </c>
      <c r="G22" s="97"/>
      <c r="H22" s="100">
        <v>22788000</v>
      </c>
      <c r="I22" s="99"/>
      <c r="J22" s="99">
        <v>10212000</v>
      </c>
      <c r="K22" s="384"/>
      <c r="L22" s="99"/>
      <c r="M22" s="100"/>
      <c r="N22" s="124">
        <v>32907529.3</v>
      </c>
      <c r="O22" s="522"/>
      <c r="P22" s="522"/>
      <c r="Q22" s="522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522"/>
      <c r="P23" s="522"/>
      <c r="Q23" s="522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0</v>
      </c>
      <c r="G24" s="97"/>
      <c r="H24" s="100"/>
      <c r="I24" s="99"/>
      <c r="J24" s="99"/>
      <c r="K24" s="384"/>
      <c r="L24" s="99"/>
      <c r="M24" s="100"/>
      <c r="N24" s="101"/>
      <c r="O24" s="522"/>
      <c r="P24" s="522"/>
      <c r="Q24" s="522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522"/>
      <c r="P25" s="522"/>
      <c r="Q25" s="522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522"/>
      <c r="P26" s="522"/>
      <c r="Q26" s="522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0</v>
      </c>
      <c r="G27" s="97"/>
      <c r="H27" s="100"/>
      <c r="I27" s="99"/>
      <c r="J27" s="99"/>
      <c r="K27" s="384"/>
      <c r="L27" s="99"/>
      <c r="M27" s="100"/>
      <c r="N27" s="101"/>
      <c r="O27" s="522"/>
      <c r="P27" s="522"/>
      <c r="Q27" s="522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84846000</v>
      </c>
      <c r="G28" s="81">
        <f aca="true" t="shared" si="3" ref="G28:N28">SUM(G29:G45)</f>
        <v>0</v>
      </c>
      <c r="H28" s="82">
        <f t="shared" si="3"/>
        <v>73339000</v>
      </c>
      <c r="I28" s="83">
        <f t="shared" si="3"/>
        <v>1000</v>
      </c>
      <c r="J28" s="83">
        <f t="shared" si="3"/>
        <v>11411000</v>
      </c>
      <c r="K28" s="381">
        <f t="shared" si="3"/>
        <v>0</v>
      </c>
      <c r="L28" s="83">
        <f t="shared" si="3"/>
        <v>86000</v>
      </c>
      <c r="M28" s="82">
        <f t="shared" si="3"/>
        <v>9000</v>
      </c>
      <c r="N28" s="84">
        <f t="shared" si="3"/>
        <v>81059502.78999999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8630000</v>
      </c>
      <c r="G29" s="86"/>
      <c r="H29" s="87">
        <v>8630000</v>
      </c>
      <c r="I29" s="88"/>
      <c r="J29" s="88"/>
      <c r="K29" s="382"/>
      <c r="L29" s="88"/>
      <c r="M29" s="87"/>
      <c r="N29" s="89">
        <v>8405000</v>
      </c>
      <c r="O29" s="522"/>
      <c r="P29" s="522"/>
      <c r="Q29" s="522"/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522"/>
      <c r="P30" s="522"/>
      <c r="Q30" s="522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31000000</v>
      </c>
      <c r="G31" s="102"/>
      <c r="H31" s="103">
        <f>H17</f>
        <v>30055000</v>
      </c>
      <c r="I31" s="104"/>
      <c r="J31" s="104">
        <v>945000</v>
      </c>
      <c r="K31" s="385"/>
      <c r="L31" s="104"/>
      <c r="M31" s="103"/>
      <c r="N31" s="105">
        <v>28878701.48</v>
      </c>
      <c r="O31" s="522"/>
      <c r="P31" s="522"/>
      <c r="Q31" s="522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6500000</v>
      </c>
      <c r="G32" s="102"/>
      <c r="H32" s="103">
        <f>H18</f>
        <v>6500000</v>
      </c>
      <c r="I32" s="104"/>
      <c r="J32" s="104"/>
      <c r="K32" s="385"/>
      <c r="L32" s="104"/>
      <c r="M32" s="103"/>
      <c r="N32" s="105">
        <v>6000000</v>
      </c>
      <c r="O32" s="522"/>
      <c r="P32" s="539">
        <f>H32-Q32*1000</f>
        <v>0</v>
      </c>
      <c r="Q32" s="522">
        <v>6500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522"/>
      <c r="P33" s="522"/>
      <c r="Q33" s="522"/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22"/>
      <c r="Q34" s="522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100000</v>
      </c>
      <c r="G35" s="102"/>
      <c r="H35" s="103">
        <f>H20</f>
        <v>100000</v>
      </c>
      <c r="I35" s="104"/>
      <c r="J35" s="104"/>
      <c r="K35" s="385"/>
      <c r="L35" s="104"/>
      <c r="M35" s="103"/>
      <c r="N35" s="105">
        <v>100000</v>
      </c>
      <c r="O35" s="522"/>
      <c r="P35" s="522"/>
      <c r="Q35" s="522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>
        <f>H21</f>
        <v>0</v>
      </c>
      <c r="I36" s="104"/>
      <c r="J36" s="104"/>
      <c r="K36" s="385"/>
      <c r="L36" s="104"/>
      <c r="M36" s="103"/>
      <c r="N36" s="74"/>
      <c r="O36" s="522"/>
      <c r="P36" s="522"/>
      <c r="Q36" s="522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33000000</v>
      </c>
      <c r="G37" s="102"/>
      <c r="H37" s="103">
        <f>H22</f>
        <v>22788000</v>
      </c>
      <c r="I37" s="104"/>
      <c r="J37" s="99">
        <v>10212000</v>
      </c>
      <c r="K37" s="385"/>
      <c r="L37" s="104"/>
      <c r="M37" s="103"/>
      <c r="N37" s="105">
        <v>32907529.3</v>
      </c>
      <c r="O37" s="522"/>
      <c r="P37" s="522"/>
      <c r="Q37" s="522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522"/>
      <c r="P38" s="522"/>
      <c r="Q38" s="522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522"/>
      <c r="P39" s="522"/>
      <c r="Q39" s="522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0</v>
      </c>
      <c r="G40" s="102"/>
      <c r="H40" s="103"/>
      <c r="I40" s="104"/>
      <c r="J40" s="104"/>
      <c r="K40" s="385"/>
      <c r="L40" s="104"/>
      <c r="M40" s="103"/>
      <c r="N40" s="105"/>
      <c r="O40" s="522"/>
      <c r="P40" s="522"/>
      <c r="Q40" s="522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03"/>
      <c r="I41" s="104"/>
      <c r="J41" s="104"/>
      <c r="K41" s="385"/>
      <c r="L41" s="104"/>
      <c r="M41" s="103"/>
      <c r="N41" s="105"/>
      <c r="O41" s="522"/>
      <c r="P41" s="522"/>
      <c r="Q41" s="522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522"/>
      <c r="P42" s="522"/>
      <c r="Q42" s="522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5">
        <f t="shared" si="2"/>
        <v>5520000</v>
      </c>
      <c r="G43" s="102"/>
      <c r="H43" s="103">
        <v>5266000</v>
      </c>
      <c r="I43" s="104"/>
      <c r="J43" s="98">
        <v>254000</v>
      </c>
      <c r="K43" s="385"/>
      <c r="L43" s="104"/>
      <c r="M43" s="103"/>
      <c r="N43" s="105">
        <v>4632693.96</v>
      </c>
      <c r="O43" s="522"/>
      <c r="P43" s="522"/>
      <c r="Q43" s="522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96000</v>
      </c>
      <c r="G44" s="102"/>
      <c r="H44" s="313" t="s">
        <v>97</v>
      </c>
      <c r="I44" s="104">
        <f>I15</f>
        <v>1000</v>
      </c>
      <c r="J44" s="104"/>
      <c r="K44" s="385"/>
      <c r="L44" s="104">
        <v>86000</v>
      </c>
      <c r="M44" s="103">
        <v>9000</v>
      </c>
      <c r="N44" s="105">
        <v>135578.05</v>
      </c>
      <c r="O44" s="522"/>
      <c r="P44" s="522"/>
      <c r="Q44" s="522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0</v>
      </c>
      <c r="G45" s="108"/>
      <c r="H45" s="109"/>
      <c r="I45" s="110"/>
      <c r="J45" s="110"/>
      <c r="K45" s="386"/>
      <c r="L45" s="110"/>
      <c r="M45" s="109"/>
      <c r="N45" s="111"/>
      <c r="O45" s="522"/>
      <c r="P45" s="522"/>
      <c r="Q45" s="522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579000</v>
      </c>
      <c r="G46" s="113">
        <f>G29+G34+G38+G43+G44+G45+-G4-G27</f>
        <v>0</v>
      </c>
      <c r="H46" s="113">
        <f>H29+H34+H38+H43+H45-H4-H27</f>
        <v>579000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11168.130000002682</v>
      </c>
      <c r="O46" s="522"/>
      <c r="P46" s="522"/>
      <c r="Q46" s="522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579000</v>
      </c>
      <c r="G47" s="81">
        <f aca="true" t="shared" si="4" ref="G47:N47">G28-G3</f>
        <v>0</v>
      </c>
      <c r="H47" s="82">
        <f t="shared" si="4"/>
        <v>579000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11168.129999995232</v>
      </c>
    </row>
    <row r="48" spans="1:5" ht="12.75">
      <c r="A48" s="47"/>
      <c r="B48" s="47"/>
      <c r="C48" s="47"/>
      <c r="D48" s="47"/>
      <c r="E48" s="48"/>
    </row>
    <row r="49" spans="5:17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22"/>
      <c r="Q49" s="522"/>
    </row>
    <row r="50" spans="1:17" s="47" customFormat="1" ht="12">
      <c r="A50" s="51" t="s">
        <v>98</v>
      </c>
      <c r="E50" s="48"/>
      <c r="F50" s="133"/>
      <c r="H50" s="59"/>
      <c r="J50" s="122"/>
      <c r="M50" s="59"/>
      <c r="N50" s="59"/>
      <c r="O50" s="522"/>
      <c r="P50" s="522"/>
      <c r="Q50" s="522"/>
    </row>
    <row r="51" spans="5:17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522"/>
      <c r="P51" s="522"/>
      <c r="Q51" s="522"/>
    </row>
    <row r="52" spans="5:17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522"/>
      <c r="P52" s="522"/>
      <c r="Q52" s="522"/>
    </row>
    <row r="53" spans="5:17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522"/>
      <c r="P53" s="522"/>
      <c r="Q53" s="522"/>
    </row>
    <row r="54" spans="1:17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522"/>
      <c r="P54" s="522"/>
      <c r="Q54" s="522"/>
    </row>
    <row r="55" spans="1:17" s="59" customFormat="1" ht="12">
      <c r="A55" s="51"/>
      <c r="B55" s="51"/>
      <c r="C55" s="51"/>
      <c r="D55" s="51"/>
      <c r="E55" s="57"/>
      <c r="F55" s="25"/>
      <c r="O55" s="522"/>
      <c r="P55" s="522"/>
      <c r="Q55" s="522"/>
    </row>
    <row r="56" spans="1:17" s="59" customFormat="1" ht="12">
      <c r="A56" s="51"/>
      <c r="B56" s="51"/>
      <c r="C56" s="51"/>
      <c r="D56" s="51"/>
      <c r="E56" s="57"/>
      <c r="F56" s="25"/>
      <c r="O56" s="522"/>
      <c r="P56" s="522"/>
      <c r="Q56" s="522"/>
    </row>
    <row r="57" spans="1:17" s="59" customFormat="1" ht="12">
      <c r="A57" s="51"/>
      <c r="B57" s="51"/>
      <c r="C57" s="51"/>
      <c r="D57" s="51"/>
      <c r="E57" s="57"/>
      <c r="F57" s="25"/>
      <c r="O57" s="522"/>
      <c r="P57" s="522"/>
      <c r="Q57" s="522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J25" sqref="J2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625" style="25" customWidth="1"/>
    <col min="7" max="7" width="5.125" style="0" hidden="1" customWidth="1"/>
    <col min="8" max="8" width="11.75390625" style="59" customWidth="1"/>
    <col min="9" max="9" width="10.00390625" style="59" customWidth="1"/>
    <col min="10" max="12" width="8.00390625" style="59" customWidth="1"/>
    <col min="13" max="13" width="8.125" style="59" customWidth="1"/>
    <col min="14" max="14" width="9.625" style="59" customWidth="1"/>
    <col min="15" max="15" width="6.375" style="522" customWidth="1"/>
    <col min="16" max="16" width="7.75390625" style="522" customWidth="1"/>
    <col min="17" max="17" width="6.625" style="522" customWidth="1"/>
    <col min="18" max="18" width="9.125" style="526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8" s="16" customFormat="1" ht="13.5" thickBot="1">
      <c r="A2" s="6" t="s">
        <v>134</v>
      </c>
      <c r="B2" s="7"/>
      <c r="C2" s="550" t="s">
        <v>96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2"/>
      <c r="Q2" s="522"/>
      <c r="R2" s="526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541602071</v>
      </c>
      <c r="G3" s="81">
        <f aca="true" t="shared" si="0" ref="G3:M3">SUM(G5:G27)</f>
        <v>0</v>
      </c>
      <c r="H3" s="82">
        <f t="shared" si="0"/>
        <v>441821300</v>
      </c>
      <c r="I3" s="83">
        <f t="shared" si="0"/>
        <v>93000771</v>
      </c>
      <c r="J3" s="83">
        <f t="shared" si="0"/>
        <v>0</v>
      </c>
      <c r="K3" s="381">
        <f t="shared" si="0"/>
        <v>5440000</v>
      </c>
      <c r="L3" s="83">
        <f t="shared" si="0"/>
        <v>1340000</v>
      </c>
      <c r="M3" s="82">
        <f t="shared" si="0"/>
        <v>0</v>
      </c>
      <c r="N3" s="84">
        <f>SUM(N5:N27)</f>
        <v>383677967.31000006</v>
      </c>
    </row>
    <row r="4" spans="1:18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460002412</v>
      </c>
      <c r="G4" s="86">
        <f aca="true" t="shared" si="1" ref="G4:N4">SUM(G5:G15)</f>
        <v>0</v>
      </c>
      <c r="H4" s="87">
        <f t="shared" si="1"/>
        <v>360221641</v>
      </c>
      <c r="I4" s="88">
        <f t="shared" si="1"/>
        <v>93000771</v>
      </c>
      <c r="J4" s="88">
        <f t="shared" si="1"/>
        <v>0</v>
      </c>
      <c r="K4" s="382">
        <f t="shared" si="1"/>
        <v>5440000</v>
      </c>
      <c r="L4" s="88">
        <f t="shared" si="1"/>
        <v>1340000</v>
      </c>
      <c r="M4" s="87">
        <f t="shared" si="1"/>
        <v>0</v>
      </c>
      <c r="N4" s="89">
        <f t="shared" si="1"/>
        <v>347796036.15000004</v>
      </c>
      <c r="O4" s="522"/>
      <c r="P4" s="522"/>
      <c r="Q4" s="522"/>
      <c r="R4" s="527"/>
    </row>
    <row r="5" spans="1:18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69776028</v>
      </c>
      <c r="G5" s="91"/>
      <c r="H5" s="92">
        <v>65717203</v>
      </c>
      <c r="I5" s="92">
        <v>58825</v>
      </c>
      <c r="J5" s="93"/>
      <c r="K5" s="383">
        <v>4000000</v>
      </c>
      <c r="L5" s="93"/>
      <c r="M5" s="94"/>
      <c r="N5" s="95">
        <v>68750752.77</v>
      </c>
      <c r="O5" s="528"/>
      <c r="P5" s="528"/>
      <c r="Q5" s="528"/>
      <c r="R5" s="529"/>
    </row>
    <row r="6" spans="1:18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3091500</v>
      </c>
      <c r="G6" s="91"/>
      <c r="H6" s="92">
        <v>2971500</v>
      </c>
      <c r="I6" s="92">
        <v>120000</v>
      </c>
      <c r="J6" s="93"/>
      <c r="K6" s="383"/>
      <c r="L6" s="93"/>
      <c r="M6" s="94"/>
      <c r="N6" s="95">
        <v>3670519</v>
      </c>
      <c r="O6" s="528"/>
      <c r="P6" s="528"/>
      <c r="Q6" s="528"/>
      <c r="R6" s="529"/>
    </row>
    <row r="7" spans="1:18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25615062</v>
      </c>
      <c r="G7" s="91"/>
      <c r="H7" s="92">
        <v>24153887</v>
      </c>
      <c r="I7" s="298">
        <f>80000-I5</f>
        <v>21175</v>
      </c>
      <c r="J7" s="93"/>
      <c r="K7" s="383">
        <v>1440000</v>
      </c>
      <c r="L7" s="93"/>
      <c r="M7" s="94"/>
      <c r="N7" s="95">
        <v>22525337.81</v>
      </c>
      <c r="O7" s="528"/>
      <c r="P7" s="528"/>
      <c r="Q7" s="528"/>
      <c r="R7" s="529"/>
    </row>
    <row r="8" spans="1:18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3198000</v>
      </c>
      <c r="G8" s="91"/>
      <c r="H8" s="92">
        <v>3198000</v>
      </c>
      <c r="I8" s="92"/>
      <c r="J8" s="93"/>
      <c r="K8" s="383"/>
      <c r="L8" s="93"/>
      <c r="M8" s="94"/>
      <c r="N8" s="95">
        <v>2654542.4</v>
      </c>
      <c r="O8" s="528"/>
      <c r="P8" s="528"/>
      <c r="Q8" s="528"/>
      <c r="R8" s="529"/>
    </row>
    <row r="9" spans="1:18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20416000</v>
      </c>
      <c r="G9" s="91"/>
      <c r="H9" s="92">
        <v>20416000</v>
      </c>
      <c r="I9" s="92"/>
      <c r="J9" s="93"/>
      <c r="K9" s="383"/>
      <c r="L9" s="93"/>
      <c r="M9" s="94"/>
      <c r="N9" s="95">
        <v>20171269.82</v>
      </c>
      <c r="O9" s="528"/>
      <c r="P9" s="528"/>
      <c r="Q9" s="528"/>
      <c r="R9" s="529"/>
    </row>
    <row r="10" spans="1:18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37789147</v>
      </c>
      <c r="G10" s="91"/>
      <c r="H10" s="92">
        <v>27970768</v>
      </c>
      <c r="I10" s="92">
        <v>9818379</v>
      </c>
      <c r="J10" s="93"/>
      <c r="K10" s="383"/>
      <c r="L10" s="93"/>
      <c r="M10" s="94"/>
      <c r="N10" s="95">
        <v>16524503.23</v>
      </c>
      <c r="O10" s="528"/>
      <c r="P10" s="528"/>
      <c r="Q10" s="528"/>
      <c r="R10" s="529"/>
    </row>
    <row r="11" spans="1:18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132187031</v>
      </c>
      <c r="G11" s="91"/>
      <c r="H11" s="92">
        <v>59625629</v>
      </c>
      <c r="I11" s="92">
        <v>72561402</v>
      </c>
      <c r="J11" s="93"/>
      <c r="K11" s="383"/>
      <c r="L11" s="93"/>
      <c r="M11" s="94"/>
      <c r="N11" s="95">
        <v>31778596.93</v>
      </c>
      <c r="O11" s="528"/>
      <c r="P11" s="528"/>
      <c r="Q11" s="528"/>
      <c r="R11" s="529"/>
    </row>
    <row r="12" spans="1:18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2371915</v>
      </c>
      <c r="G12" s="91"/>
      <c r="H12" s="92">
        <v>2334915</v>
      </c>
      <c r="I12" s="92">
        <v>37000</v>
      </c>
      <c r="J12" s="93"/>
      <c r="K12" s="383"/>
      <c r="L12" s="93"/>
      <c r="M12" s="94"/>
      <c r="N12" s="95">
        <v>1961585.02</v>
      </c>
      <c r="O12" s="528"/>
      <c r="P12" s="528"/>
      <c r="Q12" s="528"/>
      <c r="R12" s="529"/>
    </row>
    <row r="13" spans="1:18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4879000</v>
      </c>
      <c r="G13" s="91"/>
      <c r="H13" s="92">
        <v>4879000</v>
      </c>
      <c r="I13" s="92"/>
      <c r="J13" s="93"/>
      <c r="K13" s="383"/>
      <c r="L13" s="93"/>
      <c r="M13" s="94"/>
      <c r="N13" s="95">
        <v>4917174.72</v>
      </c>
      <c r="O13" s="528"/>
      <c r="P13" s="528"/>
      <c r="Q13" s="528"/>
      <c r="R13" s="529"/>
    </row>
    <row r="14" spans="1:18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122374790</v>
      </c>
      <c r="G14" s="91"/>
      <c r="H14" s="92">
        <v>119840800</v>
      </c>
      <c r="I14" s="92">
        <v>2533990</v>
      </c>
      <c r="J14" s="93"/>
      <c r="K14" s="383"/>
      <c r="L14" s="93"/>
      <c r="M14" s="94"/>
      <c r="N14" s="95">
        <v>113093051.65</v>
      </c>
      <c r="O14" s="528"/>
      <c r="P14" s="528"/>
      <c r="Q14" s="528"/>
      <c r="R14" s="529"/>
    </row>
    <row r="15" spans="1:18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38303939</v>
      </c>
      <c r="G15" s="91"/>
      <c r="H15" s="92">
        <v>29113939</v>
      </c>
      <c r="I15" s="92">
        <v>7850000</v>
      </c>
      <c r="J15" s="93"/>
      <c r="K15" s="383"/>
      <c r="L15" s="93">
        <f>L44</f>
        <v>1340000</v>
      </c>
      <c r="M15" s="94"/>
      <c r="N15" s="95">
        <v>61748702.8</v>
      </c>
      <c r="O15" s="528"/>
      <c r="P15" s="528"/>
      <c r="Q15" s="528"/>
      <c r="R15" s="529"/>
    </row>
    <row r="16" spans="1:18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522"/>
      <c r="P16" s="522"/>
      <c r="Q16" s="522"/>
      <c r="R16" s="527"/>
    </row>
    <row r="17" spans="1:18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101"/>
      <c r="O17" s="522"/>
      <c r="P17" s="522"/>
      <c r="Q17" s="522"/>
      <c r="R17" s="527"/>
    </row>
    <row r="18" spans="1:18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57393000</v>
      </c>
      <c r="G18" s="97"/>
      <c r="H18" s="98">
        <v>57393000</v>
      </c>
      <c r="I18" s="98"/>
      <c r="J18" s="99"/>
      <c r="K18" s="384"/>
      <c r="L18" s="99"/>
      <c r="M18" s="100"/>
      <c r="N18" s="101">
        <v>26795331.25</v>
      </c>
      <c r="O18" s="522"/>
      <c r="P18" s="522"/>
      <c r="Q18" s="522"/>
      <c r="R18" s="527"/>
    </row>
    <row r="19" spans="1:18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522"/>
      <c r="P19" s="522"/>
      <c r="Q19" s="522"/>
      <c r="R19" s="527"/>
    </row>
    <row r="20" spans="1:18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4527476</v>
      </c>
      <c r="G20" s="97"/>
      <c r="H20" s="98">
        <v>4527476</v>
      </c>
      <c r="I20" s="98"/>
      <c r="J20" s="99"/>
      <c r="K20" s="384"/>
      <c r="L20" s="99"/>
      <c r="M20" s="100"/>
      <c r="N20" s="101">
        <v>930000</v>
      </c>
      <c r="O20" s="522"/>
      <c r="P20" s="522"/>
      <c r="Q20" s="522"/>
      <c r="R20" s="527"/>
    </row>
    <row r="21" spans="1:18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407"/>
      <c r="I21" s="98"/>
      <c r="J21" s="99"/>
      <c r="K21" s="384"/>
      <c r="L21" s="99"/>
      <c r="M21" s="100"/>
      <c r="N21" s="101">
        <v>916641.35</v>
      </c>
      <c r="O21" s="522"/>
      <c r="P21" s="522"/>
      <c r="Q21" s="522"/>
      <c r="R21" s="527"/>
    </row>
    <row r="22" spans="1:18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2085000</v>
      </c>
      <c r="G22" s="97"/>
      <c r="H22" s="100">
        <v>2085000</v>
      </c>
      <c r="I22" s="99"/>
      <c r="J22" s="99"/>
      <c r="K22" s="384"/>
      <c r="L22" s="99"/>
      <c r="M22" s="100"/>
      <c r="N22" s="101">
        <v>2025591.98</v>
      </c>
      <c r="O22" s="522"/>
      <c r="P22" s="522"/>
      <c r="Q22" s="522"/>
      <c r="R22" s="527"/>
    </row>
    <row r="23" spans="1:18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522"/>
      <c r="P23" s="522"/>
      <c r="Q23" s="522"/>
      <c r="R23" s="527"/>
    </row>
    <row r="24" spans="1:18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15574000</v>
      </c>
      <c r="G24" s="97"/>
      <c r="H24" s="100">
        <v>15574000</v>
      </c>
      <c r="I24" s="99"/>
      <c r="J24" s="99"/>
      <c r="K24" s="384"/>
      <c r="L24" s="99"/>
      <c r="M24" s="100"/>
      <c r="N24" s="101">
        <v>1300000</v>
      </c>
      <c r="O24" s="522"/>
      <c r="P24" s="522"/>
      <c r="Q24" s="522"/>
      <c r="R24" s="527"/>
    </row>
    <row r="25" spans="1:18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975333</v>
      </c>
      <c r="G25" s="97"/>
      <c r="H25" s="100">
        <v>975333</v>
      </c>
      <c r="I25" s="99"/>
      <c r="J25" s="99"/>
      <c r="K25" s="384"/>
      <c r="L25" s="99"/>
      <c r="M25" s="100"/>
      <c r="N25" s="101">
        <v>1788616.21</v>
      </c>
      <c r="O25" s="522"/>
      <c r="P25" s="522"/>
      <c r="Q25" s="522"/>
      <c r="R25" s="527"/>
    </row>
    <row r="26" spans="1:18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522"/>
      <c r="P26" s="522"/>
      <c r="Q26" s="522"/>
      <c r="R26" s="527"/>
    </row>
    <row r="27" spans="1:18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1044850</v>
      </c>
      <c r="G27" s="97"/>
      <c r="H27" s="100">
        <v>1044850</v>
      </c>
      <c r="I27" s="99"/>
      <c r="J27" s="99"/>
      <c r="K27" s="384"/>
      <c r="L27" s="99"/>
      <c r="M27" s="100"/>
      <c r="N27" s="101">
        <v>2125750.37</v>
      </c>
      <c r="O27" s="522"/>
      <c r="P27" s="522"/>
      <c r="Q27" s="522"/>
      <c r="R27" s="52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557862649</v>
      </c>
      <c r="G28" s="81">
        <f aca="true" t="shared" si="3" ref="G28:N28">SUM(G29:G45)</f>
        <v>0</v>
      </c>
      <c r="H28" s="82">
        <f t="shared" si="3"/>
        <v>458081878</v>
      </c>
      <c r="I28" s="83">
        <f t="shared" si="3"/>
        <v>93000771</v>
      </c>
      <c r="J28" s="83">
        <f t="shared" si="3"/>
        <v>0</v>
      </c>
      <c r="K28" s="381">
        <f t="shared" si="3"/>
        <v>5440000</v>
      </c>
      <c r="L28" s="83">
        <f t="shared" si="3"/>
        <v>1340000</v>
      </c>
      <c r="M28" s="82">
        <f t="shared" si="3"/>
        <v>0</v>
      </c>
      <c r="N28" s="84">
        <f t="shared" si="3"/>
        <v>431551916.08000004</v>
      </c>
    </row>
    <row r="29" spans="1:18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223508000</v>
      </c>
      <c r="G29" s="86"/>
      <c r="H29" s="87">
        <v>223508000</v>
      </c>
      <c r="I29" s="88"/>
      <c r="J29" s="88"/>
      <c r="K29" s="382"/>
      <c r="L29" s="88"/>
      <c r="M29" s="87"/>
      <c r="N29" s="89">
        <v>202935623.09</v>
      </c>
      <c r="O29" s="522"/>
      <c r="P29" s="522"/>
      <c r="Q29" s="522"/>
      <c r="R29" s="527"/>
    </row>
    <row r="30" spans="1:18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0</v>
      </c>
      <c r="G30" s="102"/>
      <c r="H30" s="103"/>
      <c r="I30" s="104"/>
      <c r="J30" s="104"/>
      <c r="K30" s="385"/>
      <c r="L30" s="104"/>
      <c r="M30" s="103"/>
      <c r="N30" s="105"/>
      <c r="O30" s="522"/>
      <c r="P30" s="522"/>
      <c r="Q30" s="522"/>
      <c r="R30" s="527"/>
    </row>
    <row r="31" spans="1:18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105"/>
      <c r="O31" s="522"/>
      <c r="P31" s="522"/>
      <c r="Q31" s="522"/>
      <c r="R31" s="527"/>
    </row>
    <row r="32" spans="1:18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57393000</v>
      </c>
      <c r="G32" s="102"/>
      <c r="H32" s="103">
        <v>57393000</v>
      </c>
      <c r="I32" s="104"/>
      <c r="J32" s="104"/>
      <c r="K32" s="385"/>
      <c r="L32" s="104"/>
      <c r="M32" s="103"/>
      <c r="N32" s="105">
        <v>26795331.25</v>
      </c>
      <c r="O32" s="522"/>
      <c r="P32" s="522">
        <f>H32/1000-Q32</f>
        <v>-1347</v>
      </c>
      <c r="Q32" s="522">
        <v>58740</v>
      </c>
      <c r="R32" s="530" t="s">
        <v>169</v>
      </c>
    </row>
    <row r="33" spans="1:18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0</v>
      </c>
      <c r="G33" s="102"/>
      <c r="H33" s="103"/>
      <c r="I33" s="104"/>
      <c r="J33" s="104"/>
      <c r="K33" s="385"/>
      <c r="L33" s="104"/>
      <c r="M33" s="103"/>
      <c r="N33" s="105"/>
      <c r="O33" s="522"/>
      <c r="P33" s="522"/>
      <c r="Q33" s="522"/>
      <c r="R33" s="527"/>
    </row>
    <row r="34" spans="1:18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117710000</v>
      </c>
      <c r="G34" s="102"/>
      <c r="H34" s="103">
        <v>117710000</v>
      </c>
      <c r="I34" s="104"/>
      <c r="J34" s="104"/>
      <c r="K34" s="385"/>
      <c r="L34" s="104"/>
      <c r="M34" s="103"/>
      <c r="N34" s="105">
        <v>113972000</v>
      </c>
      <c r="O34" s="522"/>
      <c r="P34" s="522"/>
      <c r="Q34" s="522"/>
      <c r="R34" s="527"/>
    </row>
    <row r="35" spans="1:18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4527476</v>
      </c>
      <c r="G35" s="102"/>
      <c r="H35" s="103">
        <f>H20</f>
        <v>4527476</v>
      </c>
      <c r="I35" s="104"/>
      <c r="J35" s="104"/>
      <c r="K35" s="385"/>
      <c r="L35" s="104"/>
      <c r="M35" s="103"/>
      <c r="N35" s="105">
        <v>930000</v>
      </c>
      <c r="O35" s="522"/>
      <c r="P35" s="522"/>
      <c r="Q35" s="522"/>
      <c r="R35" s="527"/>
    </row>
    <row r="36" spans="1:18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>
        <f>H21</f>
        <v>0</v>
      </c>
      <c r="I36" s="104"/>
      <c r="J36" s="104"/>
      <c r="K36" s="385"/>
      <c r="L36" s="104"/>
      <c r="M36" s="103"/>
      <c r="N36" s="105">
        <v>916641.35</v>
      </c>
      <c r="O36" s="522"/>
      <c r="P36" s="522"/>
      <c r="Q36" s="522"/>
      <c r="R36" s="527"/>
    </row>
    <row r="37" spans="1:18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2085000</v>
      </c>
      <c r="G37" s="102"/>
      <c r="H37" s="103">
        <f>H22</f>
        <v>2085000</v>
      </c>
      <c r="I37" s="104"/>
      <c r="J37" s="104"/>
      <c r="K37" s="385"/>
      <c r="L37" s="104"/>
      <c r="M37" s="103"/>
      <c r="N37" s="105">
        <v>2025591.98</v>
      </c>
      <c r="O37" s="522"/>
      <c r="P37" s="522"/>
      <c r="Q37" s="522"/>
      <c r="R37" s="527"/>
    </row>
    <row r="38" spans="1:18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0</v>
      </c>
      <c r="G38" s="102"/>
      <c r="H38" s="103"/>
      <c r="I38" s="104"/>
      <c r="J38" s="104"/>
      <c r="K38" s="385"/>
      <c r="L38" s="104"/>
      <c r="M38" s="103"/>
      <c r="N38" s="105"/>
      <c r="O38" s="522"/>
      <c r="P38" s="522"/>
      <c r="Q38" s="522"/>
      <c r="R38" s="527"/>
    </row>
    <row r="39" spans="1:18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0</v>
      </c>
      <c r="G39" s="102"/>
      <c r="H39" s="103"/>
      <c r="I39" s="104"/>
      <c r="J39" s="104"/>
      <c r="K39" s="385"/>
      <c r="L39" s="104"/>
      <c r="M39" s="103"/>
      <c r="N39" s="105"/>
      <c r="O39" s="522"/>
      <c r="P39" s="522"/>
      <c r="Q39" s="522"/>
      <c r="R39" s="527"/>
    </row>
    <row r="40" spans="1:18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15574000</v>
      </c>
      <c r="G40" s="102"/>
      <c r="H40" s="103">
        <f>H24</f>
        <v>15574000</v>
      </c>
      <c r="I40" s="104"/>
      <c r="J40" s="104"/>
      <c r="K40" s="385"/>
      <c r="L40" s="104"/>
      <c r="M40" s="103"/>
      <c r="N40" s="105">
        <v>1300000</v>
      </c>
      <c r="O40" s="522"/>
      <c r="P40" s="522"/>
      <c r="Q40" s="522"/>
      <c r="R40" s="527"/>
    </row>
    <row r="41" spans="1:18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975333</v>
      </c>
      <c r="G41" s="102"/>
      <c r="H41" s="103">
        <f>H25</f>
        <v>975333</v>
      </c>
      <c r="I41" s="104"/>
      <c r="J41" s="104"/>
      <c r="K41" s="385"/>
      <c r="L41" s="104"/>
      <c r="M41" s="103"/>
      <c r="N41" s="105">
        <v>1788616.21</v>
      </c>
      <c r="O41" s="522"/>
      <c r="P41" s="522"/>
      <c r="Q41" s="522"/>
      <c r="R41" s="527"/>
    </row>
    <row r="42" spans="1:18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522"/>
      <c r="P42" s="522"/>
      <c r="Q42" s="522"/>
      <c r="R42" s="527"/>
    </row>
    <row r="43" spans="1:18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34958389</v>
      </c>
      <c r="G43" s="102"/>
      <c r="H43" s="103">
        <v>34958389</v>
      </c>
      <c r="I43" s="104"/>
      <c r="J43" s="104"/>
      <c r="K43" s="385"/>
      <c r="L43" s="104"/>
      <c r="M43" s="103"/>
      <c r="N43" s="105">
        <v>70893789.81</v>
      </c>
      <c r="O43" s="522"/>
      <c r="P43" s="522"/>
      <c r="Q43" s="522"/>
      <c r="R43" s="527"/>
    </row>
    <row r="44" spans="1:18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99780771</v>
      </c>
      <c r="G44" s="102"/>
      <c r="H44" s="106" t="s">
        <v>97</v>
      </c>
      <c r="I44" s="104">
        <f>I3</f>
        <v>93000771</v>
      </c>
      <c r="J44" s="104"/>
      <c r="K44" s="385">
        <v>5440000</v>
      </c>
      <c r="L44" s="104">
        <v>1340000</v>
      </c>
      <c r="M44" s="103"/>
      <c r="N44" s="105">
        <v>7777219.77</v>
      </c>
      <c r="O44" s="522"/>
      <c r="P44" s="522"/>
      <c r="Q44" s="522"/>
      <c r="R44" s="527"/>
    </row>
    <row r="45" spans="1:18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1350680</v>
      </c>
      <c r="G45" s="108"/>
      <c r="H45" s="109">
        <v>1350680</v>
      </c>
      <c r="I45" s="110"/>
      <c r="J45" s="110"/>
      <c r="K45" s="386"/>
      <c r="L45" s="110"/>
      <c r="M45" s="109"/>
      <c r="N45" s="111">
        <v>2217102.62</v>
      </c>
      <c r="O45" s="522"/>
      <c r="P45" s="522"/>
      <c r="Q45" s="522"/>
      <c r="R45" s="527"/>
    </row>
    <row r="46" spans="1:18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16260578</v>
      </c>
      <c r="G46" s="113">
        <f>G29+G34+G38+G43+G44+G45+-G4-G27</f>
        <v>0</v>
      </c>
      <c r="H46" s="113">
        <f>H29+H34+H38+H43+H45-H4-H27</f>
        <v>16260578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47873948.76999999</v>
      </c>
      <c r="O46" s="522"/>
      <c r="P46" s="522"/>
      <c r="Q46" s="522"/>
      <c r="R46" s="52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16260578</v>
      </c>
      <c r="G47" s="81">
        <f aca="true" t="shared" si="4" ref="G47:N47">G28-G3</f>
        <v>0</v>
      </c>
      <c r="H47" s="82">
        <f t="shared" si="4"/>
        <v>16260578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47873948.76999998</v>
      </c>
    </row>
    <row r="48" spans="1:5" ht="12.75">
      <c r="A48" s="47"/>
      <c r="B48" s="47"/>
      <c r="C48" s="47"/>
      <c r="D48" s="47"/>
      <c r="E48" s="48"/>
    </row>
    <row r="49" spans="5:18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22"/>
      <c r="Q49" s="522"/>
      <c r="R49" s="530"/>
    </row>
    <row r="50" spans="1:18" s="47" customFormat="1" ht="12">
      <c r="A50" s="51" t="s">
        <v>98</v>
      </c>
      <c r="E50" s="48"/>
      <c r="F50" s="133"/>
      <c r="H50" s="59"/>
      <c r="J50" s="122"/>
      <c r="M50" s="59"/>
      <c r="N50" s="59"/>
      <c r="O50" s="522"/>
      <c r="P50" s="522"/>
      <c r="Q50" s="522"/>
      <c r="R50" s="530"/>
    </row>
    <row r="51" spans="5:18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522"/>
      <c r="P51" s="522"/>
      <c r="Q51" s="522"/>
      <c r="R51" s="530"/>
    </row>
    <row r="52" spans="5:18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522"/>
      <c r="P52" s="522"/>
      <c r="Q52" s="522"/>
      <c r="R52" s="530"/>
    </row>
    <row r="53" spans="5:18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522"/>
      <c r="P53" s="522"/>
      <c r="Q53" s="522"/>
      <c r="R53" s="530"/>
    </row>
    <row r="54" spans="1:18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522"/>
      <c r="P54" s="522"/>
      <c r="Q54" s="522"/>
      <c r="R54" s="530"/>
    </row>
    <row r="55" spans="1:18" s="59" customFormat="1" ht="12">
      <c r="A55" s="51"/>
      <c r="B55" s="51"/>
      <c r="C55" s="51"/>
      <c r="D55" s="51"/>
      <c r="E55" s="57"/>
      <c r="F55" s="25"/>
      <c r="O55" s="522"/>
      <c r="P55" s="522"/>
      <c r="Q55" s="522"/>
      <c r="R55" s="530"/>
    </row>
    <row r="56" spans="1:18" s="59" customFormat="1" ht="12">
      <c r="A56" s="51"/>
      <c r="B56" s="51"/>
      <c r="C56" s="51"/>
      <c r="D56" s="51"/>
      <c r="E56" s="57"/>
      <c r="F56" s="25"/>
      <c r="O56" s="522"/>
      <c r="P56" s="522"/>
      <c r="Q56" s="522"/>
      <c r="R56" s="530"/>
    </row>
    <row r="57" spans="1:18" s="59" customFormat="1" ht="12">
      <c r="A57" s="51"/>
      <c r="B57" s="51"/>
      <c r="C57" s="51"/>
      <c r="D57" s="51"/>
      <c r="E57" s="57"/>
      <c r="F57" s="25"/>
      <c r="O57" s="522"/>
      <c r="P57" s="522"/>
      <c r="Q57" s="522"/>
      <c r="R57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P30" sqref="P3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125" style="25" customWidth="1"/>
    <col min="7" max="7" width="5.125" style="0" hidden="1" customWidth="1"/>
    <col min="8" max="8" width="11.75390625" style="59" customWidth="1"/>
    <col min="9" max="9" width="10.00390625" style="59" customWidth="1"/>
    <col min="10" max="10" width="8.875" style="59" customWidth="1"/>
    <col min="11" max="12" width="8.00390625" style="59" customWidth="1"/>
    <col min="13" max="13" width="8.125" style="59" customWidth="1"/>
    <col min="14" max="14" width="11.00390625" style="59" customWidth="1"/>
    <col min="15" max="15" width="6.625" style="522" customWidth="1"/>
    <col min="16" max="16" width="9.125" style="526" customWidth="1"/>
    <col min="17" max="17" width="7.625" style="526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301" t="s">
        <v>2</v>
      </c>
      <c r="I1" s="562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6" t="s">
        <v>149</v>
      </c>
      <c r="B2" s="7"/>
      <c r="C2" s="550" t="s">
        <v>130</v>
      </c>
      <c r="D2" s="551"/>
      <c r="E2" s="9" t="s">
        <v>5</v>
      </c>
      <c r="F2" s="126">
        <v>2009</v>
      </c>
      <c r="G2" s="12" t="s">
        <v>7</v>
      </c>
      <c r="H2" s="71" t="s">
        <v>8</v>
      </c>
      <c r="I2" s="302" t="s">
        <v>9</v>
      </c>
      <c r="J2" s="308" t="s">
        <v>10</v>
      </c>
      <c r="K2" s="308" t="s">
        <v>11</v>
      </c>
      <c r="L2" s="308" t="s">
        <v>147</v>
      </c>
      <c r="M2" s="228" t="s">
        <v>12</v>
      </c>
      <c r="N2" s="73">
        <v>2008</v>
      </c>
      <c r="O2" s="522"/>
      <c r="P2" s="526"/>
      <c r="Q2" s="526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 aca="true" t="shared" si="0" ref="F3:N3">SUM(F5:F27)</f>
        <v>1195627071</v>
      </c>
      <c r="G3" s="81">
        <f t="shared" si="0"/>
        <v>0</v>
      </c>
      <c r="H3" s="82">
        <f t="shared" si="0"/>
        <v>1047700300</v>
      </c>
      <c r="I3" s="306">
        <f t="shared" si="0"/>
        <v>100754771</v>
      </c>
      <c r="J3" s="83">
        <f t="shared" si="0"/>
        <v>37689000</v>
      </c>
      <c r="K3" s="83">
        <f t="shared" si="0"/>
        <v>5440000</v>
      </c>
      <c r="L3" s="83">
        <f t="shared" si="0"/>
        <v>4034000</v>
      </c>
      <c r="M3" s="303">
        <f t="shared" si="0"/>
        <v>9000</v>
      </c>
      <c r="N3" s="84">
        <f t="shared" si="0"/>
        <v>1062210569.5100002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 aca="true" t="shared" si="1" ref="F4:N4">SUM(F5:F15)</f>
        <v>951524412</v>
      </c>
      <c r="G4" s="86">
        <f t="shared" si="1"/>
        <v>0</v>
      </c>
      <c r="H4" s="87">
        <f t="shared" si="1"/>
        <v>814992641</v>
      </c>
      <c r="I4" s="307">
        <f t="shared" si="1"/>
        <v>100754771</v>
      </c>
      <c r="J4" s="88">
        <f t="shared" si="1"/>
        <v>26294000</v>
      </c>
      <c r="K4" s="88">
        <f t="shared" si="1"/>
        <v>5440000</v>
      </c>
      <c r="L4" s="88">
        <f t="shared" si="1"/>
        <v>4034000</v>
      </c>
      <c r="M4" s="304">
        <f t="shared" si="1"/>
        <v>9000</v>
      </c>
      <c r="N4" s="89">
        <f t="shared" si="1"/>
        <v>842750475.82</v>
      </c>
      <c r="O4" s="522"/>
      <c r="P4" s="527"/>
      <c r="Q4" s="527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 aca="true" t="shared" si="2" ref="F5:F27">SUM(H5:M5)</f>
        <v>189500028</v>
      </c>
      <c r="G5" s="91"/>
      <c r="H5" s="207">
        <f>SKM!H5+SUKB!H7+UCT!H5+SPSSN!H5+IBA!H5+CTT!H5+ÚVT!H5+CJV!H5+CZS!H5+RMU!H5</f>
        <v>179341203</v>
      </c>
      <c r="I5" s="305">
        <f>SKM!I5+SUKB!I7+UCT!I5+SPSSN!I5+IBA!I5+CTT!I5+ÚVT!I5+CJV!I5+CZS!I5+RMU!I5</f>
        <v>58825</v>
      </c>
      <c r="J5" s="150">
        <f>SKM!J5+SUKB!J7+UCT!J5+SPSSN!J5+IBA!J5+CTT!J5+ÚVT!J5+CJV!J5+CZS!J5+RMU!J5</f>
        <v>6100000</v>
      </c>
      <c r="K5" s="150">
        <f>SKM!K5+SUKB!K7+UCT!K5+SPSSN!K5+IBA!K5+CTT!K5+ÚVT!K5+CJV!K5+CZS!K5+RMU!K5</f>
        <v>4000000</v>
      </c>
      <c r="L5" s="150">
        <f>SKM!L5+SUKB!L7+UCT!L5+SPSSN!L5+IBA!L5+CTT!L5+ÚVT!L5+CJV!L5+CZS!L5+RMU!L5</f>
        <v>0</v>
      </c>
      <c r="M5" s="150">
        <f>SKM!M5+SUKB!M7+UCT!M5+SPSSN!M5+IBA!M5+CTT!M5+ÚVT!M5+CJV!M5+CZS!M5+RMU!M5</f>
        <v>0</v>
      </c>
      <c r="N5" s="209">
        <f>SKM!N5+SUKB!N7+UCT!N5+SPSSN!N5+IBA!N5+CTT!N5+ÚVT!N5+CJV!N5+CZS!N5+RMU!N5</f>
        <v>193844070.96</v>
      </c>
      <c r="O5" s="528"/>
      <c r="P5" s="529"/>
      <c r="Q5" s="529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t="shared" si="2"/>
        <v>19210500</v>
      </c>
      <c r="G6" s="91"/>
      <c r="H6" s="207">
        <f>SKM!H6+SUKB!H8+UCT!H6+SPSSN!H6+IBA!H6+CTT!H6+ÚVT!H6+CJV!H6+CZS!H6+RMU!H6</f>
        <v>8000500</v>
      </c>
      <c r="I6" s="305">
        <f>SKM!I6+SUKB!I8+UCT!I6+SPSSN!I6+IBA!I6+CTT!I6+ÚVT!I6+CJV!I6+CZS!I6+RMU!I6</f>
        <v>120000</v>
      </c>
      <c r="J6" s="150">
        <f>SKM!J6+SUKB!J8+UCT!J6+SPSSN!J6+IBA!J6+CTT!J6+ÚVT!J6+CJV!J6+CZS!J6+RMU!J6</f>
        <v>11090000</v>
      </c>
      <c r="K6" s="150">
        <f>SKM!K6+SUKB!K8+UCT!K6+SPSSN!K6+IBA!K6+CTT!K6+ÚVT!K6+CJV!K6+CZS!K6+RMU!K6</f>
        <v>0</v>
      </c>
      <c r="L6" s="150">
        <f>SKM!L6+SUKB!L8+UCT!L6+SPSSN!L6+IBA!L6+CTT!L6+ÚVT!L6+CJV!L6+CZS!L6+RMU!L6</f>
        <v>0</v>
      </c>
      <c r="M6" s="150">
        <f>SKM!M6+SUKB!M8+UCT!M6+SPSSN!M6+IBA!M6+CTT!M6+ÚVT!M6+CJV!M6+CZS!M6+RMU!M6</f>
        <v>0</v>
      </c>
      <c r="N6" s="209">
        <f>SKM!N6+SUKB!N8+UCT!N6+SPSSN!N6+IBA!N6+CTT!N6+ÚVT!N6+CJV!N6+CZS!N6+RMU!N6</f>
        <v>15549949.5</v>
      </c>
      <c r="O6" s="528"/>
      <c r="P6" s="529"/>
      <c r="Q6" s="529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69581062</v>
      </c>
      <c r="G7" s="91"/>
      <c r="H7" s="207">
        <f>SKM!H7+SUKB!H9+UCT!H7+SPSSN!H7+IBA!H7+CTT!H7+ÚVT!H7+CJV!H7+CZS!H7+RMU!H7</f>
        <v>65923887</v>
      </c>
      <c r="I7" s="305">
        <f>SKM!I7+SUKB!I9+UCT!I7+SPSSN!I7+IBA!I7+CTT!I7+ÚVT!I7+CJV!I7+CZS!I7+RMU!I7</f>
        <v>21175</v>
      </c>
      <c r="J7" s="150">
        <f>SKM!J7+SUKB!J9+UCT!J7+SPSSN!J7+IBA!J7+CTT!J7+ÚVT!J7+CJV!J7+CZS!J7+RMU!J7</f>
        <v>2196000</v>
      </c>
      <c r="K7" s="150">
        <f>SKM!K7+SUKB!K9+UCT!K7+SPSSN!K7+IBA!K7+CTT!K7+ÚVT!K7+CJV!K7+CZS!K7+RMU!K7</f>
        <v>1440000</v>
      </c>
      <c r="L7" s="150">
        <f>SKM!L7+SUKB!L9+UCT!L7+SPSSN!L7+IBA!L7+CTT!L7+ÚVT!L7+CJV!L7+CZS!L7+RMU!L7</f>
        <v>0</v>
      </c>
      <c r="M7" s="150">
        <f>SKM!M7+SUKB!M9+UCT!M7+SPSSN!M7+IBA!M7+CTT!M7+ÚVT!M7+CJV!M7+CZS!M7+RMU!M7</f>
        <v>0</v>
      </c>
      <c r="N7" s="209">
        <f>SKM!N7+SUKB!N9+UCT!N7+SPSSN!N7+IBA!N7+CTT!N7+ÚVT!N7+CJV!N7+CZS!N7+RMU!N7</f>
        <v>70070948.69</v>
      </c>
      <c r="O7" s="528"/>
      <c r="P7" s="529"/>
      <c r="Q7" s="529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46908000</v>
      </c>
      <c r="G8" s="91"/>
      <c r="H8" s="207">
        <f>SKM!H8+SUKB!H10+UCT!H8+SPSSN!H8+IBA!H8+CTT!H8+ÚVT!H8+CJV!H8+CZS!H8+RMU!H8</f>
        <v>43473000</v>
      </c>
      <c r="I8" s="305">
        <f>SKM!I8+SUKB!I10+UCT!I8+SPSSN!I8+IBA!I8+CTT!I8+ÚVT!I8+CJV!I8+CZS!I8+RMU!I8</f>
        <v>3335000</v>
      </c>
      <c r="J8" s="150">
        <f>SKM!J8+SUKB!J10+UCT!J8+SPSSN!J8+IBA!J8+CTT!J8+ÚVT!J8+CJV!J8+CZS!J8+RMU!J8</f>
        <v>100000</v>
      </c>
      <c r="K8" s="150">
        <f>SKM!K8+SUKB!K10+UCT!K8+SPSSN!K8+IBA!K8+CTT!K8+ÚVT!K8+CJV!K8+CZS!K8+RMU!K8</f>
        <v>0</v>
      </c>
      <c r="L8" s="150">
        <f>SKM!L8+SUKB!L10+UCT!L8+SPSSN!L8+IBA!L8+CTT!L8+ÚVT!L8+CJV!L8+CZS!L8+RMU!L8</f>
        <v>0</v>
      </c>
      <c r="M8" s="150">
        <f>SKM!M8+SUKB!M10+UCT!M8+SPSSN!M8+IBA!M8+CTT!M8+ÚVT!M8+CJV!M8+CZS!M8+RMU!M8</f>
        <v>0</v>
      </c>
      <c r="N8" s="209">
        <f>SKM!N8+SUKB!N10+UCT!N8+SPSSN!N8+IBA!N8+CTT!N8+ÚVT!N8+CJV!N8+CZS!N8+RMU!N8</f>
        <v>38346353.04</v>
      </c>
      <c r="O8" s="528"/>
      <c r="P8" s="529"/>
      <c r="Q8" s="529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36951000</v>
      </c>
      <c r="G9" s="91"/>
      <c r="H9" s="207">
        <f>SKM!H9+SUKB!H11+UCT!H9+SPSSN!H9+IBA!H9+CTT!H9+ÚVT!H9+CJV!H9+CZS!H9+RMU!H9</f>
        <v>36611000</v>
      </c>
      <c r="I9" s="305">
        <f>SKM!I9+SUKB!I11+UCT!I9+SPSSN!I9+IBA!I9+CTT!I9+ÚVT!I9+CJV!I9+CZS!I9+RMU!I9</f>
        <v>300000</v>
      </c>
      <c r="J9" s="150">
        <f>SKM!J9+SUKB!J11+UCT!J9+SPSSN!J9+IBA!J9+CTT!J9+ÚVT!J9+CJV!J9+CZS!J9+RMU!J9</f>
        <v>40000</v>
      </c>
      <c r="K9" s="150">
        <f>SKM!K9+SUKB!K11+UCT!K9+SPSSN!K9+IBA!K9+CTT!K9+ÚVT!K9+CJV!K9+CZS!K9+RMU!K9</f>
        <v>0</v>
      </c>
      <c r="L9" s="150">
        <f>SKM!L9+SUKB!L11+UCT!L9+SPSSN!L9+IBA!L9+CTT!L9+ÚVT!L9+CJV!L9+CZS!L9+RMU!L9</f>
        <v>0</v>
      </c>
      <c r="M9" s="150">
        <f>SKM!M9+SUKB!M11+UCT!M9+SPSSN!M9+IBA!M9+CTT!M9+ÚVT!M9+CJV!M9+CZS!M9+RMU!M9</f>
        <v>0</v>
      </c>
      <c r="N9" s="209">
        <f>SKM!N9+SUKB!N11+UCT!N9+SPSSN!N9+IBA!N9+CTT!N9+ÚVT!N9+CJV!N9+CZS!N9+RMU!N9</f>
        <v>42611826.32</v>
      </c>
      <c r="O9" s="528"/>
      <c r="P9" s="529"/>
      <c r="Q9" s="529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92514147</v>
      </c>
      <c r="G10" s="91"/>
      <c r="H10" s="207">
        <f>SKM!H10+SUKB!H12+UCT!H10+SPSSN!H10+IBA!H10+CTT!H10+ÚVT!H10+CJV!H10+CZS!H10+RMU!H10</f>
        <v>81174768</v>
      </c>
      <c r="I10" s="305">
        <f>SKM!I10+SUKB!I12+UCT!I10+SPSSN!I10+IBA!I10+CTT!I10+ÚVT!I10+CJV!I10+CZS!I10+RMU!I10</f>
        <v>10699379</v>
      </c>
      <c r="J10" s="150">
        <f>SKM!J10+SUKB!J12+UCT!J10+SPSSN!J10+IBA!J10+CTT!J10+ÚVT!J10+CJV!J10+CZS!J10+RMU!J10</f>
        <v>640000</v>
      </c>
      <c r="K10" s="150">
        <f>SKM!K10+SUKB!K12+UCT!K10+SPSSN!K10+IBA!K10+CTT!K10+ÚVT!K10+CJV!K10+CZS!K10+RMU!K10</f>
        <v>0</v>
      </c>
      <c r="L10" s="150">
        <f>SKM!L10+SUKB!L12+UCT!L10+SPSSN!L10+IBA!L10+CTT!L10+ÚVT!L10+CJV!L10+CZS!L10+RMU!L10</f>
        <v>0</v>
      </c>
      <c r="M10" s="150">
        <f>SKM!M10+SUKB!M12+UCT!M10+SPSSN!M10+IBA!M10+CTT!M10+ÚVT!M10+CJV!M10+CZS!M10+RMU!M10</f>
        <v>0</v>
      </c>
      <c r="N10" s="209">
        <f>SKM!N10+SUKB!N12+UCT!N10+SPSSN!N10+IBA!N10+CTT!N10+ÚVT!N10+CJV!N10+CZS!N10+RMU!N10</f>
        <v>64299689.45</v>
      </c>
      <c r="O10" s="528"/>
      <c r="P10" s="529"/>
      <c r="Q10" s="529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191549031</v>
      </c>
      <c r="G11" s="91"/>
      <c r="H11" s="207">
        <f>SKM!H11+SUKB!H13+UCT!H11+SPSSN!H11+IBA!H11+CTT!H11+ÚVT!H11+CJV!H11+CZS!H11+RMU!H11</f>
        <v>110650629</v>
      </c>
      <c r="I11" s="305">
        <f>SKM!I11+SUKB!I13+UCT!I11+SPSSN!I11+IBA!I11+CTT!I11+ÚVT!I11+CJV!I11+CZS!I11+RMU!I11</f>
        <v>75798402</v>
      </c>
      <c r="J11" s="150">
        <f>SKM!J11+SUKB!J13+UCT!J11+SPSSN!J11+IBA!J11+CTT!J11+ÚVT!J11+CJV!J11+CZS!J11+RMU!J11</f>
        <v>5100000</v>
      </c>
      <c r="K11" s="150">
        <f>SKM!K11+SUKB!K13+UCT!K11+SPSSN!K11+IBA!K11+CTT!K11+ÚVT!K11+CJV!K11+CZS!K11+RMU!K11</f>
        <v>0</v>
      </c>
      <c r="L11" s="150">
        <f>SKM!L11+SUKB!L13+UCT!L11+SPSSN!L11+IBA!L11+CTT!L11+ÚVT!L11+CJV!L11+CZS!L11+RMU!L11</f>
        <v>0</v>
      </c>
      <c r="M11" s="150">
        <f>SKM!M11+SUKB!M13+UCT!M11+SPSSN!M11+IBA!M11+CTT!M11+ÚVT!M11+CJV!M11+CZS!M11+RMU!M11</f>
        <v>0</v>
      </c>
      <c r="N11" s="209">
        <f>SKM!N11+SUKB!N13+UCT!N11+SPSSN!N11+IBA!N11+CTT!N11+ÚVT!N11+CJV!N11+CZS!N11+RMU!N11</f>
        <v>89711553.63</v>
      </c>
      <c r="O11" s="528"/>
      <c r="P11" s="529"/>
      <c r="Q11" s="529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5238915</v>
      </c>
      <c r="G12" s="91"/>
      <c r="H12" s="207">
        <f>SKM!H12+SUKB!H14+UCT!H12+SPSSN!H12+IBA!H12+CTT!H12+ÚVT!H12+CJV!H12+CZS!H12+RMU!H12</f>
        <v>4697915</v>
      </c>
      <c r="I12" s="305">
        <f>SKM!I12+SUKB!I14+UCT!I12+SPSSN!I12+IBA!I12+CTT!I12+ÚVT!I12+CJV!I12+CZS!I12+RMU!I12</f>
        <v>37000</v>
      </c>
      <c r="J12" s="150">
        <f>SKM!J12+SUKB!J14+UCT!J12+SPSSN!J12+IBA!J12+CTT!J12+ÚVT!J12+CJV!J12+CZS!J12+RMU!J12</f>
        <v>504000</v>
      </c>
      <c r="K12" s="150">
        <f>SKM!K12+SUKB!K14+UCT!K12+SPSSN!K12+IBA!K12+CTT!K12+ÚVT!K12+CJV!K12+CZS!K12+RMU!K12</f>
        <v>0</v>
      </c>
      <c r="L12" s="150">
        <f>SKM!L12+SUKB!L14+UCT!L12+SPSSN!L12+IBA!L12+CTT!L12+ÚVT!L12+CJV!L12+CZS!L12+RMU!L12</f>
        <v>0</v>
      </c>
      <c r="M12" s="150">
        <f>SKM!M12+SUKB!M14+UCT!M12+SPSSN!M12+IBA!M12+CTT!M12+ÚVT!M12+CJV!M12+CZS!M12+RMU!M12</f>
        <v>0</v>
      </c>
      <c r="N12" s="209">
        <f>SKM!N12+SUKB!N14+UCT!N12+SPSSN!N12+IBA!N12+CTT!N12+ÚVT!N12+CJV!N12+CZS!N12+RMU!N12</f>
        <v>4692943.12</v>
      </c>
      <c r="O12" s="528"/>
      <c r="P12" s="529"/>
      <c r="Q12" s="529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131559000</v>
      </c>
      <c r="G13" s="91"/>
      <c r="H13" s="207">
        <f>SKM!H13+SUKB!H15+UCT!H13+SPSSN!H13+IBA!H13+CTT!H13+ÚVT!H13+CJV!H13+CZS!H13+RMU!H13</f>
        <v>131379000</v>
      </c>
      <c r="I13" s="305">
        <f>SKM!I13+SUKB!I15+UCT!I13+SPSSN!I13+IBA!I13+CTT!I13+ÚVT!I13+CJV!I13+CZS!I13+RMU!I13</f>
        <v>0</v>
      </c>
      <c r="J13" s="150">
        <f>SKM!J13+SUKB!J15+UCT!J13+SPSSN!J13+IBA!J13+CTT!J13+ÚVT!J13+CJV!J13+CZS!J13+RMU!J13</f>
        <v>180000</v>
      </c>
      <c r="K13" s="150">
        <f>SKM!K13+SUKB!K15+UCT!K13+SPSSN!K13+IBA!K13+CTT!K13+ÚVT!K13+CJV!K13+CZS!K13+RMU!K13</f>
        <v>0</v>
      </c>
      <c r="L13" s="150">
        <f>SKM!L13+SUKB!L15+UCT!L13+SPSSN!L13+IBA!L13+CTT!L13+ÚVT!L13+CJV!L13+CZS!L13+RMU!L13</f>
        <v>0</v>
      </c>
      <c r="M13" s="150">
        <f>SKM!M13+SUKB!M15+UCT!M13+SPSSN!M13+IBA!M13+CTT!M13+ÚVT!M13+CJV!M13+CZS!M13+RMU!M13</f>
        <v>0</v>
      </c>
      <c r="N13" s="209">
        <f>SKM!N13+SUKB!N15+UCT!N13+SPSSN!N13+IBA!N13+CTT!N13+ÚVT!N13+CJV!N13+CZS!N13+RMU!N13</f>
        <v>121145483.42</v>
      </c>
      <c r="O13" s="528"/>
      <c r="P13" s="529"/>
      <c r="Q13" s="529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124035790</v>
      </c>
      <c r="G14" s="91"/>
      <c r="H14" s="207">
        <f>SKM!H14+SUKB!H16+UCT!H14+SPSSN!H14+IBA!H14+CTT!H14+ÚVT!H14+CJV!H14+CZS!H14+RMU!H14</f>
        <v>121238800</v>
      </c>
      <c r="I14" s="305">
        <f>SKM!I14+SUKB!I16+UCT!I14+SPSSN!I14+IBA!I14+CTT!I14+ÚVT!I14+CJV!I14+CZS!I14+RMU!I14</f>
        <v>2533990</v>
      </c>
      <c r="J14" s="150">
        <f>SKM!J14+SUKB!J16+UCT!J14+SPSSN!J14+IBA!J14+CTT!J14+ÚVT!J14+CJV!J14+CZS!J14+RMU!J14</f>
        <v>254000</v>
      </c>
      <c r="K14" s="150">
        <f>SKM!K14+SUKB!K16+UCT!K14+SPSSN!K14+IBA!K14+CTT!K14+ÚVT!K14+CJV!K14+CZS!K14+RMU!K14</f>
        <v>0</v>
      </c>
      <c r="L14" s="150">
        <f>SKM!L14+SUKB!L16+UCT!L14+SPSSN!L14+IBA!L14+CTT!L14+ÚVT!L14+CJV!L14+CZS!L14+RMU!L14</f>
        <v>0</v>
      </c>
      <c r="M14" s="150">
        <f>SKM!M14+SUKB!M16+UCT!M14+SPSSN!M14+IBA!M14+CTT!M14+ÚVT!M14+CJV!M14+CZS!M14+RMU!M14</f>
        <v>9000</v>
      </c>
      <c r="N14" s="209">
        <f>SKM!N14+SUKB!N16+UCT!N14+SPSSN!N14+IBA!N14+CTT!N14+ÚVT!N14+CJV!N14+CZS!N14+RMU!N14</f>
        <v>114678438.06</v>
      </c>
      <c r="O14" s="528"/>
      <c r="P14" s="529"/>
      <c r="Q14" s="529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44476939</v>
      </c>
      <c r="G15" s="91"/>
      <c r="H15" s="207">
        <f>SKM!H15+SUKB!H17+UCT!H15+SPSSN!H15+IBA!H15+CTT!H15+ÚVT!H15+CJV!H15+CZS!H15+RMU!H15</f>
        <v>32501939</v>
      </c>
      <c r="I15" s="305">
        <f>SKM!I15+SUKB!I17+UCT!I15+SPSSN!I15+IBA!I15+CTT!I15+ÚVT!I15+CJV!I15+CZS!I15+RMU!I15</f>
        <v>7851000</v>
      </c>
      <c r="J15" s="150">
        <f>SKM!J15+SUKB!J17+UCT!J15+SPSSN!J15+IBA!J15+CTT!J15+ÚVT!J15+CJV!J15+CZS!J15+RMU!J15</f>
        <v>90000</v>
      </c>
      <c r="K15" s="150">
        <f>SKM!K15+SUKB!K17+UCT!K15+SPSSN!K15+IBA!K15+CTT!K15+ÚVT!K15+CJV!K15+CZS!K15+RMU!K15</f>
        <v>0</v>
      </c>
      <c r="L15" s="150">
        <f>SKM!L15+SUKB!L17+UCT!L15+SPSSN!L15+IBA!L15+CTT!L15+ÚVT!L15+CJV!L15+CZS!L15+RMU!L15</f>
        <v>4034000</v>
      </c>
      <c r="M15" s="150">
        <f>SKM!M15+SUKB!M17+UCT!M15+SPSSN!M15+IBA!M15+CTT!M15+ÚVT!M15+CJV!M15+CZS!M15+RMU!M15</f>
        <v>0</v>
      </c>
      <c r="N15" s="209">
        <f>SKM!N15+SUKB!N17+UCT!N15+SPSSN!N15+IBA!N15+CTT!N15+ÚVT!N15+CJV!N15+CZS!N15+RMU!N15</f>
        <v>87799219.63</v>
      </c>
      <c r="O15" s="528"/>
      <c r="P15" s="529"/>
      <c r="Q15" s="529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210">
        <f>SKM!H16+SUKB!H18+UCT!H16+SPSSN!H16+IBA!H16+CTT!H16+ÚVT!H16+CJV!H16+CZS!H16+RMU!H16</f>
        <v>0</v>
      </c>
      <c r="I16" s="412">
        <f>SKM!I16+SUKB!I18+UCT!I16+SPSSN!I16+IBA!I16+CTT!I16+ÚVT!I16+CJV!I16+CZS!I16+RMU!I16</f>
        <v>0</v>
      </c>
      <c r="J16" s="104">
        <f>SKM!J16+SUKB!J18+UCT!J16+SPSSN!J16+IBA!J16+CTT!J16+ÚVT!J16+CJV!J16+CZS!J16+RMU!J16</f>
        <v>0</v>
      </c>
      <c r="K16" s="104">
        <f>SKM!K16+SUKB!K18+UCT!K16+SPSSN!K16+IBA!K16+CTT!K16+ÚVT!K16+CJV!K16+CZS!K16+RMU!K16</f>
        <v>0</v>
      </c>
      <c r="L16" s="104">
        <f>SKM!L16+SUKB!L18+UCT!L16+SPSSN!L16+IBA!L16+CTT!L16+ÚVT!L16+CJV!L16+CZS!L16+RMU!L16</f>
        <v>0</v>
      </c>
      <c r="M16" s="104">
        <f>SKM!M16+SUKB!M18+UCT!M16+SPSSN!M16+IBA!M16+CTT!M16+ÚVT!M16+CJV!M16+CZS!M16+RMU!M16</f>
        <v>0</v>
      </c>
      <c r="N16" s="105">
        <f>SKM!N16+SUKB!N18+UCT!N16+SPSSN!N16+IBA!N16+CTT!N16+ÚVT!N16+CJV!N16+CZS!N16+RMU!N16</f>
        <v>0</v>
      </c>
      <c r="O16" s="522"/>
      <c r="P16" s="527"/>
      <c r="Q16" s="527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31000000</v>
      </c>
      <c r="G17" s="97"/>
      <c r="H17" s="210">
        <f>SKM!H17+SUKB!H19+UCT!H17+SPSSN!H17+IBA!H17+CTT!H17+ÚVT!H17+CJV!H17+CZS!H17+RMU!H17</f>
        <v>30055000</v>
      </c>
      <c r="I17" s="412">
        <f>SKM!I17+SUKB!I19+UCT!I17+SPSSN!I17+IBA!I17+CTT!I17+ÚVT!I17+CJV!I17+CZS!I17+RMU!I17</f>
        <v>0</v>
      </c>
      <c r="J17" s="104">
        <f>SKM!J17+SUKB!J19+UCT!J17+SPSSN!J17+IBA!J17+CTT!J17+ÚVT!J17+CJV!J17+CZS!J17+RMU!J17</f>
        <v>945000</v>
      </c>
      <c r="K17" s="104">
        <f>SKM!K17+SUKB!K19+UCT!K17+SPSSN!K17+IBA!K17+CTT!K17+ÚVT!K17+CJV!K17+CZS!K17+RMU!K17</f>
        <v>0</v>
      </c>
      <c r="L17" s="104">
        <f>SKM!L17+SUKB!L19+UCT!L17+SPSSN!L17+IBA!L17+CTT!L17+ÚVT!L17+CJV!L17+CZS!L17+RMU!L17</f>
        <v>0</v>
      </c>
      <c r="M17" s="104">
        <f>SKM!M17+SUKB!M19+UCT!M17+SPSSN!M17+IBA!M17+CTT!M17+ÚVT!M17+CJV!M17+CZS!M17+RMU!M17</f>
        <v>0</v>
      </c>
      <c r="N17" s="105">
        <f>SKM!N17+SUKB!N19+UCT!N17+SPSSN!N17+IBA!N17+CTT!N17+ÚVT!N17+CJV!N17+CZS!N17+RMU!N17</f>
        <v>29516890.48</v>
      </c>
      <c r="O17" s="522"/>
      <c r="P17" s="527"/>
      <c r="Q17" s="527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80911000</v>
      </c>
      <c r="G18" s="97"/>
      <c r="H18" s="210">
        <f>SKM!H18+SUKB!H20+UCT!H18+SPSSN!H18+IBA!H18+CTT!H18+ÚVT!H18+CJV!H18+CZS!H18+RMU!H18</f>
        <v>80911000</v>
      </c>
      <c r="I18" s="412">
        <f>SKM!I18+SUKB!I20+UCT!I18+SPSSN!I18+IBA!I18+CTT!I18+ÚVT!I18+CJV!I18+CZS!I18+RMU!I18</f>
        <v>0</v>
      </c>
      <c r="J18" s="104">
        <f>SKM!J18+SUKB!J20+UCT!J18+SPSSN!J18+IBA!J18+CTT!J18+ÚVT!J18+CJV!J18+CZS!J18+RMU!J18</f>
        <v>0</v>
      </c>
      <c r="K18" s="104">
        <f>SKM!K18+SUKB!K20+UCT!K18+SPSSN!K18+IBA!K18+CTT!K18+ÚVT!K18+CJV!K18+CZS!K18+RMU!K18</f>
        <v>0</v>
      </c>
      <c r="L18" s="104">
        <f>SKM!L18+SUKB!L20+UCT!L18+SPSSN!L18+IBA!L18+CTT!L18+ÚVT!L18+CJV!L18+CZS!L18+RMU!L18</f>
        <v>0</v>
      </c>
      <c r="M18" s="104">
        <f>SKM!M18+SUKB!M20+UCT!M18+SPSSN!M18+IBA!M18+CTT!M18+ÚVT!M18+CJV!M18+CZS!M18+RMU!M18</f>
        <v>0</v>
      </c>
      <c r="N18" s="105">
        <f>SKM!N18+SUKB!N20+UCT!N18+SPSSN!N18+IBA!N18+CTT!N18+ÚVT!N18+CJV!N18+CZS!N18+RMU!N18</f>
        <v>56434831.25</v>
      </c>
      <c r="O18" s="522"/>
      <c r="P18" s="527"/>
      <c r="Q18" s="527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210">
        <f>SKM!H19+SUKB!H21+UCT!H19+SPSSN!H19+IBA!H19+CTT!H19+ÚVT!H19+CJV!H19+CZS!H19+RMU!H19</f>
        <v>0</v>
      </c>
      <c r="I19" s="412">
        <f>SKM!I19+SUKB!I21+UCT!I19+SPSSN!I19+IBA!I19+CTT!I19+ÚVT!I19+CJV!I19+CZS!I19+RMU!I19</f>
        <v>0</v>
      </c>
      <c r="J19" s="104">
        <f>SKM!J19+SUKB!J21+UCT!J19+SPSSN!J19+IBA!J19+CTT!J19+ÚVT!J19+CJV!J19+CZS!J19+RMU!J19</f>
        <v>0</v>
      </c>
      <c r="K19" s="104">
        <f>SKM!K19+SUKB!K21+UCT!K19+SPSSN!K19+IBA!K19+CTT!K19+ÚVT!K19+CJV!K19+CZS!K19+RMU!K19</f>
        <v>0</v>
      </c>
      <c r="L19" s="104">
        <f>SKM!L19+SUKB!L21+UCT!L19+SPSSN!L19+IBA!L19+CTT!L19+ÚVT!L19+CJV!L19+CZS!L19+RMU!L19</f>
        <v>0</v>
      </c>
      <c r="M19" s="104">
        <f>SKM!M19+SUKB!M21+UCT!M19+SPSSN!M19+IBA!M19+CTT!M19+ÚVT!M19+CJV!M19+CZS!M19+RMU!M19</f>
        <v>0</v>
      </c>
      <c r="N19" s="105">
        <f>SKM!N19+SUKB!N21+UCT!N19+SPSSN!N19+IBA!N19+CTT!N19+ÚVT!N19+CJV!N19+CZS!N19+RMU!N19</f>
        <v>0</v>
      </c>
      <c r="O19" s="522"/>
      <c r="P19" s="527"/>
      <c r="Q19" s="527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4627476</v>
      </c>
      <c r="G20" s="97"/>
      <c r="H20" s="210">
        <f>SKM!H20+SUKB!H22+UCT!H20+SPSSN!H20+IBA!H20+CTT!H20+ÚVT!H20+CJV!H20+CZS!H20+RMU!H20</f>
        <v>4627476</v>
      </c>
      <c r="I20" s="412">
        <f>SKM!I20+SUKB!I22+UCT!I20+SPSSN!I20+IBA!I20+CTT!I20+ÚVT!I20+CJV!I20+CZS!I20+RMU!I20</f>
        <v>0</v>
      </c>
      <c r="J20" s="104">
        <f>SKM!J20+SUKB!J22+UCT!J20+SPSSN!J20+IBA!J20+CTT!J20+ÚVT!J20+CJV!J20+CZS!J20+RMU!J20</f>
        <v>0</v>
      </c>
      <c r="K20" s="104">
        <f>SKM!K20+SUKB!K22+UCT!K20+SPSSN!K20+IBA!K20+CTT!K20+ÚVT!K20+CJV!K20+CZS!K20+RMU!K20</f>
        <v>0</v>
      </c>
      <c r="L20" s="104">
        <f>SKM!L20+SUKB!L22+UCT!L20+SPSSN!L20+IBA!L20+CTT!L20+ÚVT!L20+CJV!L20+CZS!L20+RMU!L20</f>
        <v>0</v>
      </c>
      <c r="M20" s="104">
        <f>SKM!M20+SUKB!M22+UCT!M20+SPSSN!M20+IBA!M20+CTT!M20+ÚVT!M20+CJV!M20+CZS!M20+RMU!M20</f>
        <v>0</v>
      </c>
      <c r="N20" s="105">
        <f>SKM!N20+SUKB!N22+UCT!N20+SPSSN!N20+IBA!N20+CTT!N20+ÚVT!N20+CJV!N20+CZS!N20+RMU!N20</f>
        <v>2842090.26</v>
      </c>
      <c r="O20" s="522"/>
      <c r="P20" s="527"/>
      <c r="Q20" s="527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4607000</v>
      </c>
      <c r="G21" s="97"/>
      <c r="H21" s="210">
        <f>SKM!H21+SUKB!H23+UCT!H21+SPSSN!H21+IBA!H21+CTT!H21+ÚVT!H21+CJV!H21+CZS!H21+RMU!H21</f>
        <v>4607000</v>
      </c>
      <c r="I21" s="412">
        <f>SKM!I21+SUKB!I23+UCT!I21+SPSSN!I21+IBA!I21+CTT!I21+ÚVT!I21+CJV!I21+CZS!I21+RMU!I21</f>
        <v>0</v>
      </c>
      <c r="J21" s="104">
        <f>SKM!J21+SUKB!J23+UCT!J21+SPSSN!J21+IBA!J21+CTT!J21+ÚVT!J21+CJV!J21+CZS!J21+RMU!J21</f>
        <v>0</v>
      </c>
      <c r="K21" s="104">
        <f>SKM!K21+SUKB!K23+UCT!K21+SPSSN!K21+IBA!K21+CTT!K21+ÚVT!K21+CJV!K21+CZS!K21+RMU!K21</f>
        <v>0</v>
      </c>
      <c r="L21" s="104">
        <f>SKM!L21+SUKB!L23+UCT!L21+SPSSN!L21+IBA!L21+CTT!L21+ÚVT!L21+CJV!L21+CZS!L21+RMU!L21</f>
        <v>0</v>
      </c>
      <c r="M21" s="104">
        <f>SKM!M21+SUKB!M23+UCT!M21+SPSSN!M21+IBA!M21+CTT!M21+ÚVT!M21+CJV!M21+CZS!M21+RMU!M21</f>
        <v>0</v>
      </c>
      <c r="N21" s="105">
        <f>SKM!N21+SUKB!N23+UCT!N21+SPSSN!N21+IBA!N21+CTT!N21+ÚVT!N21+CJV!N21+CZS!N21+RMU!N21</f>
        <v>3110458.48</v>
      </c>
      <c r="O21" s="522"/>
      <c r="P21" s="527"/>
      <c r="Q21" s="527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35653000</v>
      </c>
      <c r="G22" s="97"/>
      <c r="H22" s="210">
        <f>SKM!H22+SUKB!H24+UCT!H22+SPSSN!H22+IBA!H22+CTT!H22+ÚVT!H22+CJV!H22+CZS!H22+RMU!H22</f>
        <v>25373000</v>
      </c>
      <c r="I22" s="412">
        <f>SKM!I22+SUKB!I24+UCT!I22+SPSSN!I22+IBA!I22+CTT!I22+ÚVT!I22+CJV!I22+CZS!I22+RMU!I22</f>
        <v>0</v>
      </c>
      <c r="J22" s="104">
        <f>SKM!J22+SUKB!J24+UCT!J22+SPSSN!J22+IBA!J22+CTT!J22+ÚVT!J22+CJV!J22+CZS!J22+RMU!J22</f>
        <v>10280000</v>
      </c>
      <c r="K22" s="104">
        <f>SKM!K22+SUKB!K24+UCT!K22+SPSSN!K22+IBA!K22+CTT!K22+ÚVT!K22+CJV!K22+CZS!K22+RMU!K22</f>
        <v>0</v>
      </c>
      <c r="L22" s="104">
        <f>SKM!L22+SUKB!L24+UCT!L22+SPSSN!L22+IBA!L22+CTT!L22+ÚVT!L22+CJV!L22+CZS!L22+RMU!L22</f>
        <v>0</v>
      </c>
      <c r="M22" s="104">
        <f>SKM!M22+SUKB!M24+UCT!M22+SPSSN!M22+IBA!M22+CTT!M22+ÚVT!M22+CJV!M22+CZS!M22+RMU!M22</f>
        <v>0</v>
      </c>
      <c r="N22" s="105">
        <f>SKM!N22+SUKB!N24+UCT!N22+SPSSN!N22+IBA!N22+CTT!N22+ÚVT!N22+CJV!N22+CZS!N22+RMU!N22</f>
        <v>36270660.98</v>
      </c>
      <c r="O22" s="522"/>
      <c r="P22" s="527"/>
      <c r="Q22" s="527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60000</v>
      </c>
      <c r="G23" s="97"/>
      <c r="H23" s="210">
        <f>SKM!H23+SUKB!H25+UCT!H23+SPSSN!H23+IBA!H23+CTT!H23+ÚVT!H23+CJV!H23+CZS!H23+RMU!H23</f>
        <v>0</v>
      </c>
      <c r="I23" s="412">
        <f>SKM!I23+SUKB!I25+UCT!I23+SPSSN!I23+IBA!I23+CTT!I23+ÚVT!I23+CJV!I23+CZS!I23+RMU!I23</f>
        <v>0</v>
      </c>
      <c r="J23" s="104">
        <f>SKM!J23+SUKB!J25+UCT!J23+SPSSN!J23+IBA!J23+CTT!J23+ÚVT!J23+CJV!J23+CZS!J23+RMU!J23</f>
        <v>60000</v>
      </c>
      <c r="K23" s="104">
        <f>SKM!K23+SUKB!K25+UCT!K23+SPSSN!K23+IBA!K23+CTT!K23+ÚVT!K23+CJV!K23+CZS!K23+RMU!K23</f>
        <v>0</v>
      </c>
      <c r="L23" s="104">
        <f>SKM!L23+SUKB!L25+UCT!L23+SPSSN!L23+IBA!L23+CTT!L23+ÚVT!L23+CJV!L23+CZS!L23+RMU!L23</f>
        <v>0</v>
      </c>
      <c r="M23" s="104">
        <f>SKM!M23+SUKB!M25+UCT!M23+SPSSN!M23+IBA!M23+CTT!M23+ÚVT!M23+CJV!M23+CZS!M23+RMU!M23</f>
        <v>0</v>
      </c>
      <c r="N23" s="105">
        <f>SKM!N23+SUKB!N25+UCT!N23+SPSSN!N23+IBA!N23+CTT!N23+ÚVT!N23+CJV!N23+CZS!N23+RMU!N23</f>
        <v>1346517.33</v>
      </c>
      <c r="O23" s="522"/>
      <c r="P23" s="527"/>
      <c r="Q23" s="527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20536000</v>
      </c>
      <c r="G24" s="97"/>
      <c r="H24" s="210">
        <f>SKM!H24+SUKB!H26+UCT!H24+SPSSN!H24+IBA!H24+CTT!H24+ÚVT!H24+CJV!H24+CZS!H24+RMU!H24</f>
        <v>20536000</v>
      </c>
      <c r="I24" s="412">
        <f>SKM!I24+SUKB!I26+UCT!I24+SPSSN!I24+IBA!I24+CTT!I24+ÚVT!I24+CJV!I24+CZS!I24+RMU!I24</f>
        <v>0</v>
      </c>
      <c r="J24" s="104">
        <f>SKM!J24+SUKB!J26+UCT!J24+SPSSN!J24+IBA!J24+CTT!J24+ÚVT!J24+CJV!J24+CZS!J24+RMU!J24</f>
        <v>0</v>
      </c>
      <c r="K24" s="104">
        <f>SKM!K24+SUKB!K26+UCT!K24+SPSSN!K24+IBA!K24+CTT!K24+ÚVT!K24+CJV!K24+CZS!K24+RMU!K24</f>
        <v>0</v>
      </c>
      <c r="L24" s="104">
        <f>SKM!L24+SUKB!L26+UCT!L24+SPSSN!L24+IBA!L24+CTT!L24+ÚVT!L24+CJV!L24+CZS!L24+RMU!L24</f>
        <v>0</v>
      </c>
      <c r="M24" s="104">
        <f>SKM!M24+SUKB!M26+UCT!M24+SPSSN!M24+IBA!M24+CTT!M24+ÚVT!M24+CJV!M24+CZS!M24+RMU!M24</f>
        <v>0</v>
      </c>
      <c r="N24" s="105">
        <f>SKM!N24+SUKB!N26+UCT!N24+SPSSN!N24+IBA!N24+CTT!N24+ÚVT!N24+CJV!N24+CZS!N24+RMU!N24</f>
        <v>13668000</v>
      </c>
      <c r="O24" s="522"/>
      <c r="P24" s="527"/>
      <c r="Q24" s="527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1334333</v>
      </c>
      <c r="G25" s="97"/>
      <c r="H25" s="210">
        <f>SKM!H25+SUKB!H27+UCT!H25+SPSSN!H25+IBA!H25+CTT!H25+ÚVT!H25+CJV!H25+CZS!H25+RMU!H25</f>
        <v>1224333</v>
      </c>
      <c r="I25" s="412">
        <f>SKM!I25+SUKB!I27+UCT!I25+SPSSN!I25+IBA!I25+CTT!I25+ÚVT!I25+CJV!I25+CZS!I25+RMU!I25</f>
        <v>0</v>
      </c>
      <c r="J25" s="104">
        <f>SKM!J25+SUKB!J27+UCT!J25+SPSSN!J25+IBA!J25+CTT!J25+ÚVT!J25+CJV!J25+CZS!J25+RMU!J25</f>
        <v>110000</v>
      </c>
      <c r="K25" s="104">
        <f>SKM!K25+SUKB!K27+UCT!K25+SPSSN!K25+IBA!K25+CTT!K25+ÚVT!K25+CJV!K25+CZS!K25+RMU!K25</f>
        <v>0</v>
      </c>
      <c r="L25" s="104">
        <f>SKM!L25+SUKB!L27+UCT!L25+SPSSN!L25+IBA!L25+CTT!L25+ÚVT!L25+CJV!L25+CZS!L25+RMU!L25</f>
        <v>0</v>
      </c>
      <c r="M25" s="104">
        <f>SKM!M25+SUKB!M27+UCT!M25+SPSSN!M25+IBA!M25+CTT!M25+ÚVT!M25+CJV!M25+CZS!M25+RMU!M25</f>
        <v>0</v>
      </c>
      <c r="N25" s="105">
        <f>SKM!N25+SUKB!N27+UCT!N25+SPSSN!N25+IBA!N25+CTT!N25+ÚVT!N25+CJV!N25+CZS!N25+RMU!N25</f>
        <v>3497813.7</v>
      </c>
      <c r="O25" s="522"/>
      <c r="P25" s="527"/>
      <c r="Q25" s="527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210">
        <f>SKM!H26+SUKB!H28+UCT!H26+SPSSN!H26+IBA!H26+CTT!H26+ÚVT!H26+CJV!H26+CZS!H26+RMU!H26</f>
        <v>0</v>
      </c>
      <c r="I26" s="412">
        <f>SKM!I26+SUKB!I28+UCT!I26+SPSSN!I26+IBA!I26+CTT!I26+ÚVT!I26+CJV!I26+CZS!I26+RMU!I26</f>
        <v>0</v>
      </c>
      <c r="J26" s="104">
        <f>SKM!J26+SUKB!J28+UCT!J26+SPSSN!J26+IBA!J26+CTT!J26+ÚVT!J26+CJV!J26+CZS!J26+RMU!J26</f>
        <v>0</v>
      </c>
      <c r="K26" s="104">
        <f>SKM!K26+SUKB!K28+UCT!K26+SPSSN!K26+IBA!K26+CTT!K26+ÚVT!K26+CJV!K26+CZS!K26+RMU!K26</f>
        <v>0</v>
      </c>
      <c r="L26" s="104">
        <f>SKM!L26+SUKB!L28+UCT!L26+SPSSN!L26+IBA!L26+CTT!L26+ÚVT!L26+CJV!L26+CZS!L26+RMU!L26</f>
        <v>0</v>
      </c>
      <c r="M26" s="104">
        <f>SKM!M26+SUKB!M28+UCT!M26+SPSSN!M26+IBA!M26+CTT!M26+ÚVT!M26+CJV!M26+CZS!M26+RMU!M26</f>
        <v>0</v>
      </c>
      <c r="N26" s="105">
        <f>SKM!N26+SUKB!N28+UCT!N26+SPSSN!N26+IBA!N26+CTT!N26+ÚVT!N26+CJV!N26+CZS!N26+RMU!N26</f>
        <v>335232</v>
      </c>
      <c r="O26" s="522"/>
      <c r="P26" s="527"/>
      <c r="Q26" s="527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65373850</v>
      </c>
      <c r="G27" s="97"/>
      <c r="H27" s="210">
        <f>SKM!H27+SUKB!H29+UCT!H27+SPSSN!H27+IBA!H27+CTT!H27+ÚVT!H27+CJV!H27+CZS!H27+RMU!H27</f>
        <v>65373850</v>
      </c>
      <c r="I27" s="412">
        <f>SKM!I27+SUKB!I29+UCT!I27+SPSSN!I27+IBA!I27+CTT!I27+ÚVT!I27+CJV!I27+CZS!I27+RMU!I27</f>
        <v>0</v>
      </c>
      <c r="J27" s="104">
        <f>SKM!J27+SUKB!J29+UCT!J27+SPSSN!J27+IBA!J27+CTT!J27+ÚVT!J27+CJV!J27+CZS!J27+RMU!J27</f>
        <v>0</v>
      </c>
      <c r="K27" s="104">
        <f>SKM!K27+SUKB!K29+UCT!K27+SPSSN!K27+IBA!K27+CTT!K27+ÚVT!K27+CJV!K27+CZS!K27+RMU!K27</f>
        <v>0</v>
      </c>
      <c r="L27" s="104">
        <f>SKM!L27+SUKB!L29+UCT!L27+SPSSN!L27+IBA!L27+CTT!L27+ÚVT!L27+CJV!L27+CZS!L27+RMU!L27</f>
        <v>0</v>
      </c>
      <c r="M27" s="104">
        <f>SKM!M27+SUKB!M29+UCT!M27+SPSSN!M27+IBA!M27+CTT!M27+ÚVT!M27+CJV!M27+CZS!M27+RMU!M27</f>
        <v>0</v>
      </c>
      <c r="N27" s="105">
        <f>SKM!N27+SUKB!N29+UCT!N27+SPSSN!N27+IBA!N27+CTT!N27+ÚVT!N27+CJV!N27+CZS!N27+RMU!N27</f>
        <v>72437599.21000001</v>
      </c>
      <c r="O27" s="522"/>
      <c r="P27" s="527"/>
      <c r="Q27" s="52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 aca="true" t="shared" si="3" ref="F28:N28">SUM(F29:F45)</f>
        <v>1213814649</v>
      </c>
      <c r="G28" s="127">
        <f t="shared" si="3"/>
        <v>0</v>
      </c>
      <c r="H28" s="309">
        <f t="shared" si="3"/>
        <v>1065887878</v>
      </c>
      <c r="I28" s="310">
        <f t="shared" si="3"/>
        <v>100754771</v>
      </c>
      <c r="J28" s="311">
        <f t="shared" si="3"/>
        <v>37689000</v>
      </c>
      <c r="K28" s="311">
        <f t="shared" si="3"/>
        <v>5440000</v>
      </c>
      <c r="L28" s="311">
        <f t="shared" si="3"/>
        <v>4034000</v>
      </c>
      <c r="M28" s="312">
        <f t="shared" si="3"/>
        <v>9000</v>
      </c>
      <c r="N28" s="84">
        <f t="shared" si="3"/>
        <v>1117367354.67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13">
        <v>27</v>
      </c>
      <c r="F29" s="128">
        <f aca="true" t="shared" si="4" ref="F29:F45">SUM(H29:M29)</f>
        <v>408459000</v>
      </c>
      <c r="G29" s="86"/>
      <c r="H29" s="210">
        <f>SKM!H29+SUKB!H31+UCT!H29+SPSSN!H29+IBA!H29+CTT!H29+ÚVT!H29+CJV!H29+CZS!H29+RMU!H29</f>
        <v>408459000</v>
      </c>
      <c r="I29" s="412">
        <f>SKM!I29+SUKB!I31+UCT!I29+SPSSN!I29+IBA!I29+CTT!I29+ÚVT!I29+CJV!I29+CZS!I29+RMU!I29</f>
        <v>0</v>
      </c>
      <c r="J29" s="104">
        <f>SKM!J29+SUKB!J31+UCT!J29+SPSSN!J29+IBA!J29+CTT!J29+ÚVT!J29+CJV!J29+CZS!J29+RMU!J29</f>
        <v>0</v>
      </c>
      <c r="K29" s="104">
        <f>SKM!K29+SUKB!K31+UCT!K29+SPSSN!K29+IBA!K29+CTT!K29+ÚVT!K29+CJV!K29+CZS!K29+RMU!K29</f>
        <v>0</v>
      </c>
      <c r="L29" s="104">
        <f>SKM!L29+SUKB!L31+UCT!L29+SPSSN!L29+IBA!L29+CTT!L29+ÚVT!L29+CJV!L29+CZS!L29+RMU!L29</f>
        <v>0</v>
      </c>
      <c r="M29" s="104">
        <f>SKM!M29+SUKB!M31+UCT!M29+SPSSN!M29+IBA!M29+CTT!M29+ÚVT!M29+CJV!M29+CZS!M29+RMU!M29</f>
        <v>0</v>
      </c>
      <c r="N29" s="105">
        <f>SKM!N29+SUKB!N31+UCT!N29+SPSSN!N29+IBA!N29+CTT!N29+ÚVT!N29+CJV!N29+CZS!N29+RMU!N29</f>
        <v>387519222.43</v>
      </c>
      <c r="O29" s="522"/>
      <c r="P29" s="527"/>
      <c r="Q29" s="527"/>
    </row>
    <row r="30" spans="1:17" s="25" customFormat="1" ht="12">
      <c r="A30" s="21"/>
      <c r="B30" s="30" t="s">
        <v>28</v>
      </c>
      <c r="C30" s="30"/>
      <c r="D30" s="30"/>
      <c r="E30" s="213">
        <v>28</v>
      </c>
      <c r="F30" s="130">
        <f t="shared" si="4"/>
        <v>0</v>
      </c>
      <c r="G30" s="102"/>
      <c r="H30" s="210">
        <f>SKM!H30+SUKB!H32+UCT!H30+SPSSN!H30+IBA!H30+CTT!H30+ÚVT!H30+CJV!H30+CZS!H30+RMU!H30</f>
        <v>0</v>
      </c>
      <c r="I30" s="412">
        <f>SKM!I30+SUKB!I32+UCT!I30+SPSSN!I30+IBA!I30+CTT!I30+ÚVT!I30+CJV!I30+CZS!I30+RMU!I30</f>
        <v>0</v>
      </c>
      <c r="J30" s="104">
        <f>SKM!J30+SUKB!J32+UCT!J30+SPSSN!J30+IBA!J30+CTT!J30+ÚVT!J30+CJV!J30+CZS!J30+RMU!J30</f>
        <v>0</v>
      </c>
      <c r="K30" s="104">
        <f>SKM!K30+SUKB!K32+UCT!K30+SPSSN!K30+IBA!K30+CTT!K30+ÚVT!K30+CJV!K30+CZS!K30+RMU!K30</f>
        <v>0</v>
      </c>
      <c r="L30" s="104">
        <f>SKM!L30+SUKB!L32+UCT!L30+SPSSN!L30+IBA!L30+CTT!L30+ÚVT!L30+CJV!L30+CZS!L30+RMU!L30</f>
        <v>0</v>
      </c>
      <c r="M30" s="104">
        <f>SKM!M30+SUKB!M32+UCT!M30+SPSSN!M30+IBA!M30+CTT!M30+ÚVT!M30+CJV!M30+CZS!M30+RMU!M30</f>
        <v>0</v>
      </c>
      <c r="N30" s="105">
        <f>SKM!N30+SUKB!N32+UCT!N30+SPSSN!N30+IBA!N30+CTT!N30+ÚVT!N30+CJV!N30+CZS!N30+RMU!N30</f>
        <v>0</v>
      </c>
      <c r="O30" s="522"/>
      <c r="P30" s="527"/>
      <c r="Q30" s="527"/>
    </row>
    <row r="31" spans="1:17" s="25" customFormat="1" ht="12">
      <c r="A31" s="21"/>
      <c r="B31" s="30" t="s">
        <v>30</v>
      </c>
      <c r="C31" s="30"/>
      <c r="D31" s="30"/>
      <c r="E31" s="213">
        <v>29</v>
      </c>
      <c r="F31" s="130">
        <f t="shared" si="4"/>
        <v>31000000</v>
      </c>
      <c r="G31" s="102"/>
      <c r="H31" s="210">
        <f>SKM!H31+SUKB!H33+UCT!H31+SPSSN!H31+IBA!H31+CTT!H31+ÚVT!H31+CJV!H31+CZS!H31+RMU!H31</f>
        <v>30055000</v>
      </c>
      <c r="I31" s="412">
        <f>SKM!I31+SUKB!I33+UCT!I31+SPSSN!I31+IBA!I31+CTT!I31+ÚVT!I31+CJV!I31+CZS!I31+RMU!I31</f>
        <v>0</v>
      </c>
      <c r="J31" s="104">
        <f>SKM!J31+SUKB!J33+UCT!J31+SPSSN!J31+IBA!J31+CTT!J31+ÚVT!J31+CJV!J31+CZS!J31+RMU!J31</f>
        <v>945000</v>
      </c>
      <c r="K31" s="104">
        <f>SKM!K31+SUKB!K33+UCT!K31+SPSSN!K31+IBA!K31+CTT!K31+ÚVT!K31+CJV!K31+CZS!K31+RMU!K31</f>
        <v>0</v>
      </c>
      <c r="L31" s="104">
        <f>SKM!L31+SUKB!L33+UCT!L31+SPSSN!L31+IBA!L31+CTT!L31+ÚVT!L31+CJV!L31+CZS!L31+RMU!L31</f>
        <v>0</v>
      </c>
      <c r="M31" s="104">
        <f>SKM!M31+SUKB!M33+UCT!M31+SPSSN!M31+IBA!M31+CTT!M31+ÚVT!M31+CJV!M31+CZS!M31+RMU!M31</f>
        <v>0</v>
      </c>
      <c r="N31" s="105">
        <f>SKM!N31+SUKB!N33+UCT!N31+SPSSN!N31+IBA!N31+CTT!N31+ÚVT!N31+CJV!N31+CZS!N31+RMU!N31</f>
        <v>29516890.48</v>
      </c>
      <c r="O31" s="522"/>
      <c r="P31" s="527"/>
      <c r="Q31" s="527"/>
    </row>
    <row r="32" spans="1:17" s="25" customFormat="1" ht="12">
      <c r="A32" s="21"/>
      <c r="B32" s="31" t="s">
        <v>32</v>
      </c>
      <c r="C32" s="32"/>
      <c r="D32" s="32"/>
      <c r="E32" s="214">
        <v>30</v>
      </c>
      <c r="F32" s="130">
        <f t="shared" si="4"/>
        <v>80911000</v>
      </c>
      <c r="G32" s="102"/>
      <c r="H32" s="210">
        <f>SKM!H32+SUKB!H34+UCT!H32+SPSSN!H32+IBA!H32+CTT!H32+ÚVT!H32+CJV!H32+CZS!H32+RMU!H32</f>
        <v>80911000</v>
      </c>
      <c r="I32" s="412">
        <f>SKM!I32+SUKB!I34+UCT!I32+SPSSN!I32+IBA!I32+CTT!I32+ÚVT!I32+CJV!I32+CZS!I32+RMU!I32</f>
        <v>0</v>
      </c>
      <c r="J32" s="104">
        <f>SKM!J32+SUKB!J34+UCT!J32+SPSSN!J32+IBA!J32+CTT!J32+ÚVT!J32+CJV!J32+CZS!J32+RMU!J32</f>
        <v>0</v>
      </c>
      <c r="K32" s="104">
        <f>SKM!K32+SUKB!K34+UCT!K32+SPSSN!K32+IBA!K32+CTT!K32+ÚVT!K32+CJV!K32+CZS!K32+RMU!K32</f>
        <v>0</v>
      </c>
      <c r="L32" s="104">
        <f>SKM!L32+SUKB!L34+UCT!L32+SPSSN!L32+IBA!L32+CTT!L32+ÚVT!L32+CJV!L32+CZS!L32+RMU!L32</f>
        <v>0</v>
      </c>
      <c r="M32" s="104">
        <f>SKM!M32+SUKB!M34+UCT!M32+SPSSN!M32+IBA!M32+CTT!M32+ÚVT!M32+CJV!M32+CZS!M32+RMU!M32</f>
        <v>0</v>
      </c>
      <c r="N32" s="105">
        <f>SKM!N32+SUKB!N34+UCT!N32+SPSSN!N32+IBA!N32+CTT!N32+ÚVT!N32+CJV!N32+CZS!N32+RMU!N32</f>
        <v>56434831.25</v>
      </c>
      <c r="O32" s="522"/>
      <c r="P32" s="540">
        <f>SKM!P32+SUKB!P34+UCT!P32+SPSSN!P32+IBA!P32+CTT!P32+ÚVT!P32+CJV!P32+CZS!P32+RMU!P32</f>
        <v>168001</v>
      </c>
      <c r="Q32" s="540">
        <f>SKM!Q32+SUKB!Q34+UCT!Q32+SPSSN!Q32+IBA!Q32+CTT!Q32+ÚVT!Q32+CJV!Q32+CZS!Q32+RMU!Q32</f>
        <v>82740</v>
      </c>
    </row>
    <row r="33" spans="1:17" s="25" customFormat="1" ht="12">
      <c r="A33" s="21"/>
      <c r="B33" s="31" t="s">
        <v>34</v>
      </c>
      <c r="C33" s="31"/>
      <c r="D33" s="31"/>
      <c r="E33" s="214">
        <v>31</v>
      </c>
      <c r="F33" s="130">
        <f t="shared" si="4"/>
        <v>0</v>
      </c>
      <c r="G33" s="102"/>
      <c r="H33" s="210">
        <f>SKM!H33+SUKB!H35+UCT!H33+SPSSN!H33+IBA!H33+CTT!H33+ÚVT!H33+CJV!H33+CZS!H33+RMU!H33</f>
        <v>0</v>
      </c>
      <c r="I33" s="412">
        <f>SKM!I33+SUKB!I35+UCT!I33+SPSSN!I33+IBA!I33+CTT!I33+ÚVT!I33+CJV!I33+CZS!I33+RMU!I33</f>
        <v>0</v>
      </c>
      <c r="J33" s="104">
        <f>SKM!J33+SUKB!J35+UCT!J33+SPSSN!J33+IBA!J33+CTT!J33+ÚVT!J33+CJV!J33+CZS!J33+RMU!J33</f>
        <v>0</v>
      </c>
      <c r="K33" s="104">
        <f>SKM!K33+SUKB!K35+UCT!K33+SPSSN!K33+IBA!K33+CTT!K33+ÚVT!K33+CJV!K33+CZS!K33+RMU!K33</f>
        <v>0</v>
      </c>
      <c r="L33" s="104">
        <f>SKM!L33+SUKB!L35+UCT!L33+SPSSN!L33+IBA!L33+CTT!L33+ÚVT!L33+CJV!L33+CZS!L33+RMU!L33</f>
        <v>0</v>
      </c>
      <c r="M33" s="104">
        <f>SKM!M33+SUKB!M35+UCT!M33+SPSSN!M33+IBA!M33+CTT!M33+ÚVT!M33+CJV!M33+CZS!M33+RMU!M33</f>
        <v>0</v>
      </c>
      <c r="N33" s="105">
        <f>SKM!N33+SUKB!N35+UCT!N33+SPSSN!N33+IBA!N33+CTT!N33+ÚVT!N33+CJV!N33+CZS!N33+RMU!N33</f>
        <v>0</v>
      </c>
      <c r="O33" s="522"/>
      <c r="P33" s="527"/>
      <c r="Q33" s="527"/>
    </row>
    <row r="34" spans="1:17" s="25" customFormat="1" ht="12">
      <c r="A34" s="21"/>
      <c r="B34" s="31" t="s">
        <v>54</v>
      </c>
      <c r="C34" s="31"/>
      <c r="D34" s="31"/>
      <c r="E34" s="214">
        <v>32</v>
      </c>
      <c r="F34" s="130">
        <f t="shared" si="4"/>
        <v>144242000</v>
      </c>
      <c r="G34" s="102"/>
      <c r="H34" s="210">
        <f>SKM!H34+SUKB!H36+UCT!H34+SPSSN!H34+IBA!H34+CTT!H34+ÚVT!H34+CJV!H34+CZS!H34+RMU!H34</f>
        <v>144242000</v>
      </c>
      <c r="I34" s="412">
        <f>SKM!I34+SUKB!I36+UCT!I34+SPSSN!I34+IBA!I34+CTT!I34+ÚVT!I34+CJV!I34+CZS!I34+RMU!I34</f>
        <v>0</v>
      </c>
      <c r="J34" s="104">
        <f>SKM!J34+SUKB!J36+UCT!J34+SPSSN!J34+IBA!J34+CTT!J34+ÚVT!J34+CJV!J34+CZS!J34+RMU!J34</f>
        <v>0</v>
      </c>
      <c r="K34" s="104">
        <f>SKM!K34+SUKB!K36+UCT!K34+SPSSN!K34+IBA!K34+CTT!K34+ÚVT!K34+CJV!K34+CZS!K34+RMU!K34</f>
        <v>0</v>
      </c>
      <c r="L34" s="104">
        <f>SKM!L34+SUKB!L36+UCT!L34+SPSSN!L34+IBA!L34+CTT!L34+ÚVT!L34+CJV!L34+CZS!L34+RMU!L34</f>
        <v>0</v>
      </c>
      <c r="M34" s="104">
        <f>SKM!M34+SUKB!M36+UCT!M34+SPSSN!M34+IBA!M34+CTT!M34+ÚVT!M34+CJV!M34+CZS!M34+RMU!M34</f>
        <v>0</v>
      </c>
      <c r="N34" s="105">
        <f>SKM!N34+SUKB!N36+UCT!N34+SPSSN!N34+IBA!N34+CTT!N34+ÚVT!N34+CJV!N34+CZS!N34+RMU!N34</f>
        <v>139516000</v>
      </c>
      <c r="O34" s="522"/>
      <c r="P34" s="527"/>
      <c r="Q34" s="527"/>
    </row>
    <row r="35" spans="1:17" s="25" customFormat="1" ht="12">
      <c r="A35" s="21"/>
      <c r="B35" s="31" t="s">
        <v>36</v>
      </c>
      <c r="C35" s="31"/>
      <c r="D35" s="31"/>
      <c r="E35" s="214">
        <v>33</v>
      </c>
      <c r="F35" s="130">
        <f t="shared" si="4"/>
        <v>4627476</v>
      </c>
      <c r="G35" s="102"/>
      <c r="H35" s="210">
        <f>SKM!H35+SUKB!H37+UCT!H35+SPSSN!H35+IBA!H35+CTT!H35+ÚVT!H35+CJV!H35+CZS!H35+RMU!H35</f>
        <v>4627476</v>
      </c>
      <c r="I35" s="412">
        <f>SKM!I35+SUKB!I37+UCT!I35+SPSSN!I35+IBA!I35+CTT!I35+ÚVT!I35+CJV!I35+CZS!I35+RMU!I35</f>
        <v>0</v>
      </c>
      <c r="J35" s="104">
        <f>SKM!J35+SUKB!J37+UCT!J35+SPSSN!J35+IBA!J35+CTT!J35+ÚVT!J35+CJV!J35+CZS!J35+RMU!J35</f>
        <v>0</v>
      </c>
      <c r="K35" s="104">
        <f>SKM!K35+SUKB!K37+UCT!K35+SPSSN!K35+IBA!K35+CTT!K35+ÚVT!K35+CJV!K35+CZS!K35+RMU!K35</f>
        <v>0</v>
      </c>
      <c r="L35" s="104">
        <f>SKM!L35+SUKB!L37+UCT!L35+SPSSN!L35+IBA!L35+CTT!L35+ÚVT!L35+CJV!L35+CZS!L35+RMU!L35</f>
        <v>0</v>
      </c>
      <c r="M35" s="104">
        <f>SKM!M35+SUKB!M37+UCT!M35+SPSSN!M35+IBA!M35+CTT!M35+ÚVT!M35+CJV!M35+CZS!M35+RMU!M35</f>
        <v>0</v>
      </c>
      <c r="N35" s="105">
        <f>SKM!N35+SUKB!N37+UCT!N35+SPSSN!N35+IBA!N35+CTT!N35+ÚVT!N35+CJV!N35+CZS!N35+RMU!N35</f>
        <v>2842090.26</v>
      </c>
      <c r="O35" s="522"/>
      <c r="P35" s="527"/>
      <c r="Q35" s="527"/>
    </row>
    <row r="36" spans="1:17" s="25" customFormat="1" ht="12">
      <c r="A36" s="21"/>
      <c r="B36" s="31" t="s">
        <v>38</v>
      </c>
      <c r="C36" s="31"/>
      <c r="D36" s="31"/>
      <c r="E36" s="214">
        <v>34</v>
      </c>
      <c r="F36" s="130">
        <f t="shared" si="4"/>
        <v>4607000</v>
      </c>
      <c r="G36" s="102"/>
      <c r="H36" s="210">
        <f>SKM!H36+SUKB!H38+UCT!H36+SPSSN!H36+IBA!H36+CTT!H36+ÚVT!H36+CJV!H36+CZS!H36+RMU!H36</f>
        <v>4607000</v>
      </c>
      <c r="I36" s="412">
        <f>SKM!I36+SUKB!I38+UCT!I36+SPSSN!I36+IBA!I36+CTT!I36+ÚVT!I36+CJV!I36+CZS!I36+RMU!I36</f>
        <v>0</v>
      </c>
      <c r="J36" s="104">
        <f>SKM!J36+SUKB!J38+UCT!J36+SPSSN!J36+IBA!J36+CTT!J36+ÚVT!J36+CJV!J36+CZS!J36+RMU!J36</f>
        <v>0</v>
      </c>
      <c r="K36" s="104">
        <f>SKM!K36+SUKB!K38+UCT!K36+SPSSN!K36+IBA!K36+CTT!K36+ÚVT!K36+CJV!K36+CZS!K36+RMU!K36</f>
        <v>0</v>
      </c>
      <c r="L36" s="104">
        <f>SKM!L36+SUKB!L38+UCT!L36+SPSSN!L36+IBA!L36+CTT!L36+ÚVT!L36+CJV!L36+CZS!L36+RMU!L36</f>
        <v>0</v>
      </c>
      <c r="M36" s="104">
        <f>SKM!M36+SUKB!M38+UCT!M36+SPSSN!M36+IBA!M36+CTT!M36+ÚVT!M36+CJV!M36+CZS!M36+RMU!M36</f>
        <v>0</v>
      </c>
      <c r="N36" s="105">
        <f>SKM!N36+SUKB!N38+UCT!N36+SPSSN!N36+IBA!N36+CTT!N36+ÚVT!N36+CJV!N36+CZS!N36+RMU!N36</f>
        <v>3112146.98</v>
      </c>
      <c r="O36" s="522"/>
      <c r="P36" s="527"/>
      <c r="Q36" s="527"/>
    </row>
    <row r="37" spans="1:17" s="25" customFormat="1" ht="12">
      <c r="A37" s="21"/>
      <c r="B37" s="31" t="s">
        <v>56</v>
      </c>
      <c r="C37" s="31"/>
      <c r="D37" s="31"/>
      <c r="E37" s="214">
        <v>35</v>
      </c>
      <c r="F37" s="130">
        <f t="shared" si="4"/>
        <v>35653000</v>
      </c>
      <c r="G37" s="102"/>
      <c r="H37" s="210">
        <f>SKM!H37+SUKB!H39+UCT!H37+SPSSN!H37+IBA!H37+CTT!H37+ÚVT!H37+CJV!H37+CZS!H37+RMU!H37</f>
        <v>25373000</v>
      </c>
      <c r="I37" s="412">
        <f>SKM!I37+SUKB!I39+UCT!I37+SPSSN!I37+IBA!I37+CTT!I37+ÚVT!I37+CJV!I37+CZS!I37+RMU!I37</f>
        <v>0</v>
      </c>
      <c r="J37" s="104">
        <f>SKM!J37+SUKB!J39+UCT!J37+SPSSN!J37+IBA!J37+CTT!J37+ÚVT!J37+CJV!J37+CZS!J37+RMU!J37</f>
        <v>10280000</v>
      </c>
      <c r="K37" s="104">
        <f>SKM!K37+SUKB!K39+UCT!K37+SPSSN!K37+IBA!K37+CTT!K37+ÚVT!K37+CJV!K37+CZS!K37+RMU!K37</f>
        <v>0</v>
      </c>
      <c r="L37" s="104">
        <f>SKM!L37+SUKB!L39+UCT!L37+SPSSN!L37+IBA!L37+CTT!L37+ÚVT!L37+CJV!L37+CZS!L37+RMU!L37</f>
        <v>0</v>
      </c>
      <c r="M37" s="104">
        <f>SKM!M37+SUKB!M39+UCT!M37+SPSSN!M37+IBA!M37+CTT!M37+ÚVT!M37+CJV!M37+CZS!M37+RMU!M37</f>
        <v>0</v>
      </c>
      <c r="N37" s="105">
        <f>SKM!N37+SUKB!N39+UCT!N37+SPSSN!N37+IBA!N37+CTT!N37+ÚVT!N37+CJV!N37+CZS!N37+RMU!N37</f>
        <v>36321246.8</v>
      </c>
      <c r="O37" s="522"/>
      <c r="P37" s="527"/>
      <c r="Q37" s="527"/>
    </row>
    <row r="38" spans="1:17" s="25" customFormat="1" ht="12">
      <c r="A38" s="21"/>
      <c r="B38" s="31" t="s">
        <v>57</v>
      </c>
      <c r="C38" s="31"/>
      <c r="D38" s="31"/>
      <c r="E38" s="214">
        <v>36</v>
      </c>
      <c r="F38" s="130">
        <f t="shared" si="4"/>
        <v>0</v>
      </c>
      <c r="G38" s="102"/>
      <c r="H38" s="210">
        <f>SKM!H38+SUKB!H40+UCT!H38+SPSSN!H38+IBA!H38+CTT!H38+ÚVT!H38+CJV!H38+CZS!H38+RMU!H38</f>
        <v>0</v>
      </c>
      <c r="I38" s="412">
        <f>SKM!I38+SUKB!I40+UCT!I38+SPSSN!I38+IBA!I38+CTT!I38+ÚVT!I38+CJV!I38+CZS!I38+RMU!I38</f>
        <v>0</v>
      </c>
      <c r="J38" s="104">
        <f>SKM!J38+SUKB!J40+UCT!J38+SPSSN!J38+IBA!J38+CTT!J38+ÚVT!J38+CJV!J38+CZS!J38+RMU!J38</f>
        <v>0</v>
      </c>
      <c r="K38" s="104">
        <f>SKM!K38+SUKB!K40+UCT!K38+SPSSN!K38+IBA!K38+CTT!K38+ÚVT!K38+CJV!K38+CZS!K38+RMU!K38</f>
        <v>0</v>
      </c>
      <c r="L38" s="104">
        <f>SKM!L38+SUKB!L40+UCT!L38+SPSSN!L38+IBA!L38+CTT!L38+ÚVT!L38+CJV!L38+CZS!L38+RMU!L38</f>
        <v>0</v>
      </c>
      <c r="M38" s="104">
        <f>SKM!M38+SUKB!M40+UCT!M38+SPSSN!M38+IBA!M38+CTT!M38+ÚVT!M38+CJV!M38+CZS!M38+RMU!M38</f>
        <v>0</v>
      </c>
      <c r="N38" s="105">
        <f>SKM!N38+SUKB!N40+UCT!N38+SPSSN!N38+IBA!N38+CTT!N38+ÚVT!N38+CJV!N38+CZS!N38+RMU!N38</f>
        <v>0</v>
      </c>
      <c r="O38" s="522"/>
      <c r="P38" s="527"/>
      <c r="Q38" s="527"/>
    </row>
    <row r="39" spans="1:17" s="25" customFormat="1" ht="12">
      <c r="A39" s="21"/>
      <c r="B39" s="31" t="s">
        <v>59</v>
      </c>
      <c r="C39" s="31"/>
      <c r="D39" s="31"/>
      <c r="E39" s="214">
        <v>37</v>
      </c>
      <c r="F39" s="130">
        <f t="shared" si="4"/>
        <v>60000</v>
      </c>
      <c r="G39" s="102"/>
      <c r="H39" s="210">
        <f>SKM!H39+SUKB!H41+UCT!H39+SPSSN!H39+IBA!H39+CTT!H39+ÚVT!H39+CJV!H39+CZS!H39+RMU!H39</f>
        <v>0</v>
      </c>
      <c r="I39" s="412">
        <f>SKM!I39+SUKB!I41+UCT!I39+SPSSN!I39+IBA!I39+CTT!I39+ÚVT!I39+CJV!I39+CZS!I39+RMU!I39</f>
        <v>0</v>
      </c>
      <c r="J39" s="104">
        <f>SKM!J39+SUKB!J41+UCT!J39+SPSSN!J39+IBA!J39+CTT!J39+ÚVT!J39+CJV!J39+CZS!J39+RMU!J39</f>
        <v>60000</v>
      </c>
      <c r="K39" s="104">
        <f>SKM!K39+SUKB!K41+UCT!K39+SPSSN!K39+IBA!K39+CTT!K39+ÚVT!K39+CJV!K39+CZS!K39+RMU!K39</f>
        <v>0</v>
      </c>
      <c r="L39" s="104">
        <f>SKM!L39+SUKB!L41+UCT!L39+SPSSN!L39+IBA!L39+CTT!L39+ÚVT!L39+CJV!L39+CZS!L39+RMU!L39</f>
        <v>0</v>
      </c>
      <c r="M39" s="104">
        <f>SKM!M39+SUKB!M41+UCT!M39+SPSSN!M39+IBA!M39+CTT!M39+ÚVT!M39+CJV!M39+CZS!M39+RMU!M39</f>
        <v>0</v>
      </c>
      <c r="N39" s="105">
        <f>SKM!N39+SUKB!N41+UCT!N39+SPSSN!N39+IBA!N39+CTT!N39+ÚVT!N39+CJV!N39+CZS!N39+RMU!N39</f>
        <v>1346517.33</v>
      </c>
      <c r="O39" s="522"/>
      <c r="P39" s="527"/>
      <c r="Q39" s="527"/>
    </row>
    <row r="40" spans="1:17" s="25" customFormat="1" ht="12">
      <c r="A40" s="21"/>
      <c r="B40" s="31" t="s">
        <v>60</v>
      </c>
      <c r="C40" s="31"/>
      <c r="D40" s="31"/>
      <c r="E40" s="214">
        <v>38</v>
      </c>
      <c r="F40" s="130">
        <f t="shared" si="4"/>
        <v>20536000</v>
      </c>
      <c r="G40" s="102"/>
      <c r="H40" s="210">
        <f>SKM!H40+SUKB!H42+UCT!H40+SPSSN!H40+IBA!H40+CTT!H40+ÚVT!H40+CJV!H40+CZS!H40+RMU!H40</f>
        <v>20536000</v>
      </c>
      <c r="I40" s="412">
        <f>SKM!I40+SUKB!I42+UCT!I40+SPSSN!I40+IBA!I40+CTT!I40+ÚVT!I40+CJV!I40+CZS!I40+RMU!I40</f>
        <v>0</v>
      </c>
      <c r="J40" s="104">
        <f>SKM!J40+SUKB!J42+UCT!J40+SPSSN!J40+IBA!J40+CTT!J40+ÚVT!J40+CJV!J40+CZS!J40+RMU!J40</f>
        <v>0</v>
      </c>
      <c r="K40" s="104">
        <f>SKM!K40+SUKB!K42+UCT!K40+SPSSN!K40+IBA!K40+CTT!K40+ÚVT!K40+CJV!K40+CZS!K40+RMU!K40</f>
        <v>0</v>
      </c>
      <c r="L40" s="104">
        <f>SKM!L40+SUKB!L42+UCT!L40+SPSSN!L40+IBA!L40+CTT!L40+ÚVT!L40+CJV!L40+CZS!L40+RMU!L40</f>
        <v>0</v>
      </c>
      <c r="M40" s="104">
        <f>SKM!M40+SUKB!M42+UCT!M40+SPSSN!M40+IBA!M40+CTT!M40+ÚVT!M40+CJV!M40+CZS!M40+RMU!M40</f>
        <v>0</v>
      </c>
      <c r="N40" s="105">
        <f>SKM!N40+SUKB!N42+UCT!N40+SPSSN!N40+IBA!N40+CTT!N40+ÚVT!N40+CJV!N40+CZS!N40+RMU!N40</f>
        <v>13668000</v>
      </c>
      <c r="O40" s="522"/>
      <c r="P40" s="527"/>
      <c r="Q40" s="527"/>
    </row>
    <row r="41" spans="1:17" s="25" customFormat="1" ht="12">
      <c r="A41" s="21"/>
      <c r="B41" s="31" t="s">
        <v>45</v>
      </c>
      <c r="C41" s="31"/>
      <c r="D41" s="31"/>
      <c r="E41" s="214">
        <v>39</v>
      </c>
      <c r="F41" s="130">
        <f t="shared" si="4"/>
        <v>1334333</v>
      </c>
      <c r="G41" s="102"/>
      <c r="H41" s="210">
        <f>SKM!H41+SUKB!H43+UCT!H41+SPSSN!H41+IBA!H41+CTT!H41+ÚVT!H41+CJV!H41+CZS!H41+RMU!H41</f>
        <v>1224333</v>
      </c>
      <c r="I41" s="412">
        <f>SKM!I41+SUKB!I43+UCT!I41+SPSSN!I41+IBA!I41+CTT!I41+ÚVT!I41+CJV!I41+CZS!I41+RMU!I41</f>
        <v>0</v>
      </c>
      <c r="J41" s="104">
        <f>SKM!J41+SUKB!J43+UCT!J41+SPSSN!J41+IBA!J41+CTT!J41+ÚVT!J41+CJV!J41+CZS!J41+RMU!J41</f>
        <v>110000</v>
      </c>
      <c r="K41" s="104">
        <f>SKM!K41+SUKB!K43+UCT!K41+SPSSN!K41+IBA!K41+CTT!K41+ÚVT!K41+CJV!K41+CZS!K41+RMU!K41</f>
        <v>0</v>
      </c>
      <c r="L41" s="104">
        <f>SKM!L41+SUKB!L43+UCT!L41+SPSSN!L41+IBA!L41+CTT!L41+ÚVT!L41+CJV!L41+CZS!L41+RMU!L41</f>
        <v>0</v>
      </c>
      <c r="M41" s="104">
        <f>SKM!M41+SUKB!M43+UCT!M41+SPSSN!M41+IBA!M41+CTT!M41+ÚVT!M41+CJV!M41+CZS!M41+RMU!M41</f>
        <v>0</v>
      </c>
      <c r="N41" s="105">
        <f>SKM!N41+SUKB!N43+UCT!N41+SPSSN!N41+IBA!N41+CTT!N41+ÚVT!N41+CJV!N41+CZS!N41+RMU!N41</f>
        <v>3497813.7</v>
      </c>
      <c r="O41" s="522"/>
      <c r="P41" s="527"/>
      <c r="Q41" s="527"/>
    </row>
    <row r="42" spans="1:17" s="25" customFormat="1" ht="12">
      <c r="A42" s="21"/>
      <c r="B42" s="31" t="s">
        <v>61</v>
      </c>
      <c r="C42" s="31"/>
      <c r="D42" s="31"/>
      <c r="E42" s="214">
        <v>40</v>
      </c>
      <c r="F42" s="130">
        <f t="shared" si="4"/>
        <v>0</v>
      </c>
      <c r="G42" s="102"/>
      <c r="H42" s="210">
        <f>SKM!H42+SUKB!H44+UCT!H42+SPSSN!H42+IBA!H42+CTT!H42+ÚVT!H42+CJV!H42+CZS!H42+RMU!H42</f>
        <v>0</v>
      </c>
      <c r="I42" s="412">
        <f>SKM!I42+SUKB!I44+UCT!I42+SPSSN!I42+IBA!I42+CTT!I42+ÚVT!I42+CJV!I42+CZS!I42+RMU!I42</f>
        <v>0</v>
      </c>
      <c r="J42" s="104">
        <f>SKM!J42+SUKB!J44+UCT!J42+SPSSN!J42+IBA!J42+CTT!J42+ÚVT!J42+CJV!J42+CZS!J42+RMU!J42</f>
        <v>0</v>
      </c>
      <c r="K42" s="104">
        <f>SKM!K42+SUKB!K44+UCT!K42+SPSSN!K42+IBA!K42+CTT!K42+ÚVT!K42+CJV!K42+CZS!K42+RMU!K42</f>
        <v>0</v>
      </c>
      <c r="L42" s="104">
        <f>SKM!L42+SUKB!L44+UCT!L42+SPSSN!L42+IBA!L42+CTT!L42+ÚVT!L42+CJV!L42+CZS!L42+RMU!L42</f>
        <v>0</v>
      </c>
      <c r="M42" s="104">
        <f>SKM!M42+SUKB!M44+UCT!M42+SPSSN!M42+IBA!M42+CTT!M42+ÚVT!M42+CJV!M42+CZS!M42+RMU!M42</f>
        <v>0</v>
      </c>
      <c r="N42" s="105">
        <f>SKM!N42+SUKB!N44+UCT!N42+SPSSN!N42+IBA!N42+CTT!N42+ÚVT!N42+CJV!N42+CZS!N42+RMU!N42</f>
        <v>335232</v>
      </c>
      <c r="O42" s="522"/>
      <c r="P42" s="527"/>
      <c r="Q42" s="527"/>
    </row>
    <row r="43" spans="1:17" s="25" customFormat="1" ht="12">
      <c r="A43" s="21"/>
      <c r="B43" s="31" t="s">
        <v>62</v>
      </c>
      <c r="C43" s="31"/>
      <c r="D43" s="31"/>
      <c r="E43" s="214">
        <v>41</v>
      </c>
      <c r="F43" s="130">
        <f t="shared" si="4"/>
        <v>266798389</v>
      </c>
      <c r="G43" s="102"/>
      <c r="H43" s="210">
        <f>SKM!H43+SUKB!H45+UCT!H43+SPSSN!H43+IBA!H43+CTT!H43+ÚVT!H43+CJV!H43+CZS!H43+RMU!H43</f>
        <v>266544389</v>
      </c>
      <c r="I43" s="412">
        <f>SKM!I43+SUKB!I45+UCT!I43+SPSSN!I43+IBA!I43+CTT!I43+ÚVT!I43+CJV!I43+CZS!I43+RMU!I43</f>
        <v>0</v>
      </c>
      <c r="J43" s="104">
        <f>SKM!J43+SUKB!J45+UCT!J43+SPSSN!J43+IBA!J43+CTT!J43+ÚVT!J43+CJV!J43+CZS!J43+RMU!J43</f>
        <v>254000</v>
      </c>
      <c r="K43" s="104">
        <f>SKM!K43+SUKB!K45+UCT!K43+SPSSN!K43+IBA!K43+CTT!K43+ÚVT!K43+CJV!K43+CZS!K43+RMU!K43</f>
        <v>0</v>
      </c>
      <c r="L43" s="104">
        <f>SKM!L43+SUKB!L45+UCT!L43+SPSSN!L43+IBA!L43+CTT!L43+ÚVT!L43+CJV!L43+CZS!L43+RMU!L43</f>
        <v>0</v>
      </c>
      <c r="M43" s="104">
        <f>SKM!M43+SUKB!M45+UCT!M43+SPSSN!M43+IBA!M43+CTT!M43+ÚVT!M43+CJV!M43+CZS!M43+RMU!M43</f>
        <v>0</v>
      </c>
      <c r="N43" s="105">
        <f>SKM!N43+SUKB!N45+UCT!N43+SPSSN!N43+IBA!N43+CTT!N43+ÚVT!N43+CJV!N43+CZS!N43+RMU!N43</f>
        <v>337111549.23</v>
      </c>
      <c r="O43" s="522"/>
      <c r="P43" s="527"/>
      <c r="Q43" s="527"/>
    </row>
    <row r="44" spans="1:17" s="25" customFormat="1" ht="12">
      <c r="A44" s="21"/>
      <c r="B44" s="31" t="s">
        <v>63</v>
      </c>
      <c r="C44" s="31"/>
      <c r="D44" s="31"/>
      <c r="E44" s="214">
        <v>42</v>
      </c>
      <c r="F44" s="130">
        <f t="shared" si="4"/>
        <v>136277771</v>
      </c>
      <c r="G44" s="102"/>
      <c r="H44" s="413" t="s">
        <v>97</v>
      </c>
      <c r="I44" s="412">
        <f>SKM!I44+SUKB!I46+UCT!I44+SPSSN!I44+IBA!I44+CTT!I44+ÚVT!I44+CJV!I44+CZS!I44+RMU!I44</f>
        <v>100754771</v>
      </c>
      <c r="J44" s="104">
        <f>SKM!J44+SUKB!J46+UCT!J44+SPSSN!J44+IBA!J44+CTT!J44+ÚVT!J44+CJV!J44+CZS!J44+RMU!J44</f>
        <v>26040000</v>
      </c>
      <c r="K44" s="104">
        <f>SKM!K44+SUKB!K46+UCT!K44+SPSSN!K44+IBA!K44+CTT!K44+ÚVT!K44+CJV!K44+CZS!K44+RMU!K44</f>
        <v>5440000</v>
      </c>
      <c r="L44" s="104">
        <f>SKM!L44+SUKB!L46+UCT!L44+SPSSN!L44+IBA!L44+CTT!L44+ÚVT!L44+CJV!L44+CZS!L44+RMU!L44</f>
        <v>4034000</v>
      </c>
      <c r="M44" s="104">
        <f>SKM!M44+SUKB!M46+UCT!M44+SPSSN!M44+IBA!M44+CTT!M44+ÚVT!M44+CJV!M44+CZS!M44+RMU!M44</f>
        <v>9000</v>
      </c>
      <c r="N44" s="105">
        <f>SKM!N44+SUKB!N46+UCT!N44+SPSSN!N44+IBA!N44+CTT!N44+ÚVT!N44+CJV!N44+CZS!N44+RMU!N44</f>
        <v>20390558.729999997</v>
      </c>
      <c r="O44" s="522"/>
      <c r="P44" s="527"/>
      <c r="Q44" s="527"/>
    </row>
    <row r="45" spans="1:17" s="25" customFormat="1" ht="12">
      <c r="A45" s="40"/>
      <c r="B45" s="41" t="s">
        <v>49</v>
      </c>
      <c r="C45" s="41"/>
      <c r="D45" s="41"/>
      <c r="E45" s="215">
        <v>43</v>
      </c>
      <c r="F45" s="131">
        <f t="shared" si="4"/>
        <v>79308680</v>
      </c>
      <c r="G45" s="108"/>
      <c r="H45" s="211">
        <f>SKM!H45+SUKB!H47+UCT!H45+SPSSN!H45+IBA!H45+CTT!H45+ÚVT!H45+CJV!H45+CZS!H45+RMU!H45</f>
        <v>79308680</v>
      </c>
      <c r="I45" s="416">
        <f>SKM!I45+SUKB!I47+UCT!I45+SPSSN!I45+IBA!I45+CTT!I45+ÚVT!I45+CJV!I45+CZS!I45+RMU!I45</f>
        <v>0</v>
      </c>
      <c r="J45" s="110">
        <f>SKM!J45+SUKB!J47+UCT!J45+SPSSN!J45+IBA!J45+CTT!J45+ÚVT!J45+CJV!J45+CZS!J45+RMU!J45</f>
        <v>0</v>
      </c>
      <c r="K45" s="110">
        <f>SKM!K45+SUKB!K47+UCT!K45+SPSSN!K45+IBA!K45+CTT!K45+ÚVT!K45+CJV!K45+CZS!K45+RMU!K45</f>
        <v>0</v>
      </c>
      <c r="L45" s="110">
        <f>SKM!L45+SUKB!L47+UCT!L45+SPSSN!L45+IBA!L45+CTT!L45+ÚVT!L45+CJV!L45+CZS!L45+RMU!L45</f>
        <v>0</v>
      </c>
      <c r="M45" s="417">
        <f>SKM!M45+SUKB!M47+UCT!M45+SPSSN!M45+IBA!M45+CTT!M45+ÚVT!M45+CJV!M45+CZS!M45+RMU!M45</f>
        <v>0</v>
      </c>
      <c r="N45" s="111">
        <f>SKM!N45+SUKB!N47+UCT!N45+SPSSN!N45+IBA!N45+CTT!N45+ÚVT!N45+CJV!N45+CZS!N45+RMU!N45</f>
        <v>85755255.48</v>
      </c>
      <c r="O45" s="522"/>
      <c r="P45" s="527"/>
      <c r="Q45" s="527"/>
    </row>
    <row r="46" spans="1:17" s="25" customFormat="1" ht="12.75" thickBot="1">
      <c r="A46" s="44" t="s">
        <v>65</v>
      </c>
      <c r="B46" s="45"/>
      <c r="C46" s="45"/>
      <c r="D46" s="45"/>
      <c r="E46" s="213">
        <v>44</v>
      </c>
      <c r="F46" s="114">
        <f>F29+F34+F38+F43+F44+F45-F4-F27</f>
        <v>18187578</v>
      </c>
      <c r="G46" s="113">
        <f>G29+G34+G38+G43+G44+G45+-G4-G27</f>
        <v>0</v>
      </c>
      <c r="H46" s="414">
        <f>SKM!H46+SUKB!H48+UCT!H46+SPSSN!H46+IBA!H46+CTT!H46+ÚVT!H46+CJV!H46+CZS!H46+RMU!H46</f>
        <v>18187578</v>
      </c>
      <c r="I46" s="415">
        <f>SKM!I46+SUKB!I48+UCT!I46+SPSSN!I46+IBA!I46+CTT!I46+ÚVT!I46+CJV!I46+CZS!I46+RMU!I46</f>
        <v>0</v>
      </c>
      <c r="J46" s="99">
        <f>SKM!J46+SUKB!J48+UCT!J46+SPSSN!J46+IBA!J46+CTT!J46+ÚVT!J46+CJV!J46+CZS!J46+RMU!J46</f>
        <v>0</v>
      </c>
      <c r="K46" s="99">
        <f>SKM!K46+SUKB!K48+UCT!K46+SPSSN!K46+IBA!K46+CTT!K46+ÚVT!K46+CJV!K46+CZS!K46+RMU!K46</f>
        <v>0</v>
      </c>
      <c r="L46" s="99">
        <f>SKM!L46+SUKB!L48+UCT!L46+SPSSN!L46+IBA!L46+CTT!L46+ÚVT!L46+CJV!L46+CZS!L46+RMU!L46</f>
        <v>0</v>
      </c>
      <c r="M46" s="99">
        <f>SKM!M46+SUKB!M48+UCT!M46+SPSSN!M46+IBA!M46+CTT!M46+ÚVT!M46+CJV!M46+CZS!M46+RMU!M46</f>
        <v>0</v>
      </c>
      <c r="N46" s="101">
        <f>SKM!N46+SUKB!N48+UCT!N46+SPSSN!N46+IBA!N46+CTT!N46+ÚVT!N46+CJV!N46+CZS!N46+RMU!N46</f>
        <v>55104510.83999998</v>
      </c>
      <c r="O46" s="522"/>
      <c r="P46" s="527"/>
      <c r="Q46" s="527"/>
    </row>
    <row r="47" spans="1:14" ht="13.5" thickBot="1">
      <c r="A47" s="37" t="s">
        <v>66</v>
      </c>
      <c r="B47" s="38"/>
      <c r="C47" s="38"/>
      <c r="D47" s="38"/>
      <c r="E47" s="216">
        <v>45</v>
      </c>
      <c r="F47" s="127">
        <f aca="true" t="shared" si="5" ref="F47:N47">F28-F3</f>
        <v>18187578</v>
      </c>
      <c r="G47" s="81">
        <f t="shared" si="5"/>
        <v>0</v>
      </c>
      <c r="H47" s="82">
        <f t="shared" si="5"/>
        <v>18187578</v>
      </c>
      <c r="I47" s="306">
        <f t="shared" si="5"/>
        <v>0</v>
      </c>
      <c r="J47" s="83">
        <f t="shared" si="5"/>
        <v>0</v>
      </c>
      <c r="K47" s="83">
        <f t="shared" si="5"/>
        <v>0</v>
      </c>
      <c r="L47" s="83">
        <f t="shared" si="5"/>
        <v>0</v>
      </c>
      <c r="M47" s="303">
        <f t="shared" si="5"/>
        <v>0</v>
      </c>
      <c r="N47" s="84">
        <f t="shared" si="5"/>
        <v>55156785.15999985</v>
      </c>
    </row>
    <row r="48" spans="1:5" ht="12.75">
      <c r="A48" s="47"/>
      <c r="B48" s="47"/>
      <c r="C48" s="47"/>
      <c r="D48" s="47"/>
      <c r="E48" s="48"/>
    </row>
    <row r="49" spans="5:17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30"/>
      <c r="Q49" s="530"/>
    </row>
    <row r="50" spans="1:17" s="47" customFormat="1" ht="12">
      <c r="A50" s="51" t="s">
        <v>98</v>
      </c>
      <c r="E50" s="48"/>
      <c r="F50" s="133"/>
      <c r="H50" s="59"/>
      <c r="J50" s="122">
        <f>SKM!J50+SUKB!J52+UCT!J50+SPSSN!J50+IBA!J50+ÚVT!J50+CJV!J50+CZS!J50+RMU!J50</f>
        <v>0</v>
      </c>
      <c r="M50" s="59"/>
      <c r="N50" s="59"/>
      <c r="O50" s="522"/>
      <c r="P50" s="530"/>
      <c r="Q50" s="530"/>
    </row>
    <row r="51" spans="5:17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522"/>
      <c r="P51" s="530"/>
      <c r="Q51" s="530"/>
    </row>
    <row r="52" spans="5:17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522"/>
      <c r="P52" s="530"/>
      <c r="Q52" s="530"/>
    </row>
    <row r="53" spans="5:17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522"/>
      <c r="P53" s="530"/>
      <c r="Q53" s="530"/>
    </row>
    <row r="54" spans="1:17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522"/>
      <c r="P54" s="530"/>
      <c r="Q54" s="530"/>
    </row>
    <row r="55" spans="1:17" s="59" customFormat="1" ht="12">
      <c r="A55" s="51"/>
      <c r="B55" s="51"/>
      <c r="C55" s="51"/>
      <c r="D55" s="51"/>
      <c r="E55" s="57"/>
      <c r="F55" s="25"/>
      <c r="O55" s="522"/>
      <c r="P55" s="530"/>
      <c r="Q55" s="530"/>
    </row>
    <row r="56" spans="1:17" s="59" customFormat="1" ht="12">
      <c r="A56" s="51"/>
      <c r="B56" s="51"/>
      <c r="C56" s="51"/>
      <c r="D56" s="51"/>
      <c r="E56" s="57"/>
      <c r="F56" s="25"/>
      <c r="O56" s="522"/>
      <c r="P56" s="530"/>
      <c r="Q56" s="530"/>
    </row>
    <row r="57" spans="1:17" s="59" customFormat="1" ht="12">
      <c r="A57" s="51"/>
      <c r="B57" s="51"/>
      <c r="C57" s="51"/>
      <c r="D57" s="51"/>
      <c r="E57" s="57"/>
      <c r="F57" s="25"/>
      <c r="O57" s="522"/>
      <c r="P57" s="530"/>
      <c r="Q57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F34" sqref="F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47.875" style="49" customWidth="1"/>
    <col min="7" max="7" width="10.00390625" style="16" customWidth="1"/>
    <col min="8" max="8" width="5.125" style="0" hidden="1" customWidth="1"/>
    <col min="9" max="9" width="7.625" style="50" customWidth="1"/>
    <col min="10" max="13" width="8.00390625" style="50" customWidth="1"/>
    <col min="14" max="14" width="8.125" style="50" customWidth="1"/>
    <col min="15" max="15" width="10.125" style="59" customWidth="1"/>
  </cols>
  <sheetData>
    <row r="1" spans="1:15" ht="15.75" customHeight="1">
      <c r="A1" s="544" t="s">
        <v>148</v>
      </c>
      <c r="B1" s="545"/>
      <c r="C1" s="545"/>
      <c r="D1" s="546"/>
      <c r="E1" s="1"/>
      <c r="F1" s="2"/>
      <c r="G1" s="3" t="s">
        <v>0</v>
      </c>
      <c r="H1" s="4" t="s">
        <v>1</v>
      </c>
      <c r="I1" s="5" t="s">
        <v>2</v>
      </c>
      <c r="J1" s="563" t="s">
        <v>3</v>
      </c>
      <c r="K1" s="564"/>
      <c r="L1" s="564"/>
      <c r="M1" s="564"/>
      <c r="N1" s="565"/>
      <c r="O1" s="69" t="s">
        <v>4</v>
      </c>
    </row>
    <row r="2" spans="1:15" s="16" customFormat="1" ht="13.5" thickBot="1">
      <c r="A2" s="6" t="s">
        <v>75</v>
      </c>
      <c r="B2" s="7"/>
      <c r="C2" s="7"/>
      <c r="D2" s="8"/>
      <c r="E2" s="9" t="s">
        <v>5</v>
      </c>
      <c r="F2" s="10" t="s">
        <v>6</v>
      </c>
      <c r="G2" s="11">
        <v>2009</v>
      </c>
      <c r="H2" s="12" t="s">
        <v>7</v>
      </c>
      <c r="I2" s="13" t="s">
        <v>8</v>
      </c>
      <c r="J2" s="14" t="s">
        <v>9</v>
      </c>
      <c r="K2" s="15" t="s">
        <v>10</v>
      </c>
      <c r="L2" s="15" t="s">
        <v>11</v>
      </c>
      <c r="M2" s="15" t="s">
        <v>147</v>
      </c>
      <c r="N2" s="15" t="s">
        <v>12</v>
      </c>
      <c r="O2" s="73">
        <v>2008</v>
      </c>
    </row>
    <row r="3" spans="1:15" ht="13.5" thickBot="1">
      <c r="A3" s="17" t="s">
        <v>13</v>
      </c>
      <c r="B3" s="18"/>
      <c r="C3" s="18"/>
      <c r="D3" s="18"/>
      <c r="E3" s="19">
        <v>1</v>
      </c>
      <c r="F3" s="20"/>
      <c r="G3" s="354">
        <f aca="true" t="shared" si="0" ref="G3:O3">G4+SUM(G16:G27)</f>
        <v>0</v>
      </c>
      <c r="H3" s="81">
        <f t="shared" si="0"/>
        <v>0</v>
      </c>
      <c r="I3" s="355">
        <f t="shared" si="0"/>
        <v>0</v>
      </c>
      <c r="J3" s="356">
        <f t="shared" si="0"/>
        <v>0</v>
      </c>
      <c r="K3" s="356">
        <f t="shared" si="0"/>
        <v>0</v>
      </c>
      <c r="L3" s="356">
        <f t="shared" si="0"/>
        <v>0</v>
      </c>
      <c r="M3" s="355">
        <f t="shared" si="0"/>
        <v>0</v>
      </c>
      <c r="N3" s="355">
        <f t="shared" si="0"/>
        <v>0</v>
      </c>
      <c r="O3" s="84">
        <f t="shared" si="0"/>
        <v>0</v>
      </c>
    </row>
    <row r="4" spans="1:15" s="25" customFormat="1" ht="12.75">
      <c r="A4" s="21" t="s">
        <v>14</v>
      </c>
      <c r="B4" s="22" t="s">
        <v>15</v>
      </c>
      <c r="C4" s="22"/>
      <c r="D4" s="22"/>
      <c r="E4" s="23">
        <v>2</v>
      </c>
      <c r="F4" s="24" t="s">
        <v>76</v>
      </c>
      <c r="G4" s="357">
        <f aca="true" t="shared" si="1" ref="G4:O4">SUM(G5:G15)</f>
        <v>0</v>
      </c>
      <c r="H4" s="86">
        <f t="shared" si="1"/>
        <v>0</v>
      </c>
      <c r="I4" s="358">
        <f t="shared" si="1"/>
        <v>0</v>
      </c>
      <c r="J4" s="359">
        <f t="shared" si="1"/>
        <v>0</v>
      </c>
      <c r="K4" s="359">
        <f t="shared" si="1"/>
        <v>0</v>
      </c>
      <c r="L4" s="359">
        <f t="shared" si="1"/>
        <v>0</v>
      </c>
      <c r="M4" s="358">
        <f t="shared" si="1"/>
        <v>0</v>
      </c>
      <c r="N4" s="358">
        <f t="shared" si="1"/>
        <v>0</v>
      </c>
      <c r="O4" s="89">
        <f t="shared" si="1"/>
        <v>0</v>
      </c>
    </row>
    <row r="5" spans="1:15" s="65" customFormat="1" ht="12.75">
      <c r="A5" s="61"/>
      <c r="B5" s="62"/>
      <c r="C5" s="62" t="s">
        <v>16</v>
      </c>
      <c r="D5" s="63" t="s">
        <v>17</v>
      </c>
      <c r="E5" s="64">
        <v>3</v>
      </c>
      <c r="F5" s="360"/>
      <c r="G5" s="361"/>
      <c r="H5" s="91"/>
      <c r="I5" s="362"/>
      <c r="J5" s="362"/>
      <c r="K5" s="363"/>
      <c r="L5" s="363"/>
      <c r="M5" s="91"/>
      <c r="N5" s="91"/>
      <c r="O5" s="95"/>
    </row>
    <row r="6" spans="1:15" s="65" customFormat="1" ht="12.75">
      <c r="A6" s="61"/>
      <c r="B6" s="62"/>
      <c r="C6" s="62"/>
      <c r="D6" s="63" t="s">
        <v>18</v>
      </c>
      <c r="E6" s="64">
        <v>4</v>
      </c>
      <c r="F6" s="360"/>
      <c r="G6" s="361"/>
      <c r="H6" s="91"/>
      <c r="I6" s="362"/>
      <c r="J6" s="362"/>
      <c r="K6" s="363"/>
      <c r="L6" s="363"/>
      <c r="M6" s="91"/>
      <c r="N6" s="91"/>
      <c r="O6" s="95"/>
    </row>
    <row r="7" spans="1:15" s="65" customFormat="1" ht="12.75">
      <c r="A7" s="61"/>
      <c r="B7" s="62"/>
      <c r="C7" s="62"/>
      <c r="D7" s="63" t="s">
        <v>19</v>
      </c>
      <c r="E7" s="64">
        <v>5</v>
      </c>
      <c r="F7" s="360"/>
      <c r="G7" s="361"/>
      <c r="H7" s="91"/>
      <c r="I7" s="362"/>
      <c r="J7" s="362"/>
      <c r="K7" s="363"/>
      <c r="L7" s="363"/>
      <c r="M7" s="91"/>
      <c r="N7" s="91"/>
      <c r="O7" s="95"/>
    </row>
    <row r="8" spans="1:15" s="65" customFormat="1" ht="12.75">
      <c r="A8" s="61"/>
      <c r="B8" s="62"/>
      <c r="C8" s="62"/>
      <c r="D8" s="63" t="s">
        <v>20</v>
      </c>
      <c r="E8" s="64">
        <v>6</v>
      </c>
      <c r="F8" s="360"/>
      <c r="G8" s="361"/>
      <c r="H8" s="91"/>
      <c r="I8" s="362"/>
      <c r="J8" s="362"/>
      <c r="K8" s="363"/>
      <c r="L8" s="363"/>
      <c r="M8" s="91"/>
      <c r="N8" s="91"/>
      <c r="O8" s="95"/>
    </row>
    <row r="9" spans="1:15" s="65" customFormat="1" ht="12.75">
      <c r="A9" s="61"/>
      <c r="B9" s="62"/>
      <c r="C9" s="62"/>
      <c r="D9" s="63" t="s">
        <v>21</v>
      </c>
      <c r="E9" s="64">
        <v>7</v>
      </c>
      <c r="F9" s="360"/>
      <c r="G9" s="361"/>
      <c r="H9" s="91"/>
      <c r="I9" s="362"/>
      <c r="J9" s="362"/>
      <c r="K9" s="363"/>
      <c r="L9" s="363"/>
      <c r="M9" s="91"/>
      <c r="N9" s="91"/>
      <c r="O9" s="95"/>
    </row>
    <row r="10" spans="1:15" s="65" customFormat="1" ht="12.75">
      <c r="A10" s="61"/>
      <c r="B10" s="62"/>
      <c r="C10" s="62"/>
      <c r="D10" s="63" t="s">
        <v>22</v>
      </c>
      <c r="E10" s="64">
        <v>8</v>
      </c>
      <c r="F10" s="360"/>
      <c r="G10" s="361"/>
      <c r="H10" s="91"/>
      <c r="I10" s="362"/>
      <c r="J10" s="362"/>
      <c r="K10" s="363"/>
      <c r="L10" s="363"/>
      <c r="M10" s="91"/>
      <c r="N10" s="91"/>
      <c r="O10" s="95"/>
    </row>
    <row r="11" spans="1:15" s="65" customFormat="1" ht="12.75">
      <c r="A11" s="61"/>
      <c r="B11" s="62"/>
      <c r="C11" s="62"/>
      <c r="D11" s="63" t="s">
        <v>23</v>
      </c>
      <c r="E11" s="64">
        <v>9</v>
      </c>
      <c r="F11" s="360"/>
      <c r="G11" s="361"/>
      <c r="H11" s="91"/>
      <c r="I11" s="362"/>
      <c r="J11" s="362"/>
      <c r="K11" s="363"/>
      <c r="L11" s="363"/>
      <c r="M11" s="91"/>
      <c r="N11" s="91"/>
      <c r="O11" s="95"/>
    </row>
    <row r="12" spans="1:15" s="65" customFormat="1" ht="12.75">
      <c r="A12" s="61"/>
      <c r="B12" s="62"/>
      <c r="C12" s="62"/>
      <c r="D12" s="63" t="s">
        <v>24</v>
      </c>
      <c r="E12" s="64">
        <v>10</v>
      </c>
      <c r="F12" s="360"/>
      <c r="G12" s="361"/>
      <c r="H12" s="91"/>
      <c r="I12" s="362"/>
      <c r="J12" s="362"/>
      <c r="K12" s="363"/>
      <c r="L12" s="363"/>
      <c r="M12" s="91"/>
      <c r="N12" s="91"/>
      <c r="O12" s="95"/>
    </row>
    <row r="13" spans="1:15" s="65" customFormat="1" ht="12.75">
      <c r="A13" s="61"/>
      <c r="B13" s="62"/>
      <c r="C13" s="62"/>
      <c r="D13" s="63" t="s">
        <v>25</v>
      </c>
      <c r="E13" s="64">
        <v>11</v>
      </c>
      <c r="F13" s="360"/>
      <c r="G13" s="361"/>
      <c r="H13" s="91"/>
      <c r="I13" s="362"/>
      <c r="J13" s="362"/>
      <c r="K13" s="363"/>
      <c r="L13" s="363"/>
      <c r="M13" s="91"/>
      <c r="N13" s="91"/>
      <c r="O13" s="95"/>
    </row>
    <row r="14" spans="1:15" s="65" customFormat="1" ht="12.75">
      <c r="A14" s="61"/>
      <c r="B14" s="62"/>
      <c r="C14" s="62"/>
      <c r="D14" s="63" t="s">
        <v>26</v>
      </c>
      <c r="E14" s="64">
        <v>12</v>
      </c>
      <c r="F14" s="360"/>
      <c r="G14" s="361"/>
      <c r="H14" s="91"/>
      <c r="I14" s="362"/>
      <c r="J14" s="362"/>
      <c r="K14" s="363"/>
      <c r="L14" s="363"/>
      <c r="M14" s="91"/>
      <c r="N14" s="91"/>
      <c r="O14" s="95"/>
    </row>
    <row r="15" spans="1:15" s="65" customFormat="1" ht="12.75">
      <c r="A15" s="61"/>
      <c r="B15" s="62"/>
      <c r="C15" s="63"/>
      <c r="D15" s="63" t="s">
        <v>27</v>
      </c>
      <c r="E15" s="64">
        <v>13</v>
      </c>
      <c r="F15" s="360"/>
      <c r="G15" s="361"/>
      <c r="H15" s="91"/>
      <c r="I15" s="362"/>
      <c r="J15" s="362"/>
      <c r="K15" s="363"/>
      <c r="L15" s="363"/>
      <c r="M15" s="91"/>
      <c r="N15" s="91"/>
      <c r="O15" s="95"/>
    </row>
    <row r="16" spans="1:15" s="25" customFormat="1" ht="12.75">
      <c r="A16" s="21"/>
      <c r="B16" s="30" t="s">
        <v>28</v>
      </c>
      <c r="C16" s="27"/>
      <c r="D16" s="27"/>
      <c r="E16" s="28">
        <v>14</v>
      </c>
      <c r="F16" s="29" t="s">
        <v>29</v>
      </c>
      <c r="G16" s="364"/>
      <c r="H16" s="97"/>
      <c r="I16" s="365"/>
      <c r="J16" s="365"/>
      <c r="K16" s="180"/>
      <c r="L16" s="180"/>
      <c r="M16" s="181"/>
      <c r="N16" s="181"/>
      <c r="O16" s="101"/>
    </row>
    <row r="17" spans="1:15" s="25" customFormat="1" ht="12.75">
      <c r="A17" s="21"/>
      <c r="B17" s="30" t="s">
        <v>30</v>
      </c>
      <c r="C17" s="27"/>
      <c r="D17" s="27"/>
      <c r="E17" s="28">
        <v>15</v>
      </c>
      <c r="F17" s="29" t="s">
        <v>31</v>
      </c>
      <c r="G17" s="364"/>
      <c r="H17" s="97"/>
      <c r="I17" s="365"/>
      <c r="J17" s="365"/>
      <c r="K17" s="180"/>
      <c r="L17" s="180"/>
      <c r="M17" s="181"/>
      <c r="N17" s="181"/>
      <c r="O17" s="101"/>
    </row>
    <row r="18" spans="1:15" s="25" customFormat="1" ht="12.75">
      <c r="A18" s="21"/>
      <c r="B18" s="31" t="s">
        <v>32</v>
      </c>
      <c r="C18" s="32"/>
      <c r="D18" s="32"/>
      <c r="E18" s="33">
        <v>16</v>
      </c>
      <c r="F18" s="34" t="s">
        <v>33</v>
      </c>
      <c r="G18" s="364"/>
      <c r="H18" s="97"/>
      <c r="I18" s="365"/>
      <c r="J18" s="365"/>
      <c r="K18" s="180"/>
      <c r="L18" s="180"/>
      <c r="M18" s="181"/>
      <c r="N18" s="181"/>
      <c r="O18" s="101"/>
    </row>
    <row r="19" spans="1:15" s="25" customFormat="1" ht="12.75">
      <c r="A19" s="21"/>
      <c r="B19" s="31" t="s">
        <v>34</v>
      </c>
      <c r="C19" s="32"/>
      <c r="D19" s="32"/>
      <c r="E19" s="33">
        <v>17</v>
      </c>
      <c r="F19" s="35" t="s">
        <v>35</v>
      </c>
      <c r="G19" s="364"/>
      <c r="H19" s="97"/>
      <c r="I19" s="365"/>
      <c r="J19" s="365"/>
      <c r="K19" s="180"/>
      <c r="L19" s="180"/>
      <c r="M19" s="181"/>
      <c r="N19" s="181"/>
      <c r="O19" s="101"/>
    </row>
    <row r="20" spans="1:15" s="25" customFormat="1" ht="12.75">
      <c r="A20" s="21"/>
      <c r="B20" s="31" t="s">
        <v>36</v>
      </c>
      <c r="C20" s="31"/>
      <c r="D20" s="31"/>
      <c r="E20" s="33">
        <v>18</v>
      </c>
      <c r="F20" s="35" t="s">
        <v>37</v>
      </c>
      <c r="G20" s="364"/>
      <c r="H20" s="97"/>
      <c r="I20" s="365"/>
      <c r="J20" s="365"/>
      <c r="K20" s="180"/>
      <c r="L20" s="180"/>
      <c r="M20" s="181"/>
      <c r="N20" s="181"/>
      <c r="O20" s="101"/>
    </row>
    <row r="21" spans="1:15" s="25" customFormat="1" ht="12.75">
      <c r="A21" s="21"/>
      <c r="B21" s="31" t="s">
        <v>38</v>
      </c>
      <c r="C21" s="31"/>
      <c r="D21" s="31"/>
      <c r="E21" s="33">
        <v>19</v>
      </c>
      <c r="F21" s="35" t="s">
        <v>39</v>
      </c>
      <c r="G21" s="364"/>
      <c r="H21" s="97"/>
      <c r="I21" s="365"/>
      <c r="J21" s="365"/>
      <c r="K21" s="180"/>
      <c r="L21" s="180"/>
      <c r="M21" s="181"/>
      <c r="N21" s="181"/>
      <c r="O21" s="101"/>
    </row>
    <row r="22" spans="1:15" s="25" customFormat="1" ht="12.75">
      <c r="A22" s="21"/>
      <c r="B22" s="31" t="s">
        <v>40</v>
      </c>
      <c r="C22" s="31"/>
      <c r="D22" s="31"/>
      <c r="E22" s="33">
        <v>20</v>
      </c>
      <c r="F22" s="35" t="s">
        <v>41</v>
      </c>
      <c r="G22" s="364"/>
      <c r="H22" s="97"/>
      <c r="I22" s="181"/>
      <c r="J22" s="180"/>
      <c r="K22" s="180"/>
      <c r="L22" s="180"/>
      <c r="M22" s="181"/>
      <c r="N22" s="181"/>
      <c r="O22" s="101"/>
    </row>
    <row r="23" spans="1:15" s="25" customFormat="1" ht="12.75">
      <c r="A23" s="21"/>
      <c r="B23" s="31" t="s">
        <v>42</v>
      </c>
      <c r="C23" s="31"/>
      <c r="D23" s="31"/>
      <c r="E23" s="33">
        <v>21</v>
      </c>
      <c r="F23" s="35" t="s">
        <v>43</v>
      </c>
      <c r="G23" s="364"/>
      <c r="H23" s="97"/>
      <c r="I23" s="181"/>
      <c r="J23" s="180"/>
      <c r="K23" s="180"/>
      <c r="L23" s="180"/>
      <c r="M23" s="181"/>
      <c r="N23" s="181"/>
      <c r="O23" s="101"/>
    </row>
    <row r="24" spans="1:15" s="25" customFormat="1" ht="12.75">
      <c r="A24" s="21"/>
      <c r="B24" s="31" t="s">
        <v>44</v>
      </c>
      <c r="C24" s="31"/>
      <c r="D24" s="31"/>
      <c r="E24" s="33">
        <v>22</v>
      </c>
      <c r="F24" s="35" t="s">
        <v>77</v>
      </c>
      <c r="G24" s="364"/>
      <c r="H24" s="97"/>
      <c r="I24" s="181"/>
      <c r="J24" s="180"/>
      <c r="K24" s="180"/>
      <c r="L24" s="180"/>
      <c r="M24" s="181"/>
      <c r="N24" s="181"/>
      <c r="O24" s="101"/>
    </row>
    <row r="25" spans="1:15" s="25" customFormat="1" ht="12.75">
      <c r="A25" s="21"/>
      <c r="B25" s="31" t="s">
        <v>45</v>
      </c>
      <c r="C25" s="31"/>
      <c r="D25" s="31"/>
      <c r="E25" s="33">
        <v>23</v>
      </c>
      <c r="F25" s="35" t="s">
        <v>46</v>
      </c>
      <c r="G25" s="364"/>
      <c r="H25" s="97"/>
      <c r="I25" s="181"/>
      <c r="J25" s="180"/>
      <c r="K25" s="180"/>
      <c r="L25" s="180"/>
      <c r="M25" s="181"/>
      <c r="N25" s="181"/>
      <c r="O25" s="101"/>
    </row>
    <row r="26" spans="1:15" s="25" customFormat="1" ht="12.75">
      <c r="A26" s="21"/>
      <c r="B26" s="31" t="s">
        <v>47</v>
      </c>
      <c r="C26" s="31"/>
      <c r="D26" s="31"/>
      <c r="E26" s="33">
        <v>24</v>
      </c>
      <c r="F26" s="35" t="s">
        <v>48</v>
      </c>
      <c r="G26" s="364"/>
      <c r="H26" s="97"/>
      <c r="I26" s="181"/>
      <c r="J26" s="180"/>
      <c r="K26" s="180"/>
      <c r="L26" s="180"/>
      <c r="M26" s="181"/>
      <c r="N26" s="181"/>
      <c r="O26" s="101"/>
    </row>
    <row r="27" spans="1:15" s="25" customFormat="1" ht="13.5" thickBot="1">
      <c r="A27" s="21"/>
      <c r="B27" s="30" t="s">
        <v>49</v>
      </c>
      <c r="C27" s="30"/>
      <c r="D27" s="30"/>
      <c r="E27" s="28">
        <v>25</v>
      </c>
      <c r="F27" s="36" t="s">
        <v>50</v>
      </c>
      <c r="G27" s="364"/>
      <c r="H27" s="97"/>
      <c r="I27" s="181"/>
      <c r="J27" s="180"/>
      <c r="K27" s="180"/>
      <c r="L27" s="180"/>
      <c r="M27" s="181"/>
      <c r="N27" s="181"/>
      <c r="O27" s="101"/>
    </row>
    <row r="28" spans="1:15" ht="13.5" thickBot="1">
      <c r="A28" s="37" t="s">
        <v>51</v>
      </c>
      <c r="B28" s="38"/>
      <c r="C28" s="38"/>
      <c r="D28" s="38"/>
      <c r="E28" s="19">
        <v>26</v>
      </c>
      <c r="F28" s="39"/>
      <c r="G28" s="354">
        <f aca="true" t="shared" si="2" ref="G28:O28">SUM(G29:G45)</f>
        <v>0</v>
      </c>
      <c r="H28" s="81">
        <f t="shared" si="2"/>
        <v>0</v>
      </c>
      <c r="I28" s="355">
        <f t="shared" si="2"/>
        <v>0</v>
      </c>
      <c r="J28" s="356">
        <f t="shared" si="2"/>
        <v>0</v>
      </c>
      <c r="K28" s="356">
        <f t="shared" si="2"/>
        <v>0</v>
      </c>
      <c r="L28" s="356">
        <f t="shared" si="2"/>
        <v>0</v>
      </c>
      <c r="M28" s="355">
        <f t="shared" si="2"/>
        <v>0</v>
      </c>
      <c r="N28" s="355">
        <f t="shared" si="2"/>
        <v>0</v>
      </c>
      <c r="O28" s="84">
        <f t="shared" si="2"/>
        <v>0</v>
      </c>
    </row>
    <row r="29" spans="1:15" s="25" customFormat="1" ht="12.75">
      <c r="A29" s="21" t="s">
        <v>14</v>
      </c>
      <c r="B29" s="27" t="s">
        <v>52</v>
      </c>
      <c r="C29" s="27"/>
      <c r="D29" s="27"/>
      <c r="E29" s="28">
        <v>27</v>
      </c>
      <c r="F29" s="29" t="s">
        <v>53</v>
      </c>
      <c r="G29" s="357"/>
      <c r="H29" s="86"/>
      <c r="I29" s="358"/>
      <c r="J29" s="359"/>
      <c r="K29" s="359"/>
      <c r="L29" s="359"/>
      <c r="M29" s="358"/>
      <c r="N29" s="358"/>
      <c r="O29" s="89"/>
    </row>
    <row r="30" spans="1:15" s="25" customFormat="1" ht="12.75">
      <c r="A30" s="21"/>
      <c r="B30" s="30" t="s">
        <v>28</v>
      </c>
      <c r="C30" s="30"/>
      <c r="D30" s="30"/>
      <c r="E30" s="28">
        <v>28</v>
      </c>
      <c r="F30" s="36" t="s">
        <v>29</v>
      </c>
      <c r="G30" s="366"/>
      <c r="H30" s="102"/>
      <c r="I30" s="367"/>
      <c r="J30" s="368"/>
      <c r="K30" s="368"/>
      <c r="L30" s="368"/>
      <c r="M30" s="367"/>
      <c r="N30" s="367"/>
      <c r="O30" s="105"/>
    </row>
    <row r="31" spans="1:15" s="25" customFormat="1" ht="12.75">
      <c r="A31" s="21"/>
      <c r="B31" s="30" t="s">
        <v>30</v>
      </c>
      <c r="C31" s="30"/>
      <c r="D31" s="30"/>
      <c r="E31" s="28">
        <v>29</v>
      </c>
      <c r="F31" s="36" t="s">
        <v>31</v>
      </c>
      <c r="G31" s="366"/>
      <c r="H31" s="102"/>
      <c r="I31" s="367"/>
      <c r="J31" s="368"/>
      <c r="K31" s="368"/>
      <c r="L31" s="368"/>
      <c r="M31" s="367"/>
      <c r="N31" s="367"/>
      <c r="O31" s="105"/>
    </row>
    <row r="32" spans="1:15" s="25" customFormat="1" ht="12.75">
      <c r="A32" s="21"/>
      <c r="B32" s="31" t="s">
        <v>32</v>
      </c>
      <c r="C32" s="32"/>
      <c r="D32" s="32"/>
      <c r="E32" s="33">
        <v>30</v>
      </c>
      <c r="F32" s="34" t="s">
        <v>33</v>
      </c>
      <c r="G32" s="366"/>
      <c r="H32" s="102"/>
      <c r="I32" s="367"/>
      <c r="J32" s="368"/>
      <c r="K32" s="368"/>
      <c r="L32" s="368"/>
      <c r="M32" s="367"/>
      <c r="N32" s="367"/>
      <c r="O32" s="105"/>
    </row>
    <row r="33" spans="1:15" s="25" customFormat="1" ht="12.75">
      <c r="A33" s="21"/>
      <c r="B33" s="31" t="s">
        <v>34</v>
      </c>
      <c r="C33" s="31"/>
      <c r="D33" s="31"/>
      <c r="E33" s="33">
        <v>31</v>
      </c>
      <c r="F33" s="35" t="s">
        <v>35</v>
      </c>
      <c r="G33" s="366"/>
      <c r="H33" s="102"/>
      <c r="I33" s="367"/>
      <c r="J33" s="368"/>
      <c r="K33" s="368"/>
      <c r="L33" s="368"/>
      <c r="M33" s="367"/>
      <c r="N33" s="367"/>
      <c r="O33" s="105"/>
    </row>
    <row r="34" spans="1:15" s="25" customFormat="1" ht="12.75">
      <c r="A34" s="21"/>
      <c r="B34" s="31" t="s">
        <v>54</v>
      </c>
      <c r="C34" s="31"/>
      <c r="D34" s="31"/>
      <c r="E34" s="33">
        <v>32</v>
      </c>
      <c r="F34" s="35" t="s">
        <v>55</v>
      </c>
      <c r="G34" s="366"/>
      <c r="H34" s="102"/>
      <c r="I34" s="367"/>
      <c r="J34" s="368"/>
      <c r="K34" s="368"/>
      <c r="L34" s="368"/>
      <c r="M34" s="367"/>
      <c r="N34" s="367"/>
      <c r="O34" s="105"/>
    </row>
    <row r="35" spans="1:15" s="25" customFormat="1" ht="12.75">
      <c r="A35" s="21"/>
      <c r="B35" s="31" t="s">
        <v>36</v>
      </c>
      <c r="C35" s="31"/>
      <c r="D35" s="31"/>
      <c r="E35" s="33">
        <v>33</v>
      </c>
      <c r="F35" s="35" t="s">
        <v>37</v>
      </c>
      <c r="G35" s="366"/>
      <c r="H35" s="102"/>
      <c r="I35" s="367"/>
      <c r="J35" s="368"/>
      <c r="K35" s="368"/>
      <c r="L35" s="368"/>
      <c r="M35" s="367"/>
      <c r="N35" s="367"/>
      <c r="O35" s="105"/>
    </row>
    <row r="36" spans="1:15" s="25" customFormat="1" ht="12.75">
      <c r="A36" s="21"/>
      <c r="B36" s="31" t="s">
        <v>38</v>
      </c>
      <c r="C36" s="31"/>
      <c r="D36" s="31"/>
      <c r="E36" s="33">
        <v>34</v>
      </c>
      <c r="F36" s="35" t="s">
        <v>39</v>
      </c>
      <c r="G36" s="366"/>
      <c r="H36" s="102"/>
      <c r="I36" s="367"/>
      <c r="J36" s="368"/>
      <c r="K36" s="368"/>
      <c r="L36" s="368"/>
      <c r="M36" s="367"/>
      <c r="N36" s="367"/>
      <c r="O36" s="105"/>
    </row>
    <row r="37" spans="1:15" s="25" customFormat="1" ht="12.75">
      <c r="A37" s="21"/>
      <c r="B37" s="31" t="s">
        <v>56</v>
      </c>
      <c r="C37" s="31"/>
      <c r="D37" s="31"/>
      <c r="E37" s="33">
        <v>35</v>
      </c>
      <c r="F37" s="35" t="s">
        <v>41</v>
      </c>
      <c r="G37" s="366"/>
      <c r="H37" s="102"/>
      <c r="I37" s="367"/>
      <c r="J37" s="368"/>
      <c r="K37" s="368"/>
      <c r="L37" s="368"/>
      <c r="M37" s="367"/>
      <c r="N37" s="367"/>
      <c r="O37" s="105"/>
    </row>
    <row r="38" spans="1:15" s="25" customFormat="1" ht="12.75">
      <c r="A38" s="21"/>
      <c r="B38" s="31" t="s">
        <v>57</v>
      </c>
      <c r="C38" s="31"/>
      <c r="D38" s="31"/>
      <c r="E38" s="33">
        <v>36</v>
      </c>
      <c r="F38" s="35" t="s">
        <v>58</v>
      </c>
      <c r="G38" s="366"/>
      <c r="H38" s="102"/>
      <c r="I38" s="367"/>
      <c r="J38" s="368"/>
      <c r="K38" s="368"/>
      <c r="L38" s="368"/>
      <c r="M38" s="367"/>
      <c r="N38" s="367"/>
      <c r="O38" s="105"/>
    </row>
    <row r="39" spans="1:15" s="25" customFormat="1" ht="12.75">
      <c r="A39" s="21"/>
      <c r="B39" s="31" t="s">
        <v>59</v>
      </c>
      <c r="C39" s="31"/>
      <c r="D39" s="31"/>
      <c r="E39" s="33">
        <v>37</v>
      </c>
      <c r="F39" s="35" t="s">
        <v>43</v>
      </c>
      <c r="G39" s="366"/>
      <c r="H39" s="102"/>
      <c r="I39" s="367"/>
      <c r="J39" s="368"/>
      <c r="K39" s="368"/>
      <c r="L39" s="368"/>
      <c r="M39" s="367"/>
      <c r="N39" s="367"/>
      <c r="O39" s="105"/>
    </row>
    <row r="40" spans="1:15" s="25" customFormat="1" ht="12.75">
      <c r="A40" s="21"/>
      <c r="B40" s="31" t="s">
        <v>60</v>
      </c>
      <c r="C40" s="31"/>
      <c r="D40" s="31"/>
      <c r="E40" s="33">
        <v>38</v>
      </c>
      <c r="F40" s="35" t="s">
        <v>77</v>
      </c>
      <c r="G40" s="366"/>
      <c r="H40" s="102"/>
      <c r="I40" s="367"/>
      <c r="J40" s="368"/>
      <c r="K40" s="368"/>
      <c r="L40" s="368"/>
      <c r="M40" s="367"/>
      <c r="N40" s="367"/>
      <c r="O40" s="105"/>
    </row>
    <row r="41" spans="1:15" s="25" customFormat="1" ht="12.75">
      <c r="A41" s="21"/>
      <c r="B41" s="31" t="s">
        <v>45</v>
      </c>
      <c r="C41" s="31"/>
      <c r="D41" s="31"/>
      <c r="E41" s="33">
        <v>39</v>
      </c>
      <c r="F41" s="35" t="s">
        <v>46</v>
      </c>
      <c r="G41" s="366"/>
      <c r="H41" s="102"/>
      <c r="I41" s="367"/>
      <c r="J41" s="368"/>
      <c r="K41" s="368"/>
      <c r="L41" s="368"/>
      <c r="M41" s="367"/>
      <c r="N41" s="367"/>
      <c r="O41" s="105"/>
    </row>
    <row r="42" spans="1:15" s="25" customFormat="1" ht="12.75">
      <c r="A42" s="21"/>
      <c r="B42" s="31" t="s">
        <v>61</v>
      </c>
      <c r="C42" s="31"/>
      <c r="D42" s="31"/>
      <c r="E42" s="33">
        <v>40</v>
      </c>
      <c r="F42" s="35" t="s">
        <v>48</v>
      </c>
      <c r="G42" s="366"/>
      <c r="H42" s="102"/>
      <c r="I42" s="367"/>
      <c r="J42" s="368"/>
      <c r="K42" s="368"/>
      <c r="L42" s="368"/>
      <c r="M42" s="367"/>
      <c r="N42" s="367"/>
      <c r="O42" s="105"/>
    </row>
    <row r="43" spans="1:15" s="25" customFormat="1" ht="12.75">
      <c r="A43" s="21"/>
      <c r="B43" s="31" t="s">
        <v>62</v>
      </c>
      <c r="C43" s="31"/>
      <c r="D43" s="31"/>
      <c r="E43" s="33">
        <v>41</v>
      </c>
      <c r="F43" s="35" t="s">
        <v>78</v>
      </c>
      <c r="G43" s="366"/>
      <c r="H43" s="102"/>
      <c r="I43" s="367"/>
      <c r="J43" s="368"/>
      <c r="K43" s="368"/>
      <c r="L43" s="368"/>
      <c r="M43" s="367"/>
      <c r="N43" s="367"/>
      <c r="O43" s="105"/>
    </row>
    <row r="44" spans="1:15" s="25" customFormat="1" ht="12.75">
      <c r="A44" s="21"/>
      <c r="B44" s="31" t="s">
        <v>63</v>
      </c>
      <c r="C44" s="31"/>
      <c r="D44" s="31"/>
      <c r="E44" s="33">
        <v>42</v>
      </c>
      <c r="F44" s="35" t="s">
        <v>64</v>
      </c>
      <c r="G44" s="366"/>
      <c r="H44" s="102"/>
      <c r="I44" s="367"/>
      <c r="J44" s="368"/>
      <c r="K44" s="368"/>
      <c r="L44" s="368"/>
      <c r="M44" s="367"/>
      <c r="N44" s="367"/>
      <c r="O44" s="105"/>
    </row>
    <row r="45" spans="1:15" s="25" customFormat="1" ht="12.75">
      <c r="A45" s="40"/>
      <c r="B45" s="41" t="s">
        <v>49</v>
      </c>
      <c r="C45" s="41"/>
      <c r="D45" s="41"/>
      <c r="E45" s="42">
        <v>43</v>
      </c>
      <c r="F45" s="43" t="s">
        <v>50</v>
      </c>
      <c r="G45" s="369"/>
      <c r="H45" s="108"/>
      <c r="I45" s="370"/>
      <c r="J45" s="371"/>
      <c r="K45" s="371"/>
      <c r="L45" s="371"/>
      <c r="M45" s="370"/>
      <c r="N45" s="370"/>
      <c r="O45" s="111"/>
    </row>
    <row r="46" spans="1:15" s="25" customFormat="1" ht="13.5" thickBot="1">
      <c r="A46" s="44" t="s">
        <v>65</v>
      </c>
      <c r="B46" s="45"/>
      <c r="C46" s="45"/>
      <c r="D46" s="45"/>
      <c r="E46" s="28">
        <v>44</v>
      </c>
      <c r="F46" s="46"/>
      <c r="G46" s="372"/>
      <c r="H46" s="112"/>
      <c r="I46" s="373"/>
      <c r="J46" s="374"/>
      <c r="K46" s="374"/>
      <c r="L46" s="374"/>
      <c r="M46" s="373"/>
      <c r="N46" s="373"/>
      <c r="O46" s="114"/>
    </row>
    <row r="47" spans="1:15" ht="13.5" thickBot="1">
      <c r="A47" s="37" t="s">
        <v>66</v>
      </c>
      <c r="B47" s="38"/>
      <c r="C47" s="38"/>
      <c r="D47" s="38"/>
      <c r="E47" s="19">
        <v>45</v>
      </c>
      <c r="F47" s="39"/>
      <c r="G47" s="354">
        <f aca="true" t="shared" si="3" ref="G47:O47">G28-G3</f>
        <v>0</v>
      </c>
      <c r="H47" s="81">
        <f t="shared" si="3"/>
        <v>0</v>
      </c>
      <c r="I47" s="355">
        <f t="shared" si="3"/>
        <v>0</v>
      </c>
      <c r="J47" s="356">
        <f t="shared" si="3"/>
        <v>0</v>
      </c>
      <c r="K47" s="356">
        <f t="shared" si="3"/>
        <v>0</v>
      </c>
      <c r="L47" s="356">
        <f t="shared" si="3"/>
        <v>0</v>
      </c>
      <c r="M47" s="355">
        <f t="shared" si="3"/>
        <v>0</v>
      </c>
      <c r="N47" s="355">
        <f t="shared" si="3"/>
        <v>0</v>
      </c>
      <c r="O47" s="84">
        <f t="shared" si="3"/>
        <v>0</v>
      </c>
    </row>
    <row r="48" spans="1:6" ht="12.75">
      <c r="A48" s="47" t="s">
        <v>67</v>
      </c>
      <c r="B48" s="47"/>
      <c r="C48" s="47"/>
      <c r="D48" s="47"/>
      <c r="E48" s="48"/>
      <c r="F48" s="49" t="s">
        <v>68</v>
      </c>
    </row>
    <row r="49" spans="5:15" s="47" customFormat="1" ht="12.75">
      <c r="E49" s="48"/>
      <c r="F49" s="49"/>
      <c r="G49" s="16"/>
      <c r="I49" s="50"/>
      <c r="J49" s="50"/>
      <c r="K49" s="50"/>
      <c r="L49" s="50"/>
      <c r="M49" s="50"/>
      <c r="N49" s="50"/>
      <c r="O49" s="59"/>
    </row>
    <row r="50" spans="5:15" s="47" customFormat="1" ht="12.75">
      <c r="E50" s="48"/>
      <c r="F50" s="49"/>
      <c r="G50" s="16"/>
      <c r="I50" s="50"/>
      <c r="J50" s="50"/>
      <c r="K50" s="50"/>
      <c r="L50" s="50"/>
      <c r="M50" s="50"/>
      <c r="N50" s="50"/>
      <c r="O50" s="59"/>
    </row>
    <row r="51" spans="5:15" s="47" customFormat="1" ht="12.75">
      <c r="E51" s="48"/>
      <c r="F51" s="49"/>
      <c r="G51" s="16"/>
      <c r="I51" s="50"/>
      <c r="J51" s="50"/>
      <c r="K51" s="50"/>
      <c r="L51" s="50"/>
      <c r="M51" s="50"/>
      <c r="N51" s="50"/>
      <c r="O51" s="59"/>
    </row>
    <row r="52" spans="5:15" s="47" customFormat="1" ht="12.75">
      <c r="E52" s="48"/>
      <c r="F52" s="49"/>
      <c r="G52" s="16"/>
      <c r="I52" s="50"/>
      <c r="J52" s="50"/>
      <c r="K52" s="50"/>
      <c r="L52" s="50"/>
      <c r="M52" s="50"/>
      <c r="N52" s="50"/>
      <c r="O52" s="59"/>
    </row>
    <row r="53" spans="5:15" s="47" customFormat="1" ht="12.75">
      <c r="E53" s="48"/>
      <c r="F53" s="49"/>
      <c r="G53" s="16"/>
      <c r="I53" s="50"/>
      <c r="J53" s="50"/>
      <c r="K53" s="50"/>
      <c r="L53" s="50"/>
      <c r="M53" s="50"/>
      <c r="N53" s="50"/>
      <c r="O53" s="59"/>
    </row>
    <row r="54" spans="5:15" s="47" customFormat="1" ht="12.75">
      <c r="E54" s="48"/>
      <c r="F54" s="49"/>
      <c r="G54" s="16"/>
      <c r="I54" s="50"/>
      <c r="J54" s="50"/>
      <c r="K54" s="50"/>
      <c r="L54" s="50"/>
      <c r="M54" s="50"/>
      <c r="N54" s="50"/>
      <c r="O54" s="59"/>
    </row>
    <row r="55" spans="1:15" s="47" customFormat="1" ht="12.75">
      <c r="A55" s="51" t="s">
        <v>69</v>
      </c>
      <c r="E55" s="48"/>
      <c r="F55" s="49"/>
      <c r="G55" s="16"/>
      <c r="I55" s="50"/>
      <c r="J55" s="50"/>
      <c r="K55" s="50"/>
      <c r="L55" s="50"/>
      <c r="M55" s="50"/>
      <c r="N55" s="50"/>
      <c r="O55" s="59"/>
    </row>
    <row r="56" spans="1:15" s="47" customFormat="1" ht="12.75">
      <c r="A56" s="51" t="s">
        <v>70</v>
      </c>
      <c r="E56" s="48"/>
      <c r="F56" s="49"/>
      <c r="G56" s="16"/>
      <c r="I56" s="50"/>
      <c r="J56" s="50"/>
      <c r="K56" s="50"/>
      <c r="L56" s="50"/>
      <c r="M56" s="50"/>
      <c r="N56" s="50"/>
      <c r="O56" s="59"/>
    </row>
    <row r="57" spans="1:15" s="47" customFormat="1" ht="12.75">
      <c r="A57" s="51" t="s">
        <v>71</v>
      </c>
      <c r="E57" s="48"/>
      <c r="F57" s="49"/>
      <c r="G57" s="52"/>
      <c r="I57" s="50"/>
      <c r="J57" s="50"/>
      <c r="K57" s="50"/>
      <c r="L57" s="50"/>
      <c r="M57" s="50"/>
      <c r="N57" s="50"/>
      <c r="O57" s="59"/>
    </row>
    <row r="58" spans="1:15" s="51" customFormat="1" ht="12.75">
      <c r="A58" s="51" t="s">
        <v>72</v>
      </c>
      <c r="E58" s="53"/>
      <c r="F58" s="54"/>
      <c r="G58" s="55"/>
      <c r="I58" s="56"/>
      <c r="J58" s="56"/>
      <c r="K58" s="56"/>
      <c r="L58" s="56"/>
      <c r="M58" s="56"/>
      <c r="N58" s="56"/>
      <c r="O58" s="75"/>
    </row>
    <row r="59" spans="1:15" s="51" customFormat="1" ht="12.75">
      <c r="A59" s="51" t="s">
        <v>73</v>
      </c>
      <c r="E59" s="53"/>
      <c r="F59" s="54"/>
      <c r="G59" s="55"/>
      <c r="I59" s="56"/>
      <c r="J59" s="56"/>
      <c r="K59" s="56"/>
      <c r="L59" s="56"/>
      <c r="M59" s="56"/>
      <c r="N59" s="56"/>
      <c r="O59" s="75"/>
    </row>
    <row r="60" spans="1:15" s="51" customFormat="1" ht="12.75">
      <c r="A60" s="51" t="s">
        <v>74</v>
      </c>
      <c r="E60" s="53"/>
      <c r="F60" s="54"/>
      <c r="G60" s="55"/>
      <c r="I60" s="56"/>
      <c r="J60" s="56"/>
      <c r="K60" s="56"/>
      <c r="L60" s="56"/>
      <c r="M60" s="56"/>
      <c r="N60" s="56"/>
      <c r="O60" s="75"/>
    </row>
    <row r="61" spans="1:15" s="47" customFormat="1" ht="12.75">
      <c r="A61" s="51"/>
      <c r="B61" s="51"/>
      <c r="C61" s="51"/>
      <c r="D61" s="51"/>
      <c r="E61" s="48"/>
      <c r="F61" s="49"/>
      <c r="G61" s="16"/>
      <c r="I61" s="50"/>
      <c r="J61" s="50"/>
      <c r="K61" s="50"/>
      <c r="L61" s="50"/>
      <c r="M61" s="50"/>
      <c r="N61" s="50"/>
      <c r="O61" s="59"/>
    </row>
    <row r="62" spans="1:14" s="59" customFormat="1" ht="12.75">
      <c r="A62" s="51"/>
      <c r="B62" s="51"/>
      <c r="C62" s="51"/>
      <c r="D62" s="51"/>
      <c r="E62" s="57"/>
      <c r="F62" s="58"/>
      <c r="G62" s="16"/>
      <c r="I62" s="50"/>
      <c r="J62" s="50"/>
      <c r="K62" s="50"/>
      <c r="L62" s="50"/>
      <c r="M62" s="50"/>
      <c r="N62" s="50"/>
    </row>
    <row r="63" spans="1:14" s="59" customFormat="1" ht="12.75">
      <c r="A63" s="51"/>
      <c r="B63" s="51"/>
      <c r="C63" s="51"/>
      <c r="D63" s="51"/>
      <c r="E63" s="57"/>
      <c r="F63" s="58"/>
      <c r="G63" s="16"/>
      <c r="I63" s="50"/>
      <c r="J63" s="50"/>
      <c r="K63" s="50"/>
      <c r="L63" s="50"/>
      <c r="M63" s="50"/>
      <c r="N63" s="50"/>
    </row>
    <row r="64" spans="1:14" s="59" customFormat="1" ht="12.75">
      <c r="A64" s="51"/>
      <c r="B64" s="51"/>
      <c r="C64" s="51"/>
      <c r="D64" s="51"/>
      <c r="E64" s="57"/>
      <c r="F64" s="58"/>
      <c r="G64" s="16"/>
      <c r="I64" s="50"/>
      <c r="J64" s="50"/>
      <c r="K64" s="50"/>
      <c r="L64" s="50"/>
      <c r="M64" s="50"/>
      <c r="N64" s="50"/>
    </row>
  </sheetData>
  <mergeCells count="2">
    <mergeCell ref="A1:D1"/>
    <mergeCell ref="J1:N1"/>
  </mergeCells>
  <printOptions/>
  <pageMargins left="0.31496062992125984" right="0.27" top="0.35433070866141736" bottom="0.35433070866141736" header="0.1968503937007874" footer="0.2755905511811024"/>
  <pageSetup horizontalDpi="600" verticalDpi="600" orientation="landscape" paperSize="9" scale="85" r:id="rId1"/>
  <headerFooter alignWithMargins="0">
    <oddHeader>&amp;R&amp;9Příloha 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H43" sqref="H4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0.00390625" style="25" customWidth="1"/>
    <col min="7" max="7" width="5.125" style="0" hidden="1" customWidth="1"/>
    <col min="8" max="8" width="8.75390625" style="59" customWidth="1"/>
    <col min="9" max="12" width="8.00390625" style="59" customWidth="1"/>
    <col min="13" max="13" width="8.125" style="59" customWidth="1"/>
    <col min="14" max="14" width="9.625" style="59" customWidth="1"/>
    <col min="15" max="15" width="9.125" style="317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5" s="16" customFormat="1" ht="13.5" thickBot="1">
      <c r="A2" s="6" t="s">
        <v>134</v>
      </c>
      <c r="B2" s="7"/>
      <c r="C2" s="550" t="s">
        <v>140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7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0</v>
      </c>
      <c r="G3" s="81">
        <f aca="true" t="shared" si="0" ref="G3:N3">SUM(G5:G27)</f>
        <v>0</v>
      </c>
      <c r="H3" s="82">
        <f t="shared" si="0"/>
        <v>0</v>
      </c>
      <c r="I3" s="83">
        <f t="shared" si="0"/>
        <v>0</v>
      </c>
      <c r="J3" s="83">
        <f t="shared" si="0"/>
        <v>0</v>
      </c>
      <c r="K3" s="381">
        <f t="shared" si="0"/>
        <v>0</v>
      </c>
      <c r="L3" s="83">
        <f t="shared" si="0"/>
        <v>0</v>
      </c>
      <c r="M3" s="82">
        <f t="shared" si="0"/>
        <v>0</v>
      </c>
      <c r="N3" s="303">
        <f t="shared" si="0"/>
        <v>7524209.88</v>
      </c>
    </row>
    <row r="4" spans="1:15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 aca="true" t="shared" si="1" ref="F4:N4">SUM(F5:F15)</f>
        <v>0</v>
      </c>
      <c r="G4" s="86">
        <f t="shared" si="1"/>
        <v>0</v>
      </c>
      <c r="H4" s="87">
        <f t="shared" si="1"/>
        <v>0</v>
      </c>
      <c r="I4" s="88">
        <f t="shared" si="1"/>
        <v>0</v>
      </c>
      <c r="J4" s="88">
        <f t="shared" si="1"/>
        <v>0</v>
      </c>
      <c r="K4" s="382">
        <f t="shared" si="1"/>
        <v>0</v>
      </c>
      <c r="L4" s="88">
        <f t="shared" si="1"/>
        <v>0</v>
      </c>
      <c r="M4" s="87">
        <f t="shared" si="1"/>
        <v>0</v>
      </c>
      <c r="N4" s="89">
        <f t="shared" si="1"/>
        <v>5152879.0600000005</v>
      </c>
      <c r="O4" s="317"/>
    </row>
    <row r="5" spans="1:15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 aca="true" t="shared" si="2" ref="F5:F27">SUM(H5:M5)</f>
        <v>0</v>
      </c>
      <c r="G5" s="91"/>
      <c r="H5" s="92"/>
      <c r="I5" s="92"/>
      <c r="J5" s="93"/>
      <c r="K5" s="383"/>
      <c r="L5" s="93"/>
      <c r="M5" s="94"/>
      <c r="N5" s="95">
        <v>2735191.6</v>
      </c>
      <c r="O5" s="319"/>
    </row>
    <row r="6" spans="1:15" s="65" customFormat="1" ht="12">
      <c r="A6" s="61"/>
      <c r="B6" s="62"/>
      <c r="C6" s="62"/>
      <c r="D6" s="63" t="s">
        <v>18</v>
      </c>
      <c r="E6" s="64">
        <v>4</v>
      </c>
      <c r="F6" s="129">
        <f t="shared" si="2"/>
        <v>0</v>
      </c>
      <c r="G6" s="91"/>
      <c r="H6" s="92"/>
      <c r="I6" s="92"/>
      <c r="J6" s="93"/>
      <c r="K6" s="383"/>
      <c r="L6" s="93"/>
      <c r="M6" s="94"/>
      <c r="N6" s="95">
        <v>4787.5</v>
      </c>
      <c r="O6" s="319"/>
    </row>
    <row r="7" spans="1:15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0</v>
      </c>
      <c r="G7" s="91"/>
      <c r="H7" s="92"/>
      <c r="I7" s="92"/>
      <c r="J7" s="93"/>
      <c r="K7" s="383"/>
      <c r="L7" s="93"/>
      <c r="M7" s="94"/>
      <c r="N7" s="95">
        <v>1029096.71</v>
      </c>
      <c r="O7" s="319"/>
    </row>
    <row r="8" spans="1:15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0</v>
      </c>
      <c r="G8" s="91"/>
      <c r="H8" s="92"/>
      <c r="I8" s="92"/>
      <c r="J8" s="93"/>
      <c r="K8" s="383"/>
      <c r="L8" s="93"/>
      <c r="M8" s="94"/>
      <c r="N8" s="95"/>
      <c r="O8" s="319"/>
    </row>
    <row r="9" spans="1:15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0</v>
      </c>
      <c r="G9" s="91"/>
      <c r="H9" s="92"/>
      <c r="I9" s="92"/>
      <c r="J9" s="93"/>
      <c r="K9" s="383"/>
      <c r="L9" s="93"/>
      <c r="M9" s="94"/>
      <c r="N9" s="95">
        <v>2925.5</v>
      </c>
      <c r="O9" s="319"/>
    </row>
    <row r="10" spans="1:15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0</v>
      </c>
      <c r="G10" s="91"/>
      <c r="H10" s="92"/>
      <c r="I10" s="92"/>
      <c r="J10" s="93"/>
      <c r="K10" s="383"/>
      <c r="L10" s="93"/>
      <c r="M10" s="94"/>
      <c r="N10" s="95">
        <v>194158.64</v>
      </c>
      <c r="O10" s="319"/>
    </row>
    <row r="11" spans="1:15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0</v>
      </c>
      <c r="G11" s="91"/>
      <c r="H11" s="92"/>
      <c r="I11" s="92"/>
      <c r="J11" s="93"/>
      <c r="K11" s="383"/>
      <c r="L11" s="93"/>
      <c r="M11" s="94"/>
      <c r="N11" s="95">
        <v>460781.74</v>
      </c>
      <c r="O11" s="319"/>
    </row>
    <row r="12" spans="1:15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0</v>
      </c>
      <c r="G12" s="91"/>
      <c r="H12" s="92"/>
      <c r="I12" s="92"/>
      <c r="J12" s="93"/>
      <c r="K12" s="383"/>
      <c r="L12" s="93"/>
      <c r="M12" s="94"/>
      <c r="N12" s="95">
        <v>175084.63</v>
      </c>
      <c r="O12" s="319"/>
    </row>
    <row r="13" spans="1:15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0</v>
      </c>
      <c r="G13" s="91"/>
      <c r="H13" s="92"/>
      <c r="I13" s="92"/>
      <c r="J13" s="93"/>
      <c r="K13" s="383"/>
      <c r="L13" s="93"/>
      <c r="M13" s="94"/>
      <c r="N13" s="95">
        <v>4706</v>
      </c>
      <c r="O13" s="319"/>
    </row>
    <row r="14" spans="1:15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0</v>
      </c>
      <c r="G14" s="91"/>
      <c r="H14" s="92"/>
      <c r="I14" s="92"/>
      <c r="J14" s="93"/>
      <c r="K14" s="383"/>
      <c r="L14" s="93"/>
      <c r="M14" s="94"/>
      <c r="N14" s="95"/>
      <c r="O14" s="319"/>
    </row>
    <row r="15" spans="1:15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0</v>
      </c>
      <c r="G15" s="91"/>
      <c r="H15" s="92"/>
      <c r="I15" s="92"/>
      <c r="J15" s="93"/>
      <c r="K15" s="383"/>
      <c r="L15" s="93"/>
      <c r="M15" s="94"/>
      <c r="N15" s="95">
        <v>546146.74</v>
      </c>
      <c r="O15" s="319"/>
    </row>
    <row r="16" spans="1:15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0</v>
      </c>
      <c r="G16" s="97"/>
      <c r="H16" s="98"/>
      <c r="I16" s="98"/>
      <c r="J16" s="99"/>
      <c r="K16" s="384"/>
      <c r="L16" s="99"/>
      <c r="M16" s="100"/>
      <c r="N16" s="101"/>
      <c r="O16" s="317"/>
    </row>
    <row r="17" spans="1:15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101"/>
      <c r="O17" s="317"/>
    </row>
    <row r="18" spans="1:15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0</v>
      </c>
      <c r="G18" s="97"/>
      <c r="H18" s="98"/>
      <c r="I18" s="98"/>
      <c r="J18" s="99"/>
      <c r="K18" s="384"/>
      <c r="L18" s="99"/>
      <c r="M18" s="100"/>
      <c r="N18" s="101"/>
      <c r="O18" s="317"/>
    </row>
    <row r="19" spans="1:15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0</v>
      </c>
      <c r="G19" s="97"/>
      <c r="H19" s="98"/>
      <c r="I19" s="98"/>
      <c r="J19" s="99"/>
      <c r="K19" s="384"/>
      <c r="L19" s="99"/>
      <c r="M19" s="100"/>
      <c r="N19" s="101"/>
      <c r="O19" s="317"/>
    </row>
    <row r="20" spans="1:15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101"/>
      <c r="O20" s="317"/>
    </row>
    <row r="21" spans="1:15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>
        <v>2225686.77</v>
      </c>
      <c r="O21" s="317"/>
    </row>
    <row r="22" spans="1:15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00"/>
      <c r="I22" s="99"/>
      <c r="J22" s="99"/>
      <c r="K22" s="384"/>
      <c r="L22" s="99"/>
      <c r="M22" s="100"/>
      <c r="N22" s="101"/>
      <c r="O22" s="317"/>
    </row>
    <row r="23" spans="1:15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0</v>
      </c>
      <c r="G23" s="97"/>
      <c r="H23" s="100"/>
      <c r="I23" s="99"/>
      <c r="J23" s="99"/>
      <c r="K23" s="384"/>
      <c r="L23" s="99"/>
      <c r="M23" s="100"/>
      <c r="N23" s="101"/>
      <c r="O23" s="317"/>
    </row>
    <row r="24" spans="1:15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0</v>
      </c>
      <c r="G24" s="97"/>
      <c r="H24" s="100"/>
      <c r="I24" s="99"/>
      <c r="J24" s="99"/>
      <c r="K24" s="384"/>
      <c r="L24" s="99"/>
      <c r="M24" s="100"/>
      <c r="N24" s="101"/>
      <c r="O24" s="317"/>
    </row>
    <row r="25" spans="1:15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>
        <v>145644.05</v>
      </c>
      <c r="O25" s="317"/>
    </row>
    <row r="26" spans="1:15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317"/>
    </row>
    <row r="27" spans="1:15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0</v>
      </c>
      <c r="G27" s="97"/>
      <c r="H27" s="100"/>
      <c r="I27" s="99"/>
      <c r="J27" s="99"/>
      <c r="K27" s="384"/>
      <c r="L27" s="99"/>
      <c r="M27" s="100"/>
      <c r="N27" s="101"/>
      <c r="O27" s="31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 aca="true" t="shared" si="3" ref="F28:N28">SUM(F29:F45)</f>
        <v>0</v>
      </c>
      <c r="G28" s="81">
        <f t="shared" si="3"/>
        <v>0</v>
      </c>
      <c r="H28" s="82">
        <f t="shared" si="3"/>
        <v>0</v>
      </c>
      <c r="I28" s="83">
        <f t="shared" si="3"/>
        <v>0</v>
      </c>
      <c r="J28" s="83">
        <f t="shared" si="3"/>
        <v>0</v>
      </c>
      <c r="K28" s="381">
        <f t="shared" si="3"/>
        <v>0</v>
      </c>
      <c r="L28" s="83">
        <f t="shared" si="3"/>
        <v>0</v>
      </c>
      <c r="M28" s="82">
        <f t="shared" si="3"/>
        <v>0</v>
      </c>
      <c r="N28" s="84">
        <f t="shared" si="3"/>
        <v>7622090.659999999</v>
      </c>
    </row>
    <row r="29" spans="1:15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aca="true" t="shared" si="4" ref="F29:F45">SUM(H29:M29)</f>
        <v>0</v>
      </c>
      <c r="G29" s="86"/>
      <c r="H29" s="87"/>
      <c r="I29" s="88"/>
      <c r="J29" s="88"/>
      <c r="K29" s="382"/>
      <c r="L29" s="88"/>
      <c r="M29" s="87"/>
      <c r="N29" s="89">
        <v>5084599.34</v>
      </c>
      <c r="O29" s="320"/>
    </row>
    <row r="30" spans="1:15" s="25" customFormat="1" ht="12">
      <c r="A30" s="21"/>
      <c r="B30" s="30" t="s">
        <v>28</v>
      </c>
      <c r="C30" s="30"/>
      <c r="D30" s="30"/>
      <c r="E30" s="28">
        <v>28</v>
      </c>
      <c r="F30" s="130">
        <f t="shared" si="4"/>
        <v>0</v>
      </c>
      <c r="G30" s="102"/>
      <c r="H30" s="103"/>
      <c r="I30" s="104"/>
      <c r="J30" s="104"/>
      <c r="K30" s="385"/>
      <c r="L30" s="104"/>
      <c r="M30" s="103"/>
      <c r="N30" s="105"/>
      <c r="O30" s="317"/>
    </row>
    <row r="31" spans="1:15" s="25" customFormat="1" ht="12">
      <c r="A31" s="21"/>
      <c r="B31" s="30" t="s">
        <v>30</v>
      </c>
      <c r="C31" s="30"/>
      <c r="D31" s="30"/>
      <c r="E31" s="28">
        <v>29</v>
      </c>
      <c r="F31" s="130">
        <f t="shared" si="4"/>
        <v>0</v>
      </c>
      <c r="G31" s="102"/>
      <c r="H31" s="103"/>
      <c r="I31" s="104"/>
      <c r="J31" s="104"/>
      <c r="K31" s="385"/>
      <c r="L31" s="104"/>
      <c r="M31" s="103"/>
      <c r="N31" s="105"/>
      <c r="O31" s="317"/>
    </row>
    <row r="32" spans="1:15" s="25" customFormat="1" ht="12">
      <c r="A32" s="21"/>
      <c r="B32" s="31" t="s">
        <v>32</v>
      </c>
      <c r="C32" s="32"/>
      <c r="D32" s="32"/>
      <c r="E32" s="33">
        <v>30</v>
      </c>
      <c r="F32" s="130">
        <f t="shared" si="4"/>
        <v>0</v>
      </c>
      <c r="G32" s="102"/>
      <c r="H32" s="103"/>
      <c r="I32" s="104"/>
      <c r="J32" s="104"/>
      <c r="K32" s="385"/>
      <c r="L32" s="104"/>
      <c r="M32" s="103"/>
      <c r="N32" s="105"/>
      <c r="O32" s="317"/>
    </row>
    <row r="33" spans="1:15" s="25" customFormat="1" ht="12">
      <c r="A33" s="21"/>
      <c r="B33" s="31" t="s">
        <v>34</v>
      </c>
      <c r="C33" s="31"/>
      <c r="D33" s="31"/>
      <c r="E33" s="33">
        <v>31</v>
      </c>
      <c r="F33" s="130">
        <f t="shared" si="4"/>
        <v>0</v>
      </c>
      <c r="G33" s="102"/>
      <c r="H33" s="103"/>
      <c r="I33" s="104"/>
      <c r="J33" s="104"/>
      <c r="K33" s="385"/>
      <c r="L33" s="104"/>
      <c r="M33" s="103"/>
      <c r="N33" s="105"/>
      <c r="O33" s="317"/>
    </row>
    <row r="34" spans="1:15" s="25" customFormat="1" ht="12">
      <c r="A34" s="21"/>
      <c r="B34" s="31" t="s">
        <v>54</v>
      </c>
      <c r="C34" s="31"/>
      <c r="D34" s="31"/>
      <c r="E34" s="33">
        <v>32</v>
      </c>
      <c r="F34" s="130">
        <f t="shared" si="4"/>
        <v>0</v>
      </c>
      <c r="G34" s="102"/>
      <c r="H34" s="103"/>
      <c r="I34" s="104"/>
      <c r="J34" s="104"/>
      <c r="K34" s="385"/>
      <c r="L34" s="104"/>
      <c r="M34" s="103"/>
      <c r="N34" s="105"/>
      <c r="O34" s="317"/>
    </row>
    <row r="35" spans="1:15" s="25" customFormat="1" ht="12">
      <c r="A35" s="21"/>
      <c r="B35" s="31" t="s">
        <v>36</v>
      </c>
      <c r="C35" s="31"/>
      <c r="D35" s="31"/>
      <c r="E35" s="33">
        <v>33</v>
      </c>
      <c r="F35" s="130">
        <f t="shared" si="4"/>
        <v>0</v>
      </c>
      <c r="G35" s="102"/>
      <c r="H35" s="103"/>
      <c r="I35" s="104"/>
      <c r="J35" s="104"/>
      <c r="K35" s="385"/>
      <c r="L35" s="104"/>
      <c r="M35" s="103"/>
      <c r="N35" s="105"/>
      <c r="O35" s="317"/>
    </row>
    <row r="36" spans="1:15" s="25" customFormat="1" ht="12">
      <c r="A36" s="21"/>
      <c r="B36" s="31" t="s">
        <v>38</v>
      </c>
      <c r="C36" s="31"/>
      <c r="D36" s="31"/>
      <c r="E36" s="33">
        <v>34</v>
      </c>
      <c r="F36" s="130">
        <f t="shared" si="4"/>
        <v>0</v>
      </c>
      <c r="G36" s="102"/>
      <c r="H36" s="103">
        <f>H21</f>
        <v>0</v>
      </c>
      <c r="I36" s="104"/>
      <c r="J36" s="104"/>
      <c r="K36" s="385"/>
      <c r="L36" s="104"/>
      <c r="M36" s="103"/>
      <c r="N36" s="105">
        <v>2225686.77</v>
      </c>
      <c r="O36" s="317"/>
    </row>
    <row r="37" spans="1:15" s="25" customFormat="1" ht="12">
      <c r="A37" s="21"/>
      <c r="B37" s="31" t="s">
        <v>56</v>
      </c>
      <c r="C37" s="31"/>
      <c r="D37" s="31"/>
      <c r="E37" s="33">
        <v>35</v>
      </c>
      <c r="F37" s="130">
        <f t="shared" si="4"/>
        <v>0</v>
      </c>
      <c r="G37" s="102"/>
      <c r="H37" s="103"/>
      <c r="I37" s="104"/>
      <c r="J37" s="104"/>
      <c r="K37" s="385"/>
      <c r="L37" s="104"/>
      <c r="M37" s="103"/>
      <c r="N37" s="105"/>
      <c r="O37" s="317"/>
    </row>
    <row r="38" spans="1:15" s="25" customFormat="1" ht="12">
      <c r="A38" s="21"/>
      <c r="B38" s="31" t="s">
        <v>57</v>
      </c>
      <c r="C38" s="31"/>
      <c r="D38" s="31"/>
      <c r="E38" s="33">
        <v>36</v>
      </c>
      <c r="F38" s="130">
        <f t="shared" si="4"/>
        <v>0</v>
      </c>
      <c r="G38" s="102"/>
      <c r="H38" s="103"/>
      <c r="I38" s="104"/>
      <c r="J38" s="104"/>
      <c r="K38" s="385"/>
      <c r="L38" s="104"/>
      <c r="M38" s="103"/>
      <c r="N38" s="105"/>
      <c r="O38" s="320"/>
    </row>
    <row r="39" spans="1:15" s="25" customFormat="1" ht="12">
      <c r="A39" s="21"/>
      <c r="B39" s="31" t="s">
        <v>59</v>
      </c>
      <c r="C39" s="31"/>
      <c r="D39" s="31"/>
      <c r="E39" s="33">
        <v>37</v>
      </c>
      <c r="F39" s="130">
        <f t="shared" si="4"/>
        <v>0</v>
      </c>
      <c r="G39" s="102"/>
      <c r="H39" s="103"/>
      <c r="I39" s="104"/>
      <c r="J39" s="104"/>
      <c r="K39" s="385"/>
      <c r="L39" s="104"/>
      <c r="M39" s="103"/>
      <c r="N39" s="105"/>
      <c r="O39" s="317"/>
    </row>
    <row r="40" spans="1:15" s="25" customFormat="1" ht="12">
      <c r="A40" s="21"/>
      <c r="B40" s="31" t="s">
        <v>60</v>
      </c>
      <c r="C40" s="31"/>
      <c r="D40" s="31"/>
      <c r="E40" s="33">
        <v>38</v>
      </c>
      <c r="F40" s="130">
        <f t="shared" si="4"/>
        <v>0</v>
      </c>
      <c r="G40" s="102"/>
      <c r="H40" s="103"/>
      <c r="I40" s="104"/>
      <c r="J40" s="104"/>
      <c r="K40" s="385"/>
      <c r="L40" s="104"/>
      <c r="M40" s="103"/>
      <c r="N40" s="105"/>
      <c r="O40" s="317"/>
    </row>
    <row r="41" spans="1:15" s="25" customFormat="1" ht="12">
      <c r="A41" s="21"/>
      <c r="B41" s="31" t="s">
        <v>45</v>
      </c>
      <c r="C41" s="31"/>
      <c r="D41" s="31"/>
      <c r="E41" s="33">
        <v>39</v>
      </c>
      <c r="F41" s="130">
        <f t="shared" si="4"/>
        <v>0</v>
      </c>
      <c r="G41" s="102"/>
      <c r="H41" s="103"/>
      <c r="I41" s="104"/>
      <c r="J41" s="104"/>
      <c r="K41" s="385"/>
      <c r="L41" s="104"/>
      <c r="M41" s="103"/>
      <c r="N41" s="105">
        <v>145644.05</v>
      </c>
      <c r="O41" s="317"/>
    </row>
    <row r="42" spans="1:15" s="25" customFormat="1" ht="12">
      <c r="A42" s="21"/>
      <c r="B42" s="31" t="s">
        <v>61</v>
      </c>
      <c r="C42" s="31"/>
      <c r="D42" s="31"/>
      <c r="E42" s="33">
        <v>40</v>
      </c>
      <c r="F42" s="130">
        <f t="shared" si="4"/>
        <v>0</v>
      </c>
      <c r="G42" s="102"/>
      <c r="H42" s="103"/>
      <c r="I42" s="104"/>
      <c r="J42" s="104"/>
      <c r="K42" s="385"/>
      <c r="L42" s="104"/>
      <c r="M42" s="103"/>
      <c r="N42" s="105"/>
      <c r="O42" s="317"/>
    </row>
    <row r="43" spans="1:15" s="25" customFormat="1" ht="12">
      <c r="A43" s="21"/>
      <c r="B43" s="31" t="s">
        <v>62</v>
      </c>
      <c r="C43" s="31"/>
      <c r="D43" s="31"/>
      <c r="E43" s="33">
        <v>41</v>
      </c>
      <c r="F43" s="130">
        <f t="shared" si="4"/>
        <v>0</v>
      </c>
      <c r="G43" s="102"/>
      <c r="H43" s="103"/>
      <c r="I43" s="104"/>
      <c r="J43" s="104"/>
      <c r="K43" s="385"/>
      <c r="L43" s="104"/>
      <c r="M43" s="103"/>
      <c r="N43" s="105">
        <v>122480.1</v>
      </c>
      <c r="O43" s="317"/>
    </row>
    <row r="44" spans="1:15" s="25" customFormat="1" ht="12">
      <c r="A44" s="21"/>
      <c r="B44" s="31" t="s">
        <v>63</v>
      </c>
      <c r="C44" s="31"/>
      <c r="D44" s="31"/>
      <c r="E44" s="33">
        <v>42</v>
      </c>
      <c r="F44" s="130">
        <f t="shared" si="4"/>
        <v>0</v>
      </c>
      <c r="G44" s="102"/>
      <c r="H44" s="106" t="s">
        <v>97</v>
      </c>
      <c r="I44" s="104"/>
      <c r="J44" s="104"/>
      <c r="K44" s="385"/>
      <c r="L44" s="104"/>
      <c r="M44" s="103"/>
      <c r="N44" s="105">
        <v>43680.4</v>
      </c>
      <c r="O44" s="317"/>
    </row>
    <row r="45" spans="1:15" s="25" customFormat="1" ht="12">
      <c r="A45" s="40"/>
      <c r="B45" s="41" t="s">
        <v>49</v>
      </c>
      <c r="C45" s="41"/>
      <c r="D45" s="41"/>
      <c r="E45" s="42">
        <v>43</v>
      </c>
      <c r="F45" s="131">
        <f t="shared" si="4"/>
        <v>0</v>
      </c>
      <c r="G45" s="108"/>
      <c r="H45" s="109"/>
      <c r="I45" s="110"/>
      <c r="J45" s="110"/>
      <c r="K45" s="386"/>
      <c r="L45" s="110"/>
      <c r="M45" s="109"/>
      <c r="N45" s="111"/>
      <c r="O45" s="317"/>
    </row>
    <row r="46" spans="1:15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0</v>
      </c>
      <c r="G46" s="113">
        <f>G29+G34+G38+G43+G44+G45+-G4-G27</f>
        <v>0</v>
      </c>
      <c r="H46" s="113">
        <f>H29+H34+H38+H43+H45-H4-H27</f>
        <v>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97880.77999999933</v>
      </c>
      <c r="O46" s="31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 aca="true" t="shared" si="5" ref="F47:N47">F28-F3</f>
        <v>0</v>
      </c>
      <c r="G47" s="81">
        <f t="shared" si="5"/>
        <v>0</v>
      </c>
      <c r="H47" s="82">
        <f t="shared" si="5"/>
        <v>0</v>
      </c>
      <c r="I47" s="83">
        <f t="shared" si="5"/>
        <v>0</v>
      </c>
      <c r="J47" s="83">
        <f t="shared" si="5"/>
        <v>0</v>
      </c>
      <c r="K47" s="381">
        <f t="shared" si="5"/>
        <v>0</v>
      </c>
      <c r="L47" s="83">
        <f t="shared" si="5"/>
        <v>0</v>
      </c>
      <c r="M47" s="82">
        <f t="shared" si="5"/>
        <v>0</v>
      </c>
      <c r="N47" s="84">
        <f t="shared" si="5"/>
        <v>97880.77999999933</v>
      </c>
    </row>
    <row r="48" spans="1:5" ht="12.75">
      <c r="A48" s="47"/>
      <c r="B48" s="47"/>
      <c r="C48" s="47"/>
      <c r="D48" s="47"/>
      <c r="E48" s="48"/>
    </row>
    <row r="49" spans="5:15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317"/>
    </row>
    <row r="50" spans="1:15" s="47" customFormat="1" ht="12">
      <c r="A50" s="51" t="s">
        <v>98</v>
      </c>
      <c r="E50" s="48"/>
      <c r="F50" s="133"/>
      <c r="H50" s="59"/>
      <c r="J50" s="122"/>
      <c r="M50" s="59"/>
      <c r="N50" s="59"/>
      <c r="O50" s="317"/>
    </row>
    <row r="51" spans="5:15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317"/>
    </row>
    <row r="52" spans="5:15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317"/>
    </row>
    <row r="53" spans="5:15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317"/>
    </row>
    <row r="54" spans="1:15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317"/>
    </row>
    <row r="55" spans="1:15" s="59" customFormat="1" ht="12">
      <c r="A55" s="51"/>
      <c r="B55" s="51"/>
      <c r="C55" s="51"/>
      <c r="D55" s="51"/>
      <c r="E55" s="57"/>
      <c r="F55" s="25"/>
      <c r="O55" s="317"/>
    </row>
    <row r="56" spans="1:15" s="59" customFormat="1" ht="12">
      <c r="A56" s="51"/>
      <c r="B56" s="51"/>
      <c r="C56" s="51"/>
      <c r="D56" s="51"/>
      <c r="E56" s="57"/>
      <c r="F56" s="25"/>
      <c r="O56" s="317"/>
    </row>
    <row r="57" spans="1:15" s="59" customFormat="1" ht="12">
      <c r="A57" s="51"/>
      <c r="B57" s="51"/>
      <c r="C57" s="51"/>
      <c r="D57" s="51"/>
      <c r="E57" s="57"/>
      <c r="F57" s="25"/>
      <c r="O57" s="317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Z49"/>
  <sheetViews>
    <sheetView workbookViewId="0" topLeftCell="A1">
      <selection activeCell="A1" sqref="A1:W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14" width="7.25390625" style="59" customWidth="1"/>
    <col min="15" max="15" width="8.875" style="59" customWidth="1"/>
    <col min="16" max="16" width="5.125" style="0" hidden="1" customWidth="1"/>
    <col min="17" max="17" width="8.375" style="59" customWidth="1"/>
    <col min="18" max="18" width="6.875" style="59" customWidth="1"/>
    <col min="19" max="19" width="5.75390625" style="59" bestFit="1" customWidth="1"/>
    <col min="20" max="20" width="5.375" style="59" bestFit="1" customWidth="1"/>
    <col min="21" max="22" width="6.125" style="59" customWidth="1"/>
    <col min="23" max="23" width="10.25390625" style="59" customWidth="1"/>
    <col min="24" max="24" width="9.125" style="526" customWidth="1"/>
    <col min="25" max="25" width="7.00390625" style="526" customWidth="1"/>
    <col min="26" max="26" width="6.625" style="526" customWidth="1"/>
  </cols>
  <sheetData>
    <row r="1" spans="1:23" ht="15.75" customHeight="1">
      <c r="A1" s="544" t="s">
        <v>145</v>
      </c>
      <c r="B1" s="545"/>
      <c r="C1" s="545"/>
      <c r="D1" s="546"/>
      <c r="E1" s="346"/>
      <c r="F1" s="301" t="s">
        <v>105</v>
      </c>
      <c r="G1" s="235" t="s">
        <v>119</v>
      </c>
      <c r="H1" s="235" t="s">
        <v>120</v>
      </c>
      <c r="I1" s="235" t="s">
        <v>121</v>
      </c>
      <c r="J1" s="235" t="s">
        <v>106</v>
      </c>
      <c r="K1" s="235" t="s">
        <v>122</v>
      </c>
      <c r="L1" s="235" t="s">
        <v>123</v>
      </c>
      <c r="M1" s="235" t="s">
        <v>124</v>
      </c>
      <c r="N1" s="235" t="s">
        <v>125</v>
      </c>
      <c r="O1" s="69" t="s">
        <v>7</v>
      </c>
      <c r="P1" s="337" t="s">
        <v>1</v>
      </c>
      <c r="Q1" s="68" t="s">
        <v>2</v>
      </c>
      <c r="R1" s="547" t="s">
        <v>3</v>
      </c>
      <c r="S1" s="548"/>
      <c r="T1" s="548"/>
      <c r="U1" s="548"/>
      <c r="V1" s="549"/>
      <c r="W1" s="69" t="s">
        <v>4</v>
      </c>
    </row>
    <row r="2" spans="1:26" s="16" customFormat="1" ht="13.5" thickBot="1">
      <c r="A2" s="375" t="s">
        <v>149</v>
      </c>
      <c r="B2" s="7"/>
      <c r="C2" s="550" t="s">
        <v>128</v>
      </c>
      <c r="D2" s="551"/>
      <c r="E2" s="347" t="s">
        <v>5</v>
      </c>
      <c r="F2" s="71">
        <v>11</v>
      </c>
      <c r="G2" s="236">
        <v>21</v>
      </c>
      <c r="H2" s="236">
        <v>22</v>
      </c>
      <c r="I2" s="236">
        <v>23</v>
      </c>
      <c r="J2" s="236">
        <v>31</v>
      </c>
      <c r="K2" s="236">
        <v>33</v>
      </c>
      <c r="L2" s="236">
        <v>41</v>
      </c>
      <c r="M2" s="236">
        <v>51</v>
      </c>
      <c r="N2" s="236">
        <v>56</v>
      </c>
      <c r="O2" s="73" t="s">
        <v>118</v>
      </c>
      <c r="P2" s="338" t="s">
        <v>7</v>
      </c>
      <c r="Q2" s="70" t="s">
        <v>8</v>
      </c>
      <c r="R2" s="71" t="s">
        <v>9</v>
      </c>
      <c r="S2" s="72" t="s">
        <v>10</v>
      </c>
      <c r="T2" s="72" t="s">
        <v>11</v>
      </c>
      <c r="U2" s="72" t="s">
        <v>11</v>
      </c>
      <c r="V2" s="72" t="s">
        <v>12</v>
      </c>
      <c r="W2" s="73">
        <v>2008</v>
      </c>
      <c r="X2" s="526"/>
      <c r="Y2" s="526"/>
      <c r="Z2" s="526"/>
    </row>
    <row r="3" spans="1:23" ht="13.5" thickBot="1">
      <c r="A3" s="17" t="s">
        <v>13</v>
      </c>
      <c r="B3" s="18"/>
      <c r="C3" s="18"/>
      <c r="D3" s="18"/>
      <c r="E3" s="348">
        <v>1</v>
      </c>
      <c r="F3" s="256">
        <f aca="true" t="shared" si="0" ref="F3:W3">SUM(F5:F27)</f>
        <v>603767</v>
      </c>
      <c r="G3" s="237">
        <f t="shared" si="0"/>
        <v>394967</v>
      </c>
      <c r="H3" s="237">
        <f t="shared" si="0"/>
        <v>136656</v>
      </c>
      <c r="I3" s="237">
        <f t="shared" si="0"/>
        <v>209549</v>
      </c>
      <c r="J3" s="237">
        <f t="shared" si="0"/>
        <v>776229</v>
      </c>
      <c r="K3" s="237">
        <f t="shared" si="0"/>
        <v>215862</v>
      </c>
      <c r="L3" s="237">
        <f t="shared" si="0"/>
        <v>285770.702</v>
      </c>
      <c r="M3" s="237">
        <f t="shared" si="0"/>
        <v>92306.99999999999</v>
      </c>
      <c r="N3" s="237">
        <f t="shared" si="0"/>
        <v>164351</v>
      </c>
      <c r="O3" s="127">
        <f t="shared" si="0"/>
        <v>2879458.7020000005</v>
      </c>
      <c r="P3" s="339">
        <f t="shared" si="0"/>
        <v>0</v>
      </c>
      <c r="Q3" s="82">
        <f t="shared" si="0"/>
        <v>2754389</v>
      </c>
      <c r="R3" s="83">
        <f t="shared" si="0"/>
        <v>55732.263</v>
      </c>
      <c r="S3" s="83">
        <f t="shared" si="0"/>
        <v>32195.439</v>
      </c>
      <c r="T3" s="83">
        <f t="shared" si="0"/>
        <v>0</v>
      </c>
      <c r="U3" s="83">
        <f>SUM(U5:U27)</f>
        <v>12487</v>
      </c>
      <c r="V3" s="82">
        <f t="shared" si="0"/>
        <v>24655</v>
      </c>
      <c r="W3" s="84">
        <f t="shared" si="0"/>
        <v>2778432.05175</v>
      </c>
    </row>
    <row r="4" spans="1:26" s="25" customFormat="1" ht="12">
      <c r="A4" s="21" t="s">
        <v>14</v>
      </c>
      <c r="B4" s="22" t="s">
        <v>15</v>
      </c>
      <c r="C4" s="22"/>
      <c r="D4" s="22"/>
      <c r="E4" s="349">
        <v>2</v>
      </c>
      <c r="F4" s="86">
        <f aca="true" t="shared" si="1" ref="F4:W4">SUM(F5:F15)</f>
        <v>433793</v>
      </c>
      <c r="G4" s="238">
        <f t="shared" si="1"/>
        <v>305093</v>
      </c>
      <c r="H4" s="238">
        <f t="shared" si="1"/>
        <v>122512</v>
      </c>
      <c r="I4" s="238">
        <f t="shared" si="1"/>
        <v>133875</v>
      </c>
      <c r="J4" s="238">
        <f t="shared" si="1"/>
        <v>327744</v>
      </c>
      <c r="K4" s="238">
        <f t="shared" si="1"/>
        <v>137175</v>
      </c>
      <c r="L4" s="238">
        <f t="shared" si="1"/>
        <v>241140.263</v>
      </c>
      <c r="M4" s="238">
        <f t="shared" si="1"/>
        <v>79005.99999999999</v>
      </c>
      <c r="N4" s="238">
        <f t="shared" si="1"/>
        <v>130847</v>
      </c>
      <c r="O4" s="128">
        <f t="shared" si="1"/>
        <v>1911185.263</v>
      </c>
      <c r="P4" s="224">
        <f t="shared" si="1"/>
        <v>0</v>
      </c>
      <c r="Q4" s="87">
        <f t="shared" si="1"/>
        <v>1816507</v>
      </c>
      <c r="R4" s="88">
        <f t="shared" si="1"/>
        <v>55732.263</v>
      </c>
      <c r="S4" s="88">
        <f t="shared" si="1"/>
        <v>1804</v>
      </c>
      <c r="T4" s="88">
        <f t="shared" si="1"/>
        <v>0</v>
      </c>
      <c r="U4" s="88">
        <f>SUM(U5:U15)</f>
        <v>12487</v>
      </c>
      <c r="V4" s="87">
        <f t="shared" si="1"/>
        <v>24655</v>
      </c>
      <c r="W4" s="89">
        <f t="shared" si="1"/>
        <v>1822660.27591</v>
      </c>
      <c r="X4" s="527"/>
      <c r="Y4" s="527"/>
      <c r="Z4" s="527"/>
    </row>
    <row r="5" spans="1:26" s="65" customFormat="1" ht="12">
      <c r="A5" s="61"/>
      <c r="B5" s="62"/>
      <c r="C5" s="62" t="s">
        <v>16</v>
      </c>
      <c r="D5" s="63" t="s">
        <v>17</v>
      </c>
      <c r="E5" s="350">
        <v>3</v>
      </c>
      <c r="F5" s="269">
        <f>LF!F5/1000</f>
        <v>210162</v>
      </c>
      <c r="G5" s="239">
        <f>'FF'!F5/1000</f>
        <v>161500</v>
      </c>
      <c r="H5" s="239">
        <f>PrF!F5/1000</f>
        <v>62000</v>
      </c>
      <c r="I5" s="239">
        <f>FSS!F5/1000</f>
        <v>68915</v>
      </c>
      <c r="J5" s="239">
        <f>PřF!F5/1000</f>
        <v>114525</v>
      </c>
      <c r="K5" s="239">
        <f>'FI'!F5/1000</f>
        <v>55160</v>
      </c>
      <c r="L5" s="239">
        <f>PdF!F5/1000</f>
        <v>122000</v>
      </c>
      <c r="M5" s="239">
        <f>FSpS!F5/1000</f>
        <v>35910.72</v>
      </c>
      <c r="N5" s="239">
        <f>ESF!F5/1000</f>
        <v>65000</v>
      </c>
      <c r="O5" s="209">
        <f aca="true" t="shared" si="2" ref="O5:O27">SUM(F5:N5)</f>
        <v>895172.72</v>
      </c>
      <c r="P5" s="340"/>
      <c r="Q5" s="269">
        <f>LF!H5/1000+'FF'!H5/1000+PrF!H5/1000+FSS!H5/1000+PřF!H5/1000+'FI'!H5/1000+PdF!H5/1000+FSpS!H5/1000+ESF!H5/1000</f>
        <v>880895.72</v>
      </c>
      <c r="R5" s="150">
        <f>LF!I5/1000+'FF'!I5/1000+PrF!I5/1000+FSS!I5/1000+PřF!I5/1000+'FI'!I5/1000+PdF!I5/1000+FSpS!I5/1000+ESF!I5/1000</f>
        <v>14267</v>
      </c>
      <c r="S5" s="150">
        <f>LF!J5/1000+'FF'!J5/1000+PrF!J5/1000+FSS!J5/1000+PřF!J5/1000+'FI'!J5/1000+PdF!J5/1000+FSpS!J5/1000+ESF!J5/1000</f>
        <v>10</v>
      </c>
      <c r="T5" s="150">
        <f>LF!K5/1000+'FF'!K5/1000+PrF!K5/1000+FSS!K5/1000+PřF!K5/1000+'FI'!K5/1000+PdF!K5/1000+FSpS!K5/1000+ESF!K5/1000</f>
        <v>0</v>
      </c>
      <c r="U5" s="150">
        <f>LF!L5/1000+'FF'!L5/1000+PrF!L5/1000+FSS!L5/1000+PřF!L5/1000+'FI'!L5/1000+PdF!L5/1000+FSpS!L5/1000+ESF!L5/1000</f>
        <v>0</v>
      </c>
      <c r="V5" s="208">
        <f>LF!M5/1000+'FF'!M5/1000+PrF!M5/1000+FSS!M5/1000+PřF!M5/1000+'FI'!M5/1000+PdF!M5/1000+FSpS!M5/1000+ESF!M5/1000</f>
        <v>0</v>
      </c>
      <c r="W5" s="209">
        <f>(LF!N5+'FF'!N5+PrF!N5+FSS!N5+PřF!N5+'FI'!N5+PdF!N5+FSpS!N5+ESF!N5)/1000</f>
        <v>869461.58161</v>
      </c>
      <c r="X5" s="529"/>
      <c r="Y5" s="529"/>
      <c r="Z5" s="529"/>
    </row>
    <row r="6" spans="1:26" s="65" customFormat="1" ht="12">
      <c r="A6" s="61"/>
      <c r="B6" s="62"/>
      <c r="C6" s="62"/>
      <c r="D6" s="63" t="s">
        <v>18</v>
      </c>
      <c r="E6" s="350">
        <v>4</v>
      </c>
      <c r="F6" s="269">
        <f>LF!F6/1000</f>
        <v>4600</v>
      </c>
      <c r="G6" s="239">
        <f>'FF'!F6/1000</f>
        <v>6950</v>
      </c>
      <c r="H6" s="239">
        <f>PrF!F6/1000</f>
        <v>2100</v>
      </c>
      <c r="I6" s="239">
        <f>FSS!F6/1000</f>
        <v>3112</v>
      </c>
      <c r="J6" s="239">
        <f>PřF!F6/1000</f>
        <v>2900</v>
      </c>
      <c r="K6" s="239">
        <f>'FI'!F6/1000</f>
        <v>2555</v>
      </c>
      <c r="L6" s="239">
        <f>PdF!F6/1000</f>
        <v>7000</v>
      </c>
      <c r="M6" s="239">
        <f>FSpS!F6/1000</f>
        <v>2788.45</v>
      </c>
      <c r="N6" s="239">
        <f>ESF!F6/1000</f>
        <v>2200</v>
      </c>
      <c r="O6" s="209">
        <f t="shared" si="2"/>
        <v>34205.45</v>
      </c>
      <c r="P6" s="340"/>
      <c r="Q6" s="269">
        <f>LF!H6/1000+'FF'!H6/1000+PrF!H6/1000+FSS!H6/1000+PřF!H6/1000+'FI'!H6/1000+PdF!H6/1000+FSpS!H6/1000+ESF!H6/1000</f>
        <v>34205.45</v>
      </c>
      <c r="R6" s="150">
        <f>LF!I6/1000+'FF'!I6/1000+PrF!I6/1000+FSS!I6/1000+PřF!I6/1000+'FI'!I6/1000+PdF!I6/1000+FSpS!I6/1000+ESF!I6/1000</f>
        <v>0</v>
      </c>
      <c r="S6" s="150">
        <f>LF!J6/1000+'FF'!J6/1000+PrF!J6/1000+FSS!J6/1000+PřF!J6/1000+'FI'!J6/1000+PdF!J6/1000+FSpS!J6/1000+ESF!J6/1000</f>
        <v>0</v>
      </c>
      <c r="T6" s="150">
        <f>LF!K6/1000+'FF'!K6/1000+PrF!K6/1000+FSS!K6/1000+PřF!K6/1000+'FI'!K6/1000+PdF!K6/1000+FSpS!K6/1000+ESF!K6/1000</f>
        <v>0</v>
      </c>
      <c r="U6" s="150">
        <f>LF!L6/1000+'FF'!L6/1000+PrF!L6/1000+FSS!L6/1000+PřF!L6/1000+'FI'!L6/1000+PdF!L6/1000+FSpS!L6/1000+ESF!L6/1000</f>
        <v>0</v>
      </c>
      <c r="V6" s="208">
        <f>LF!M6/1000+'FF'!M6/1000+PrF!M6/1000+FSS!M6/1000+PřF!M6/1000+'FI'!M6/1000+PdF!M6/1000+FSpS!M6/1000+ESF!M6/1000</f>
        <v>0</v>
      </c>
      <c r="W6" s="209">
        <f>(LF!N6+'FF'!N6+PrF!N6+FSS!N6+PřF!N6+'FI'!N6+PdF!N6+FSpS!N6+ESF!N6)/1000</f>
        <v>32231.613</v>
      </c>
      <c r="X6" s="529"/>
      <c r="Y6" s="529"/>
      <c r="Z6" s="529"/>
    </row>
    <row r="7" spans="1:26" s="65" customFormat="1" ht="12">
      <c r="A7" s="61"/>
      <c r="B7" s="62"/>
      <c r="C7" s="62"/>
      <c r="D7" s="63" t="s">
        <v>19</v>
      </c>
      <c r="E7" s="350">
        <v>5</v>
      </c>
      <c r="F7" s="269">
        <f>LF!F7/1000</f>
        <v>75658</v>
      </c>
      <c r="G7" s="239">
        <f>'FF'!F7/1000</f>
        <v>58302</v>
      </c>
      <c r="H7" s="239">
        <f>PrF!F7/1000</f>
        <v>21050</v>
      </c>
      <c r="I7" s="239">
        <f>FSS!F7/1000</f>
        <v>24809</v>
      </c>
      <c r="J7" s="239">
        <f>PřF!F7/1000</f>
        <v>41500</v>
      </c>
      <c r="K7" s="239">
        <f>'FI'!F7/1000</f>
        <v>19858</v>
      </c>
      <c r="L7" s="239">
        <f>PdF!F7/1000</f>
        <v>45000</v>
      </c>
      <c r="M7" s="239">
        <f>FSpS!F7/1000</f>
        <v>13360.166</v>
      </c>
      <c r="N7" s="239">
        <f>ESF!F7/1000</f>
        <v>23400</v>
      </c>
      <c r="O7" s="209">
        <f t="shared" si="2"/>
        <v>322937.166</v>
      </c>
      <c r="P7" s="340"/>
      <c r="Q7" s="269">
        <f>LF!H7/1000+'FF'!H7/1000+PrF!H7/1000+FSS!H7/1000+PřF!H7/1000+'FI'!H7/1000+PdF!H7/1000+FSpS!H7/1000+ESF!H7/1000</f>
        <v>321649.166</v>
      </c>
      <c r="R7" s="150">
        <f>LF!I7/1000+'FF'!I7/1000+PrF!I7/1000+FSS!I7/1000+PřF!I7/1000+'FI'!I7/1000+PdF!I7/1000+FSpS!I7/1000+ESF!I7/1000</f>
        <v>1284</v>
      </c>
      <c r="S7" s="150">
        <f>LF!J7/1000+'FF'!J7/1000+PrF!J7/1000+FSS!J7/1000+PřF!J7/1000+'FI'!J7/1000+PdF!J7/1000+FSpS!J7/1000+ESF!J7/1000</f>
        <v>4</v>
      </c>
      <c r="T7" s="150">
        <f>LF!K7/1000+'FF'!K7/1000+PrF!K7/1000+FSS!K7/1000+PřF!K7/1000+'FI'!K7/1000+PdF!K7/1000+FSpS!K7/1000+ESF!K7/1000</f>
        <v>0</v>
      </c>
      <c r="U7" s="150">
        <f>LF!L7/1000+'FF'!L7/1000+PrF!L7/1000+FSS!L7/1000+PřF!L7/1000+'FI'!L7/1000+PdF!L7/1000+FSpS!L7/1000+ESF!L7/1000</f>
        <v>0</v>
      </c>
      <c r="V7" s="208">
        <f>LF!M7/1000+'FF'!M7/1000+PrF!M7/1000+FSS!M7/1000+PřF!M7/1000+'FI'!M7/1000+PdF!M7/1000+FSpS!M7/1000+ESF!M7/1000</f>
        <v>0</v>
      </c>
      <c r="W7" s="209">
        <f>(LF!N7+'FF'!N7+PrF!N7+FSS!N7+PřF!N7+'FI'!N7+PdF!N7+FSpS!N7+ESF!N7)/1000</f>
        <v>316942.18428</v>
      </c>
      <c r="X7" s="529"/>
      <c r="Y7" s="529"/>
      <c r="Z7" s="529"/>
    </row>
    <row r="8" spans="1:26" s="65" customFormat="1" ht="12">
      <c r="A8" s="61"/>
      <c r="B8" s="62"/>
      <c r="C8" s="62"/>
      <c r="D8" s="63" t="s">
        <v>20</v>
      </c>
      <c r="E8" s="350">
        <v>6</v>
      </c>
      <c r="F8" s="269">
        <f>LF!F8/1000</f>
        <v>20507</v>
      </c>
      <c r="G8" s="239">
        <f>'FF'!F8/1000</f>
        <v>6650</v>
      </c>
      <c r="H8" s="239">
        <f>PrF!F8/1000</f>
        <v>4000</v>
      </c>
      <c r="I8" s="239">
        <f>FSS!F8/1000</f>
        <v>2475</v>
      </c>
      <c r="J8" s="239">
        <f>PřF!F8/1000</f>
        <v>29000</v>
      </c>
      <c r="K8" s="239">
        <f>'FI'!F8/1000</f>
        <v>6600</v>
      </c>
      <c r="L8" s="239">
        <f>PdF!F8/1000</f>
        <v>4500</v>
      </c>
      <c r="M8" s="239">
        <f>FSpS!F8/1000</f>
        <v>6478.942</v>
      </c>
      <c r="N8" s="239">
        <f>ESF!F8/1000</f>
        <v>2900</v>
      </c>
      <c r="O8" s="209">
        <f t="shared" si="2"/>
        <v>83110.942</v>
      </c>
      <c r="P8" s="340"/>
      <c r="Q8" s="269">
        <f>LF!H8/1000+'FF'!H8/1000+PrF!H8/1000+FSS!H8/1000+PřF!H8/1000+'FI'!H8/1000+PdF!H8/1000+FSpS!H8/1000+ESF!H8/1000</f>
        <v>73737.942</v>
      </c>
      <c r="R8" s="150">
        <f>LF!I8/1000+'FF'!I8/1000+PrF!I8/1000+FSS!I8/1000+PřF!I8/1000+'FI'!I8/1000+PdF!I8/1000+FSpS!I8/1000+ESF!I8/1000</f>
        <v>9373</v>
      </c>
      <c r="S8" s="150">
        <f>LF!J8/1000+'FF'!J8/1000+PrF!J8/1000+FSS!J8/1000+PřF!J8/1000+'FI'!J8/1000+PdF!J8/1000+FSpS!J8/1000+ESF!J8/1000</f>
        <v>0</v>
      </c>
      <c r="T8" s="150">
        <f>LF!K8/1000+'FF'!K8/1000+PrF!K8/1000+FSS!K8/1000+PřF!K8/1000+'FI'!K8/1000+PdF!K8/1000+FSpS!K8/1000+ESF!K8/1000</f>
        <v>0</v>
      </c>
      <c r="U8" s="150">
        <f>LF!L8/1000+'FF'!L8/1000+PrF!L8/1000+FSS!L8/1000+PřF!L8/1000+'FI'!L8/1000+PdF!L8/1000+FSpS!L8/1000+ESF!L8/1000</f>
        <v>0</v>
      </c>
      <c r="V8" s="208">
        <f>LF!M8/1000+'FF'!M8/1000+PrF!M8/1000+FSS!M8/1000+PřF!M8/1000+'FI'!M8/1000+PdF!M8/1000+FSpS!M8/1000+ESF!M8/1000</f>
        <v>0</v>
      </c>
      <c r="W8" s="209">
        <f>(LF!N8+'FF'!N8+PrF!N8+FSS!N8+PřF!N8+'FI'!N8+PdF!N8+FSpS!N8+ESF!N8)/1000</f>
        <v>54221.10781</v>
      </c>
      <c r="X8" s="529"/>
      <c r="Y8" s="529"/>
      <c r="Z8" s="529"/>
    </row>
    <row r="9" spans="1:26" s="65" customFormat="1" ht="12">
      <c r="A9" s="61"/>
      <c r="B9" s="62"/>
      <c r="C9" s="62"/>
      <c r="D9" s="63" t="s">
        <v>21</v>
      </c>
      <c r="E9" s="350">
        <v>7</v>
      </c>
      <c r="F9" s="269">
        <f>LF!F9/1000</f>
        <v>6026</v>
      </c>
      <c r="G9" s="239">
        <f>'FF'!F9/1000</f>
        <v>2200</v>
      </c>
      <c r="H9" s="239">
        <f>PrF!F9/1000</f>
        <v>1500</v>
      </c>
      <c r="I9" s="239">
        <f>FSS!F9/1000</f>
        <v>1007</v>
      </c>
      <c r="J9" s="239">
        <f>PřF!F9/1000</f>
        <v>2500</v>
      </c>
      <c r="K9" s="239">
        <f>'FI'!F9/1000</f>
        <v>2000</v>
      </c>
      <c r="L9" s="239">
        <f>PdF!F9/1000</f>
        <v>3850</v>
      </c>
      <c r="M9" s="239">
        <f>FSpS!F9/1000</f>
        <v>755</v>
      </c>
      <c r="N9" s="239">
        <f>ESF!F9/1000</f>
        <v>1100</v>
      </c>
      <c r="O9" s="209">
        <f t="shared" si="2"/>
        <v>20938</v>
      </c>
      <c r="P9" s="340"/>
      <c r="Q9" s="269">
        <f>LF!H9/1000+'FF'!H9/1000+PrF!H9/1000+FSS!H9/1000+PřF!H9/1000+'FI'!H9/1000+PdF!H9/1000+FSpS!H9/1000+ESF!H9/1000</f>
        <v>18217</v>
      </c>
      <c r="R9" s="150">
        <f>LF!I9/1000+'FF'!I9/1000+PrF!I9/1000+FSS!I9/1000+PřF!I9/1000+'FI'!I9/1000+PdF!I9/1000+FSpS!I9/1000+ESF!I9/1000</f>
        <v>2721</v>
      </c>
      <c r="S9" s="150">
        <f>LF!J9/1000+'FF'!J9/1000+PrF!J9/1000+FSS!J9/1000+PřF!J9/1000+'FI'!J9/1000+PdF!J9/1000+FSpS!J9/1000+ESF!J9/1000</f>
        <v>0</v>
      </c>
      <c r="T9" s="150">
        <f>LF!K9/1000+'FF'!K9/1000+PrF!K9/1000+FSS!K9/1000+PřF!K9/1000+'FI'!K9/1000+PdF!K9/1000+FSpS!K9/1000+ESF!K9/1000</f>
        <v>0</v>
      </c>
      <c r="U9" s="150">
        <f>LF!L9/1000+'FF'!L9/1000+PrF!L9/1000+FSS!L9/1000+PřF!L9/1000+'FI'!L9/1000+PdF!L9/1000+FSpS!L9/1000+ESF!L9/1000</f>
        <v>0</v>
      </c>
      <c r="V9" s="208">
        <f>LF!M9/1000+'FF'!M9/1000+PrF!M9/1000+FSS!M9/1000+PřF!M9/1000+'FI'!M9/1000+PdF!M9/1000+FSpS!M9/1000+ESF!M9/1000</f>
        <v>0</v>
      </c>
      <c r="W9" s="209">
        <f>(LF!N9+'FF'!N9+PrF!N9+FSS!N9+PřF!N9+'FI'!N9+PdF!N9+FSpS!N9+ESF!N9)/1000</f>
        <v>20075.78537</v>
      </c>
      <c r="X9" s="529"/>
      <c r="Y9" s="529"/>
      <c r="Z9" s="529"/>
    </row>
    <row r="10" spans="1:26" s="65" customFormat="1" ht="12">
      <c r="A10" s="61"/>
      <c r="B10" s="62"/>
      <c r="C10" s="62"/>
      <c r="D10" s="63" t="s">
        <v>22</v>
      </c>
      <c r="E10" s="350">
        <v>8</v>
      </c>
      <c r="F10" s="269">
        <f>LF!F10/1000</f>
        <v>17000</v>
      </c>
      <c r="G10" s="239">
        <f>'FF'!F10/1000</f>
        <v>13342</v>
      </c>
      <c r="H10" s="239">
        <f>PrF!F10/1000</f>
        <v>10000</v>
      </c>
      <c r="I10" s="239">
        <f>FSS!F10/1000</f>
        <v>5724</v>
      </c>
      <c r="J10" s="239">
        <f>PřF!F10/1000</f>
        <v>9000</v>
      </c>
      <c r="K10" s="239">
        <f>'FI'!F10/1000</f>
        <v>8286</v>
      </c>
      <c r="L10" s="239">
        <f>PdF!F10/1000</f>
        <v>17000</v>
      </c>
      <c r="M10" s="239">
        <f>FSpS!F10/1000</f>
        <v>2377.032</v>
      </c>
      <c r="N10" s="239">
        <f>ESF!F10/1000</f>
        <v>5800</v>
      </c>
      <c r="O10" s="209">
        <f t="shared" si="2"/>
        <v>88529.032</v>
      </c>
      <c r="P10" s="340"/>
      <c r="Q10" s="269">
        <f>LF!H10/1000+'FF'!H10/1000+PrF!H10/1000+FSS!H10/1000+PřF!H10/1000+'FI'!H10/1000+PdF!H10/1000+FSpS!H10/1000+ESF!H10/1000</f>
        <v>78418.032</v>
      </c>
      <c r="R10" s="150">
        <f>LF!I10/1000+'FF'!I10/1000+PrF!I10/1000+FSS!I10/1000+PřF!I10/1000+'FI'!I10/1000+PdF!I10/1000+FSpS!I10/1000+ESF!I10/1000</f>
        <v>10003</v>
      </c>
      <c r="S10" s="150">
        <f>LF!J10/1000+'FF'!J10/1000+PrF!J10/1000+FSS!J10/1000+PřF!J10/1000+'FI'!J10/1000+PdF!J10/1000+FSpS!J10/1000+ESF!J10/1000</f>
        <v>108</v>
      </c>
      <c r="T10" s="150">
        <f>LF!K10/1000+'FF'!K10/1000+PrF!K10/1000+FSS!K10/1000+PřF!K10/1000+'FI'!K10/1000+PdF!K10/1000+FSpS!K10/1000+ESF!K10/1000</f>
        <v>0</v>
      </c>
      <c r="U10" s="150">
        <f>LF!L10/1000+'FF'!L10/1000+PrF!L10/1000+FSS!L10/1000+PřF!L10/1000+'FI'!L10/1000+PdF!L10/1000+FSpS!L10/1000+ESF!L10/1000</f>
        <v>0</v>
      </c>
      <c r="V10" s="208">
        <f>LF!M10/1000+'FF'!M10/1000+PrF!M10/1000+FSS!M10/1000+PřF!M10/1000+'FI'!M10/1000+PdF!M10/1000+FSpS!M10/1000+ESF!M10/1000</f>
        <v>0</v>
      </c>
      <c r="W10" s="209">
        <f>(LF!N10+'FF'!N10+PrF!N10+FSS!N10+PřF!N10+'FI'!N10+PdF!N10+FSpS!N10+ESF!N10)/1000</f>
        <v>82777.48776999999</v>
      </c>
      <c r="X10" s="529"/>
      <c r="Y10" s="529"/>
      <c r="Z10" s="529"/>
    </row>
    <row r="11" spans="1:26" s="65" customFormat="1" ht="12">
      <c r="A11" s="61"/>
      <c r="B11" s="62"/>
      <c r="C11" s="62"/>
      <c r="D11" s="63" t="s">
        <v>23</v>
      </c>
      <c r="E11" s="350">
        <v>9</v>
      </c>
      <c r="F11" s="269">
        <f>LF!F11/1000</f>
        <v>17000</v>
      </c>
      <c r="G11" s="239">
        <f>'FF'!F11/1000</f>
        <v>11900</v>
      </c>
      <c r="H11" s="239">
        <f>PrF!F11/1000</f>
        <v>9000</v>
      </c>
      <c r="I11" s="239">
        <f>FSS!F11/1000</f>
        <v>4571</v>
      </c>
      <c r="J11" s="239">
        <f>PřF!F11/1000</f>
        <v>13000</v>
      </c>
      <c r="K11" s="239">
        <f>'FI'!F11/1000</f>
        <v>4425</v>
      </c>
      <c r="L11" s="239">
        <f>PdF!F11/1000</f>
        <v>15000</v>
      </c>
      <c r="M11" s="239">
        <f>FSpS!F11/1000</f>
        <v>7998.4</v>
      </c>
      <c r="N11" s="239">
        <f>ESF!F11/1000</f>
        <v>7000</v>
      </c>
      <c r="O11" s="209">
        <f t="shared" si="2"/>
        <v>89894.4</v>
      </c>
      <c r="P11" s="340"/>
      <c r="Q11" s="269">
        <f>LF!H11/1000+'FF'!H11/1000+PrF!H11/1000+FSS!H11/1000+PřF!H11/1000+'FI'!H11/1000+PdF!H11/1000+FSpS!H11/1000+ESF!H11/1000</f>
        <v>85278.4</v>
      </c>
      <c r="R11" s="150">
        <f>LF!I11/1000+'FF'!I11/1000+PrF!I11/1000+FSS!I11/1000+PřF!I11/1000+'FI'!I11/1000+PdF!I11/1000+FSpS!I11/1000+ESF!I11/1000</f>
        <v>4557</v>
      </c>
      <c r="S11" s="150">
        <f>LF!J11/1000+'FF'!J11/1000+PrF!J11/1000+FSS!J11/1000+PřF!J11/1000+'FI'!J11/1000+PdF!J11/1000+FSpS!J11/1000+ESF!J11/1000</f>
        <v>59</v>
      </c>
      <c r="T11" s="150">
        <f>LF!K11/1000+'FF'!K11/1000+PrF!K11/1000+FSS!K11/1000+PřF!K11/1000+'FI'!K11/1000+PdF!K11/1000+FSpS!K11/1000+ESF!K11/1000</f>
        <v>0</v>
      </c>
      <c r="U11" s="150">
        <f>LF!L11/1000+'FF'!L11/1000+PrF!L11/1000+FSS!L11/1000+PřF!L11/1000+'FI'!L11/1000+PdF!L11/1000+FSpS!L11/1000+ESF!L11/1000</f>
        <v>0</v>
      </c>
      <c r="V11" s="208">
        <f>LF!M11/1000+'FF'!M11/1000+PrF!M11/1000+FSS!M11/1000+PřF!M11/1000+'FI'!M11/1000+PdF!M11/1000+FSpS!M11/1000+ESF!M11/1000</f>
        <v>0</v>
      </c>
      <c r="W11" s="209">
        <f>(LF!N11+'FF'!N11+PrF!N11+FSS!N11+PřF!N11+'FI'!N11+PdF!N11+FSpS!N11+ESF!N11)/1000</f>
        <v>86570.428</v>
      </c>
      <c r="X11" s="529"/>
      <c r="Y11" s="529"/>
      <c r="Z11" s="529"/>
    </row>
    <row r="12" spans="1:26" s="65" customFormat="1" ht="12">
      <c r="A12" s="61"/>
      <c r="B12" s="62"/>
      <c r="C12" s="62"/>
      <c r="D12" s="63" t="s">
        <v>24</v>
      </c>
      <c r="E12" s="350">
        <v>10</v>
      </c>
      <c r="F12" s="269">
        <f>LF!F12/1000</f>
        <v>1000</v>
      </c>
      <c r="G12" s="239">
        <f>'FF'!F12/1000</f>
        <v>2400</v>
      </c>
      <c r="H12" s="239">
        <f>PrF!F12/1000</f>
        <v>800</v>
      </c>
      <c r="I12" s="239">
        <f>FSS!F12/1000</f>
        <v>600</v>
      </c>
      <c r="J12" s="239">
        <f>PřF!F12/1000</f>
        <v>2000</v>
      </c>
      <c r="K12" s="239">
        <f>'FI'!F12/1000</f>
        <v>2145</v>
      </c>
      <c r="L12" s="239">
        <f>PdF!F12/1000</f>
        <v>2000</v>
      </c>
      <c r="M12" s="239">
        <f>FSpS!F12/1000</f>
        <v>1959</v>
      </c>
      <c r="N12" s="239">
        <f>ESF!F12/1000</f>
        <v>2000</v>
      </c>
      <c r="O12" s="209">
        <f t="shared" si="2"/>
        <v>14904</v>
      </c>
      <c r="P12" s="340"/>
      <c r="Q12" s="269">
        <f>LF!H12/1000+'FF'!H12/1000+PrF!H12/1000+FSS!H12/1000+PřF!H12/1000+'FI'!H12/1000+PdF!H12/1000+FSpS!H12/1000+ESF!H12/1000</f>
        <v>14879</v>
      </c>
      <c r="R12" s="150">
        <f>LF!I12/1000+'FF'!I12/1000+PrF!I12/1000+FSS!I12/1000+PřF!I12/1000+'FI'!I12/1000+PdF!I12/1000+FSpS!I12/1000+ESF!I12/1000</f>
        <v>25</v>
      </c>
      <c r="S12" s="150">
        <f>LF!J12/1000+'FF'!J12/1000+PrF!J12/1000+FSS!J12/1000+PřF!J12/1000+'FI'!J12/1000+PdF!J12/1000+FSpS!J12/1000+ESF!J12/1000</f>
        <v>0</v>
      </c>
      <c r="T12" s="150">
        <f>LF!K12/1000+'FF'!K12/1000+PrF!K12/1000+FSS!K12/1000+PřF!K12/1000+'FI'!K12/1000+PdF!K12/1000+FSpS!K12/1000+ESF!K12/1000</f>
        <v>0</v>
      </c>
      <c r="U12" s="150">
        <f>LF!L12/1000+'FF'!L12/1000+PrF!L12/1000+FSS!L12/1000+PřF!L12/1000+'FI'!L12/1000+PdF!L12/1000+FSpS!L12/1000+ESF!L12/1000</f>
        <v>0</v>
      </c>
      <c r="V12" s="208">
        <f>LF!M12/1000+'FF'!M12/1000+PrF!M12/1000+FSS!M12/1000+PřF!M12/1000+'FI'!M12/1000+PdF!M12/1000+FSpS!M12/1000+ESF!M12/1000</f>
        <v>0</v>
      </c>
      <c r="W12" s="209">
        <f>(LF!N12+'FF'!N12+PrF!N12+FSS!N12+PřF!N12+'FI'!N12+PdF!N12+FSpS!N12+ESF!N12)/1000</f>
        <v>11386.76114</v>
      </c>
      <c r="X12" s="529"/>
      <c r="Y12" s="529"/>
      <c r="Z12" s="529"/>
    </row>
    <row r="13" spans="1:26" s="65" customFormat="1" ht="12">
      <c r="A13" s="61"/>
      <c r="B13" s="62"/>
      <c r="C13" s="62"/>
      <c r="D13" s="63" t="s">
        <v>25</v>
      </c>
      <c r="E13" s="350">
        <v>11</v>
      </c>
      <c r="F13" s="269">
        <f>LF!F13/1000</f>
        <v>48476</v>
      </c>
      <c r="G13" s="239">
        <f>'FF'!F13/1000</f>
        <v>6990</v>
      </c>
      <c r="H13" s="239">
        <f>PrF!F13/1000</f>
        <v>2797</v>
      </c>
      <c r="I13" s="239">
        <f>FSS!F13/1000</f>
        <v>6800</v>
      </c>
      <c r="J13" s="239">
        <f>PřF!F13/1000</f>
        <v>85000</v>
      </c>
      <c r="K13" s="239">
        <f>'FI'!F13/1000</f>
        <v>15800</v>
      </c>
      <c r="L13" s="239">
        <f>PdF!F13/1000</f>
        <v>9000</v>
      </c>
      <c r="M13" s="239">
        <f>FSpS!F13/1000</f>
        <v>2553</v>
      </c>
      <c r="N13" s="239">
        <f>ESF!F13/1000</f>
        <v>6800</v>
      </c>
      <c r="O13" s="209">
        <f t="shared" si="2"/>
        <v>184216</v>
      </c>
      <c r="P13" s="340"/>
      <c r="Q13" s="269">
        <f>LF!H13/1000+'FF'!H13/1000+PrF!H13/1000+FSS!H13/1000+PřF!H13/1000+'FI'!H13/1000+PdF!H13/1000+FSpS!H13/1000+ESF!H13/1000</f>
        <v>181414</v>
      </c>
      <c r="R13" s="150">
        <f>LF!I13/1000+'FF'!I13/1000+PrF!I13/1000+FSS!I13/1000+PřF!I13/1000+'FI'!I13/1000+PdF!I13/1000+FSpS!I13/1000+ESF!I13/1000</f>
        <v>2802</v>
      </c>
      <c r="S13" s="150">
        <f>LF!J13/1000+'FF'!J13/1000+PrF!J13/1000+FSS!J13/1000+PřF!J13/1000+'FI'!J13/1000+PdF!J13/1000+FSpS!J13/1000+ESF!J13/1000</f>
        <v>0</v>
      </c>
      <c r="T13" s="150">
        <f>LF!K13/1000+'FF'!K13/1000+PrF!K13/1000+FSS!K13/1000+PřF!K13/1000+'FI'!K13/1000+PdF!K13/1000+FSpS!K13/1000+ESF!K13/1000</f>
        <v>0</v>
      </c>
      <c r="U13" s="150">
        <f>LF!L13/1000+'FF'!L13/1000+PrF!L13/1000+FSS!L13/1000+PřF!L13/1000+'FI'!L13/1000+PdF!L13/1000+FSpS!L13/1000+ESF!L13/1000</f>
        <v>0</v>
      </c>
      <c r="V13" s="208">
        <f>LF!M13/1000+'FF'!M13/1000+PrF!M13/1000+FSS!M13/1000+PřF!M13/1000+'FI'!M13/1000+PdF!M13/1000+FSpS!M13/1000+ESF!M13/1000</f>
        <v>0</v>
      </c>
      <c r="W13" s="209">
        <f>(LF!N13+'FF'!N13+PrF!N13+FSS!N13+PřF!N13+'FI'!N13+PdF!N13+FSpS!N13+ESF!N13)/1000</f>
        <v>179020.50978</v>
      </c>
      <c r="X13" s="529"/>
      <c r="Y13" s="529"/>
      <c r="Z13" s="529"/>
    </row>
    <row r="14" spans="1:26" s="65" customFormat="1" ht="12">
      <c r="A14" s="61"/>
      <c r="B14" s="62"/>
      <c r="C14" s="62"/>
      <c r="D14" s="63" t="s">
        <v>26</v>
      </c>
      <c r="E14" s="350">
        <v>12</v>
      </c>
      <c r="F14" s="269">
        <f>LF!F14/1000</f>
        <v>3023</v>
      </c>
      <c r="G14" s="239">
        <f>'FF'!F14/1000</f>
        <v>7650</v>
      </c>
      <c r="H14" s="239">
        <f>PrF!F14/1000</f>
        <v>2015</v>
      </c>
      <c r="I14" s="239">
        <f>FSS!F14/1000</f>
        <v>4055</v>
      </c>
      <c r="J14" s="239">
        <f>PřF!F14/1000</f>
        <v>3231</v>
      </c>
      <c r="K14" s="239">
        <f>'FI'!F14/1000</f>
        <v>5383</v>
      </c>
      <c r="L14" s="239">
        <f>PdF!F14/1000</f>
        <v>4500</v>
      </c>
      <c r="M14" s="239">
        <f>FSpS!F14/1000</f>
        <v>907</v>
      </c>
      <c r="N14" s="239">
        <f>ESF!F14/1000</f>
        <v>4500</v>
      </c>
      <c r="O14" s="209">
        <f t="shared" si="2"/>
        <v>35264</v>
      </c>
      <c r="P14" s="340"/>
      <c r="Q14" s="269">
        <f>LF!H14/1000+'FF'!H14/1000+PrF!H14/1000+FSS!H14/1000+PřF!H14/1000+'FI'!H14/1000+PdF!H14/1000+FSpS!H14/1000+ESF!H14/1000</f>
        <v>8672</v>
      </c>
      <c r="R14" s="150">
        <f>LF!I14/1000+'FF'!I14/1000+PrF!I14/1000+FSS!I14/1000+PřF!I14/1000+'FI'!I14/1000+PdF!I14/1000+FSpS!I14/1000+ESF!I14/1000</f>
        <v>1882</v>
      </c>
      <c r="S14" s="150">
        <f>LF!J14/1000+'FF'!J14/1000+PrF!J14/1000+FSS!J14/1000+PřF!J14/1000+'FI'!J14/1000+PdF!J14/1000+FSpS!J14/1000+ESF!J14/1000</f>
        <v>55</v>
      </c>
      <c r="T14" s="150">
        <f>LF!K14/1000+'FF'!K14/1000+PrF!K14/1000+FSS!K14/1000+PřF!K14/1000+'FI'!K14/1000+PdF!K14/1000+FSpS!K14/1000+ESF!K14/1000</f>
        <v>0</v>
      </c>
      <c r="U14" s="150">
        <f>LF!L14/1000+'FF'!L14/1000+PrF!L14/1000+FSS!L14/1000+PřF!L14/1000+'FI'!L14/1000+PdF!L14/1000+FSpS!L14/1000+ESF!L14/1000</f>
        <v>0</v>
      </c>
      <c r="V14" s="208">
        <f>LF!M14/1000+'FF'!M14/1000+PrF!M14/1000+FSS!M14/1000+PřF!M14/1000+'FI'!M14/1000+PdF!M14/1000+FSpS!M14/1000+ESF!M14/1000</f>
        <v>24655</v>
      </c>
      <c r="W14" s="209">
        <f>(LF!N14+'FF'!N14+PrF!N14+FSS!N14+PřF!N14+'FI'!N14+PdF!N14+FSpS!N14+ESF!N14)/1000</f>
        <v>26689.034</v>
      </c>
      <c r="X14" s="529"/>
      <c r="Y14" s="529"/>
      <c r="Z14" s="529"/>
    </row>
    <row r="15" spans="1:26" s="65" customFormat="1" ht="12">
      <c r="A15" s="61"/>
      <c r="B15" s="62"/>
      <c r="C15" s="63"/>
      <c r="D15" s="63" t="s">
        <v>27</v>
      </c>
      <c r="E15" s="350">
        <v>13</v>
      </c>
      <c r="F15" s="269">
        <f>LF!F15/1000</f>
        <v>30341</v>
      </c>
      <c r="G15" s="239">
        <f>'FF'!F15/1000</f>
        <v>27209</v>
      </c>
      <c r="H15" s="239">
        <f>PrF!F15/1000</f>
        <v>7250</v>
      </c>
      <c r="I15" s="239">
        <f>FSS!F15/1000</f>
        <v>11807</v>
      </c>
      <c r="J15" s="239">
        <f>PřF!F15/1000</f>
        <v>25088</v>
      </c>
      <c r="K15" s="239">
        <f>'FI'!F15/1000</f>
        <v>14963</v>
      </c>
      <c r="L15" s="239">
        <f>PdF!F15/1000</f>
        <v>11290.263</v>
      </c>
      <c r="M15" s="239">
        <f>FSpS!F15/1000</f>
        <v>3918.29</v>
      </c>
      <c r="N15" s="239">
        <f>ESF!F15/1000</f>
        <v>10147</v>
      </c>
      <c r="O15" s="209">
        <f t="shared" si="2"/>
        <v>142013.553</v>
      </c>
      <c r="P15" s="340"/>
      <c r="Q15" s="269">
        <f>LF!H15/1000+'FF'!H15/1000+PrF!H15/1000+FSS!H15/1000+PřF!H15/1000+'FI'!H15/1000+PdF!H15/1000+FSpS!H15/1000+ESF!H15/1000</f>
        <v>119140.29</v>
      </c>
      <c r="R15" s="150">
        <f>LF!I15/1000+'FF'!I15/1000+PrF!I15/1000+FSS!I15/1000+PřF!I15/1000+'FI'!I15/1000+PdF!I15/1000+FSpS!I15/1000+ESF!I15/1000</f>
        <v>8818.263</v>
      </c>
      <c r="S15" s="150">
        <f>LF!J15/1000+'FF'!J15/1000+PrF!J15/1000+FSS!J15/1000+PřF!J15/1000+'FI'!J15/1000+PdF!J15/1000+FSpS!J15/1000+ESF!J15/1000</f>
        <v>1568</v>
      </c>
      <c r="T15" s="150">
        <f>LF!K15/1000+'FF'!K15/1000+PrF!K15/1000+FSS!K15/1000+PřF!K15/1000+'FI'!K15/1000+PdF!K15/1000+FSpS!K15/1000+ESF!K15/1000</f>
        <v>0</v>
      </c>
      <c r="U15" s="150">
        <f>LF!L15/1000+'FF'!L15/1000+PrF!L15/1000+FSS!L15/1000+PřF!L15/1000+'FI'!L15/1000+PdF!L15/1000+FSpS!L15/1000+ESF!L15/1000</f>
        <v>12487</v>
      </c>
      <c r="V15" s="208">
        <f>LF!M15/1000+'FF'!M15/1000+PrF!M15/1000+FSS!M15/1000+PřF!M15/1000+'FI'!M15/1000+PdF!M15/1000+FSpS!M15/1000+ESF!M15/1000</f>
        <v>0</v>
      </c>
      <c r="W15" s="209">
        <f>(LF!N15+'FF'!N15+PrF!N15+FSS!N15+PřF!N15+'FI'!N15+PdF!N15+FSpS!N15+ESF!N15)/1000</f>
        <v>143283.78315</v>
      </c>
      <c r="X15" s="529"/>
      <c r="Y15" s="529"/>
      <c r="Z15" s="529"/>
    </row>
    <row r="16" spans="1:26" s="25" customFormat="1" ht="12">
      <c r="A16" s="21"/>
      <c r="B16" s="30" t="s">
        <v>28</v>
      </c>
      <c r="C16" s="27"/>
      <c r="D16" s="27"/>
      <c r="E16" s="351">
        <v>14</v>
      </c>
      <c r="F16" s="103">
        <f>LF!F16/1000</f>
        <v>20328</v>
      </c>
      <c r="G16" s="196">
        <f>'FF'!F16/1000</f>
        <v>19500</v>
      </c>
      <c r="H16" s="196">
        <f>PrF!F16/1000</f>
        <v>4085</v>
      </c>
      <c r="I16" s="196">
        <f>FSS!F16/1000</f>
        <v>11500</v>
      </c>
      <c r="J16" s="196">
        <f>PřF!F16/1000</f>
        <v>43000</v>
      </c>
      <c r="K16" s="196">
        <f>'FI'!F16/1000</f>
        <v>5327</v>
      </c>
      <c r="L16" s="196">
        <f>PdF!F16/1000</f>
        <v>6000</v>
      </c>
      <c r="M16" s="196">
        <f>FSpS!F16/1000</f>
        <v>1600</v>
      </c>
      <c r="N16" s="196">
        <f>ESF!F16/1000</f>
        <v>4500</v>
      </c>
      <c r="O16" s="105">
        <f t="shared" si="2"/>
        <v>115840</v>
      </c>
      <c r="P16" s="341"/>
      <c r="Q16" s="103">
        <f>LF!H16/1000+'FF'!H16/1000+PrF!H16/1000+FSS!H16/1000+PřF!H16/1000+'FI'!H16/1000+PdF!H16/1000+FSpS!H16/1000+ESF!H16/1000</f>
        <v>115840</v>
      </c>
      <c r="R16" s="104">
        <f>LF!I16/1000+'FF'!I16/1000+PrF!I16/1000+FSS!I16/1000+PřF!I16/1000+'FI'!I16/1000+PdF!I16/1000+FSpS!I16/1000+ESF!I16/1000</f>
        <v>0</v>
      </c>
      <c r="S16" s="104">
        <f>LF!J16/1000+'FF'!J16/1000+PrF!J16/1000+FSS!J16/1000+PřF!J16/1000+'FI'!J16/1000+PdF!J16/1000+FSpS!J16/1000+ESF!J16/1000</f>
        <v>0</v>
      </c>
      <c r="T16" s="104">
        <f>LF!K16/1000+'FF'!K16/1000+PrF!K16/1000+FSS!K16/1000+PřF!K16/1000+'FI'!K16/1000+PdF!K16/1000+FSpS!K16/1000+ESF!K16/1000</f>
        <v>0</v>
      </c>
      <c r="U16" s="104">
        <f>LF!L16/1000+'FF'!L16/1000+PrF!L16/1000+FSS!L16/1000+PřF!L16/1000+'FI'!L16/1000+PdF!L16/1000+FSpS!L16/1000+ESF!L16/1000</f>
        <v>0</v>
      </c>
      <c r="V16" s="157">
        <f>LF!M16/1000+'FF'!M16/1000+PrF!M16/1000+FSS!M16/1000+PřF!M16/1000+'FI'!M16/1000+PdF!M16/1000+FSpS!M16/1000+ESF!M16/1000</f>
        <v>0</v>
      </c>
      <c r="W16" s="105">
        <f>(LF!N16+'FF'!N16+PrF!N16+FSS!N16+PřF!N16+'FI'!N16+PdF!N16+FSpS!N16+ESF!N16)/1000</f>
        <v>113189</v>
      </c>
      <c r="X16" s="527"/>
      <c r="Y16" s="527"/>
      <c r="Z16" s="527"/>
    </row>
    <row r="17" spans="1:26" s="25" customFormat="1" ht="12">
      <c r="A17" s="21"/>
      <c r="B17" s="30" t="s">
        <v>30</v>
      </c>
      <c r="C17" s="27"/>
      <c r="D17" s="27"/>
      <c r="E17" s="351">
        <v>15</v>
      </c>
      <c r="F17" s="103">
        <f>LF!F17/1000</f>
        <v>0</v>
      </c>
      <c r="G17" s="196">
        <f>'FF'!F17/1000</f>
        <v>3900</v>
      </c>
      <c r="H17" s="196">
        <f>PrF!F17/1000</f>
        <v>50</v>
      </c>
      <c r="I17" s="196">
        <f>FSS!F17/1000</f>
        <v>1200</v>
      </c>
      <c r="J17" s="196">
        <f>PřF!F17/1000</f>
        <v>1000</v>
      </c>
      <c r="K17" s="196">
        <f>'FI'!F17/1000</f>
        <v>600</v>
      </c>
      <c r="L17" s="196">
        <f>PdF!F17/1000</f>
        <v>250</v>
      </c>
      <c r="M17" s="196">
        <f>FSpS!F17/1000</f>
        <v>0</v>
      </c>
      <c r="N17" s="196">
        <f>ESF!F17/1000</f>
        <v>241</v>
      </c>
      <c r="O17" s="105">
        <f t="shared" si="2"/>
        <v>7241</v>
      </c>
      <c r="P17" s="341"/>
      <c r="Q17" s="103">
        <f>LF!H17/1000+'FF'!H17/1000+PrF!H17/1000+FSS!H17/1000+PřF!H17/1000+'FI'!H17/1000+PdF!H17/1000+FSpS!H17/1000+ESF!H17/1000</f>
        <v>7241</v>
      </c>
      <c r="R17" s="104">
        <f>LF!I17/1000+'FF'!I17/1000+PrF!I17/1000+FSS!I17/1000+PřF!I17/1000+'FI'!I17/1000+PdF!I17/1000+FSpS!I17/1000+ESF!I17/1000</f>
        <v>0</v>
      </c>
      <c r="S17" s="104">
        <f>LF!J17/1000+'FF'!J17/1000+PrF!J17/1000+FSS!J17/1000+PřF!J17/1000+'FI'!J17/1000+PdF!J17/1000+FSpS!J17/1000+ESF!J17/1000</f>
        <v>0</v>
      </c>
      <c r="T17" s="104">
        <f>LF!K17/1000+'FF'!K17/1000+PrF!K17/1000+FSS!K17/1000+PřF!K17/1000+'FI'!K17/1000+PdF!K17/1000+FSpS!K17/1000+ESF!K17/1000</f>
        <v>0</v>
      </c>
      <c r="U17" s="104">
        <f>LF!L17/1000+'FF'!L17/1000+PrF!L17/1000+FSS!L17/1000+PřF!L17/1000+'FI'!L17/1000+PdF!L17/1000+FSpS!L17/1000+ESF!L17/1000</f>
        <v>0</v>
      </c>
      <c r="V17" s="157">
        <f>LF!M17/1000+'FF'!M17/1000+PrF!M17/1000+FSS!M17/1000+PřF!M17/1000+'FI'!M17/1000+PdF!M17/1000+FSpS!M17/1000+ESF!M17/1000</f>
        <v>0</v>
      </c>
      <c r="W17" s="105">
        <f>(LF!N17+'FF'!N17+PrF!N17+FSS!N17+PřF!N17+'FI'!N17+PdF!N17+FSpS!N17+ESF!N17)/1000</f>
        <v>8958.176</v>
      </c>
      <c r="X17" s="527"/>
      <c r="Y17" s="527"/>
      <c r="Z17" s="527"/>
    </row>
    <row r="18" spans="1:26" s="25" customFormat="1" ht="12">
      <c r="A18" s="21"/>
      <c r="B18" s="31" t="s">
        <v>32</v>
      </c>
      <c r="C18" s="32"/>
      <c r="D18" s="32"/>
      <c r="E18" s="352">
        <v>16</v>
      </c>
      <c r="F18" s="103">
        <f>LF!F18/1000</f>
        <v>10186</v>
      </c>
      <c r="G18" s="196">
        <f>'FF'!F18/1000</f>
        <v>4500</v>
      </c>
      <c r="H18" s="196">
        <f>PrF!F18/1000</f>
        <v>2010</v>
      </c>
      <c r="I18" s="196">
        <f>FSS!F18/1000</f>
        <v>6000</v>
      </c>
      <c r="J18" s="196">
        <f>PřF!F18/1000</f>
        <v>5000</v>
      </c>
      <c r="K18" s="196">
        <f>'FI'!F18/1000</f>
        <v>24869</v>
      </c>
      <c r="L18" s="196">
        <f>PdF!F18/1000</f>
        <v>3000</v>
      </c>
      <c r="M18" s="196">
        <f>FSpS!F18/1000</f>
        <v>0</v>
      </c>
      <c r="N18" s="196">
        <f>ESF!F18/1000</f>
        <v>572</v>
      </c>
      <c r="O18" s="105">
        <f t="shared" si="2"/>
        <v>56137</v>
      </c>
      <c r="P18" s="341"/>
      <c r="Q18" s="103">
        <f>LF!H18/1000+'FF'!H18/1000+PrF!H18/1000+FSS!H18/1000+PřF!H18/1000+'FI'!H18/1000+PdF!H18/1000+FSpS!H18/1000+ESF!H18/1000</f>
        <v>56137</v>
      </c>
      <c r="R18" s="104">
        <f>LF!I18/1000+'FF'!I18/1000+PrF!I18/1000+FSS!I18/1000+PřF!I18/1000+'FI'!I18/1000+PdF!I18/1000+FSpS!I18/1000+ESF!I18/1000</f>
        <v>0</v>
      </c>
      <c r="S18" s="104">
        <f>LF!J18/1000+'FF'!J18/1000+PrF!J18/1000+FSS!J18/1000+PřF!J18/1000+'FI'!J18/1000+PdF!J18/1000+FSpS!J18/1000+ESF!J18/1000</f>
        <v>0</v>
      </c>
      <c r="T18" s="104">
        <f>LF!K18/1000+'FF'!K18/1000+PrF!K18/1000+FSS!K18/1000+PřF!K18/1000+'FI'!K18/1000+PdF!K18/1000+FSpS!K18/1000+ESF!K18/1000</f>
        <v>0</v>
      </c>
      <c r="U18" s="104">
        <f>LF!L18/1000+'FF'!L18/1000+PrF!L18/1000+FSS!L18/1000+PřF!L18/1000+'FI'!L18/1000+PdF!L18/1000+FSpS!L18/1000+ESF!L18/1000</f>
        <v>0</v>
      </c>
      <c r="V18" s="157">
        <f>LF!M18/1000+'FF'!M18/1000+PrF!M18/1000+FSS!M18/1000+PřF!M18/1000+'FI'!M18/1000+PdF!M18/1000+FSpS!M18/1000+ESF!M18/1000</f>
        <v>0</v>
      </c>
      <c r="W18" s="105">
        <f>(LF!N18+'FF'!N18+PrF!N18+FSS!N18+PřF!N18+'FI'!N18+PdF!N18+FSpS!N18+ESF!N18)/1000</f>
        <v>72566.76735</v>
      </c>
      <c r="X18" s="527"/>
      <c r="Y18" s="527"/>
      <c r="Z18" s="527"/>
    </row>
    <row r="19" spans="1:26" s="25" customFormat="1" ht="12">
      <c r="A19" s="21"/>
      <c r="B19" s="31" t="s">
        <v>34</v>
      </c>
      <c r="C19" s="32"/>
      <c r="D19" s="32"/>
      <c r="E19" s="352">
        <v>17</v>
      </c>
      <c r="F19" s="103">
        <f>LF!F19/1000</f>
        <v>465</v>
      </c>
      <c r="G19" s="196">
        <f>'FF'!F19/1000</f>
        <v>1550</v>
      </c>
      <c r="H19" s="196">
        <f>PrF!F19/1000</f>
        <v>90</v>
      </c>
      <c r="I19" s="196">
        <f>FSS!F19/1000</f>
        <v>234</v>
      </c>
      <c r="J19" s="196">
        <f>PřF!F19/1000</f>
        <v>2626</v>
      </c>
      <c r="K19" s="196">
        <f>'FI'!F19/1000</f>
        <v>0</v>
      </c>
      <c r="L19" s="196">
        <f>PdF!F19/1000</f>
        <v>2155</v>
      </c>
      <c r="M19" s="196">
        <f>FSpS!F19/1000</f>
        <v>378</v>
      </c>
      <c r="N19" s="196">
        <f>ESF!F19/1000</f>
        <v>52</v>
      </c>
      <c r="O19" s="105">
        <f t="shared" si="2"/>
        <v>7550</v>
      </c>
      <c r="P19" s="341"/>
      <c r="Q19" s="103">
        <f>LF!H19/1000+'FF'!H19/1000+PrF!H19/1000+FSS!H19/1000+PřF!H19/1000+'FI'!H19/1000+PdF!H19/1000+FSpS!H19/1000+ESF!H19/1000</f>
        <v>7550</v>
      </c>
      <c r="R19" s="104">
        <f>LF!I19/1000+'FF'!I19/1000+PrF!I19/1000+FSS!I19/1000+PřF!I19/1000+'FI'!I19/1000+PdF!I19/1000+FSpS!I19/1000+ESF!I19/1000</f>
        <v>0</v>
      </c>
      <c r="S19" s="104">
        <f>LF!J19/1000+'FF'!J19/1000+PrF!J19/1000+FSS!J19/1000+PřF!J19/1000+'FI'!J19/1000+PdF!J19/1000+FSpS!J19/1000+ESF!J19/1000</f>
        <v>0</v>
      </c>
      <c r="T19" s="104">
        <f>LF!K19/1000+'FF'!K19/1000+PrF!K19/1000+FSS!K19/1000+PřF!K19/1000+'FI'!K19/1000+PdF!K19/1000+FSpS!K19/1000+ESF!K19/1000</f>
        <v>0</v>
      </c>
      <c r="U19" s="104">
        <f>LF!L19/1000+'FF'!L19/1000+PrF!L19/1000+FSS!L19/1000+PřF!L19/1000+'FI'!L19/1000+PdF!L19/1000+FSpS!L19/1000+ESF!L19/1000</f>
        <v>0</v>
      </c>
      <c r="V19" s="157">
        <f>LF!M19/1000+'FF'!M19/1000+PrF!M19/1000+FSS!M19/1000+PřF!M19/1000+'FI'!M19/1000+PdF!M19/1000+FSpS!M19/1000+ESF!M19/1000</f>
        <v>0</v>
      </c>
      <c r="W19" s="105">
        <f>(LF!N19+'FF'!N19+PrF!N19+FSS!N19+PřF!N19+'FI'!N19+PdF!N19+FSpS!N19+ESF!N19)/1000</f>
        <v>7626.36305</v>
      </c>
      <c r="X19" s="527"/>
      <c r="Y19" s="527"/>
      <c r="Z19" s="527"/>
    </row>
    <row r="20" spans="1:26" s="25" customFormat="1" ht="12">
      <c r="A20" s="21"/>
      <c r="B20" s="31" t="s">
        <v>36</v>
      </c>
      <c r="C20" s="31"/>
      <c r="D20" s="31"/>
      <c r="E20" s="352">
        <v>18</v>
      </c>
      <c r="F20" s="103">
        <f>LF!F20/1000</f>
        <v>0</v>
      </c>
      <c r="G20" s="196">
        <f>'FF'!F20/1000</f>
        <v>500</v>
      </c>
      <c r="H20" s="196">
        <f>PrF!F20/1000</f>
        <v>0</v>
      </c>
      <c r="I20" s="196">
        <f>FSS!F20/1000</f>
        <v>0</v>
      </c>
      <c r="J20" s="196">
        <f>PřF!F20/1000</f>
        <v>3000</v>
      </c>
      <c r="K20" s="196">
        <f>'FI'!F20/1000</f>
        <v>0</v>
      </c>
      <c r="L20" s="196">
        <f>PdF!F20/1000</f>
        <v>287</v>
      </c>
      <c r="M20" s="196">
        <f>FSpS!F20/1000</f>
        <v>738</v>
      </c>
      <c r="N20" s="196">
        <f>ESF!F20/1000</f>
        <v>100</v>
      </c>
      <c r="O20" s="105">
        <f t="shared" si="2"/>
        <v>4625</v>
      </c>
      <c r="P20" s="341"/>
      <c r="Q20" s="103">
        <f>LF!H20/1000+'FF'!H20/1000+PrF!H20/1000+FSS!H20/1000+PřF!H20/1000+'FI'!H20/1000+PdF!H20/1000+FSpS!H20/1000+ESF!H20/1000</f>
        <v>4625</v>
      </c>
      <c r="R20" s="104">
        <f>LF!I20/1000+'FF'!I20/1000+PrF!I20/1000+FSS!I20/1000+PřF!I20/1000+'FI'!I20/1000+PdF!I20/1000+FSpS!I20/1000+ESF!I20/1000</f>
        <v>0</v>
      </c>
      <c r="S20" s="104">
        <f>LF!J20/1000+'FF'!J20/1000+PrF!J20/1000+FSS!J20/1000+PřF!J20/1000+'FI'!J20/1000+PdF!J20/1000+FSpS!J20/1000+ESF!J20/1000</f>
        <v>0</v>
      </c>
      <c r="T20" s="104">
        <f>LF!K20/1000+'FF'!K20/1000+PrF!K20/1000+FSS!K20/1000+PřF!K20/1000+'FI'!K20/1000+PdF!K20/1000+FSpS!K20/1000+ESF!K20/1000</f>
        <v>0</v>
      </c>
      <c r="U20" s="104">
        <f>LF!L20/1000+'FF'!L20/1000+PrF!L20/1000+FSS!L20/1000+PřF!L20/1000+'FI'!L20/1000+PdF!L20/1000+FSpS!L20/1000+ESF!L20/1000</f>
        <v>0</v>
      </c>
      <c r="V20" s="157">
        <f>LF!M20/1000+'FF'!M20/1000+PrF!M20/1000+FSS!M20/1000+PřF!M20/1000+'FI'!M20/1000+PdF!M20/1000+FSpS!M20/1000+ESF!M20/1000</f>
        <v>0</v>
      </c>
      <c r="W20" s="105">
        <f>(LF!N20+'FF'!N20+PrF!N20+FSS!N20+PřF!N20+'FI'!N20+PdF!N20+FSpS!N20+ESF!N20)/1000</f>
        <v>3619.5899999999997</v>
      </c>
      <c r="X20" s="527"/>
      <c r="Y20" s="527"/>
      <c r="Z20" s="527"/>
    </row>
    <row r="21" spans="1:26" s="25" customFormat="1" ht="12">
      <c r="A21" s="21"/>
      <c r="B21" s="31" t="s">
        <v>38</v>
      </c>
      <c r="C21" s="31"/>
      <c r="D21" s="31"/>
      <c r="E21" s="352">
        <v>19</v>
      </c>
      <c r="F21" s="103">
        <f>LF!F21/1000</f>
        <v>0</v>
      </c>
      <c r="G21" s="196">
        <f>'FF'!F21/1000</f>
        <v>3500</v>
      </c>
      <c r="H21" s="196">
        <f>PrF!F21/1000</f>
        <v>0</v>
      </c>
      <c r="I21" s="196">
        <f>FSS!F21/1000</f>
        <v>9000</v>
      </c>
      <c r="J21" s="196">
        <f>PřF!F21/1000</f>
        <v>0</v>
      </c>
      <c r="K21" s="196">
        <f>'FI'!F21/1000</f>
        <v>0</v>
      </c>
      <c r="L21" s="196">
        <f>PdF!F21/1000</f>
        <v>3000</v>
      </c>
      <c r="M21" s="196">
        <f>FSpS!F21/1000</f>
        <v>0</v>
      </c>
      <c r="N21" s="196">
        <f>ESF!F21/1000</f>
        <v>0</v>
      </c>
      <c r="O21" s="105">
        <f t="shared" si="2"/>
        <v>15500</v>
      </c>
      <c r="P21" s="341"/>
      <c r="Q21" s="103">
        <f>LF!H21/1000+'FF'!H21/1000+PrF!H21/1000+FSS!H21/1000+PřF!H21/1000+'FI'!H21/1000+PdF!H21/1000+FSpS!H21/1000+ESF!H21/1000</f>
        <v>15500</v>
      </c>
      <c r="R21" s="104">
        <f>LF!I21/1000+'FF'!I21/1000+PrF!I21/1000+FSS!I21/1000+PřF!I21/1000+'FI'!I21/1000+PdF!I21/1000+FSpS!I21/1000+ESF!I21/1000</f>
        <v>0</v>
      </c>
      <c r="S21" s="104">
        <f>LF!J21/1000+'FF'!J21/1000+PrF!J21/1000+FSS!J21/1000+PřF!J21/1000+'FI'!J21/1000+PdF!J21/1000+FSpS!J21/1000+ESF!J21/1000</f>
        <v>0</v>
      </c>
      <c r="T21" s="104">
        <f>LF!K21/1000+'FF'!K21/1000+PrF!K21/1000+FSS!K21/1000+PřF!K21/1000+'FI'!K21/1000+PdF!K21/1000+FSpS!K21/1000+ESF!K21/1000</f>
        <v>0</v>
      </c>
      <c r="U21" s="104">
        <f>LF!L21/1000+'FF'!L21/1000+PrF!L21/1000+FSS!L21/1000+PřF!L21/1000+'FI'!L21/1000+PdF!L21/1000+FSpS!L21/1000+ESF!L21/1000</f>
        <v>0</v>
      </c>
      <c r="V21" s="157">
        <f>LF!M21/1000+'FF'!M21/1000+PrF!M21/1000+FSS!M21/1000+PřF!M21/1000+'FI'!M21/1000+PdF!M21/1000+FSpS!M21/1000+ESF!M21/1000</f>
        <v>0</v>
      </c>
      <c r="W21" s="105">
        <f>(LF!N21+'FF'!N21+PrF!N21+FSS!N21+PřF!N21+'FI'!N21+PdF!N21+FSpS!N21+ESF!N21)/1000</f>
        <v>4457.26271</v>
      </c>
      <c r="X21" s="527"/>
      <c r="Y21" s="527"/>
      <c r="Z21" s="527"/>
    </row>
    <row r="22" spans="1:26" s="25" customFormat="1" ht="12">
      <c r="A22" s="21"/>
      <c r="B22" s="31" t="s">
        <v>40</v>
      </c>
      <c r="C22" s="31"/>
      <c r="D22" s="31"/>
      <c r="E22" s="352">
        <v>20</v>
      </c>
      <c r="F22" s="103">
        <f>LF!F22/1000</f>
        <v>0</v>
      </c>
      <c r="G22" s="196">
        <f>'FF'!F22/1000</f>
        <v>4639</v>
      </c>
      <c r="H22" s="196">
        <f>PrF!F22/1000</f>
        <v>150</v>
      </c>
      <c r="I22" s="196">
        <f>FSS!F22/1000</f>
        <v>1490</v>
      </c>
      <c r="J22" s="196">
        <f>PřF!F22/1000</f>
        <v>5298</v>
      </c>
      <c r="K22" s="196">
        <f>'FI'!F22/1000</f>
        <v>1930</v>
      </c>
      <c r="L22" s="196">
        <f>PdF!F22/1000</f>
        <v>1123.571</v>
      </c>
      <c r="M22" s="196">
        <f>FSpS!F22/1000</f>
        <v>3500</v>
      </c>
      <c r="N22" s="196">
        <f>ESF!F22/1000</f>
        <v>0</v>
      </c>
      <c r="O22" s="105">
        <f t="shared" si="2"/>
        <v>18130.571</v>
      </c>
      <c r="P22" s="341"/>
      <c r="Q22" s="103">
        <f>LF!H22/1000+'FF'!H22/1000+PrF!H22/1000+FSS!H22/1000+PřF!H22/1000+'FI'!H22/1000+PdF!H22/1000+FSpS!H22/1000+ESF!H22/1000</f>
        <v>16680</v>
      </c>
      <c r="R22" s="104">
        <f>LF!I22/1000+'FF'!I22/1000+PrF!I22/1000+FSS!I22/1000+PřF!I22/1000+'FI'!I22/1000+PdF!I22/1000+FSpS!I22/1000+ESF!I22/1000</f>
        <v>0</v>
      </c>
      <c r="S22" s="104">
        <f>LF!J22/1000+'FF'!J22/1000+PrF!J22/1000+FSS!J22/1000+PřF!J22/1000+'FI'!J22/1000+PdF!J22/1000+FSpS!J22/1000+ESF!J22/1000</f>
        <v>1450.571</v>
      </c>
      <c r="T22" s="104">
        <f>LF!K22/1000+'FF'!K22/1000+PrF!K22/1000+FSS!K22/1000+PřF!K22/1000+'FI'!K22/1000+PdF!K22/1000+FSpS!K22/1000+ESF!K22/1000</f>
        <v>0</v>
      </c>
      <c r="U22" s="104">
        <f>LF!L22/1000+'FF'!L22/1000+PrF!L22/1000+FSS!L22/1000+PřF!L22/1000+'FI'!L22/1000+PdF!L22/1000+FSpS!L22/1000+ESF!L22/1000</f>
        <v>0</v>
      </c>
      <c r="V22" s="157">
        <f>LF!M22/1000+'FF'!M22/1000+PrF!M22/1000+FSS!M22/1000+PřF!M22/1000+'FI'!M22/1000+PdF!M22/1000+FSpS!M22/1000+ESF!M22/1000</f>
        <v>0</v>
      </c>
      <c r="W22" s="105">
        <f>(LF!N22+'FF'!N22+PrF!N22+FSS!N22+PřF!N22+'FI'!N22+PdF!N22+FSpS!N22+ESF!N22)/1000</f>
        <v>20178.572680000005</v>
      </c>
      <c r="X22" s="527"/>
      <c r="Y22" s="527"/>
      <c r="Z22" s="527"/>
    </row>
    <row r="23" spans="1:26" s="25" customFormat="1" ht="12">
      <c r="A23" s="21"/>
      <c r="B23" s="31" t="s">
        <v>42</v>
      </c>
      <c r="C23" s="31"/>
      <c r="D23" s="31"/>
      <c r="E23" s="352">
        <v>21</v>
      </c>
      <c r="F23" s="103">
        <f>LF!F23/1000</f>
        <v>58803</v>
      </c>
      <c r="G23" s="196">
        <f>'FF'!F23/1000</f>
        <v>34238</v>
      </c>
      <c r="H23" s="196">
        <f>PrF!F23/1000</f>
        <v>6920</v>
      </c>
      <c r="I23" s="196">
        <f>FSS!F23/1000</f>
        <v>32111</v>
      </c>
      <c r="J23" s="196">
        <f>PřF!F23/1000</f>
        <v>165512</v>
      </c>
      <c r="K23" s="196">
        <f>'FI'!F23/1000</f>
        <v>12408</v>
      </c>
      <c r="L23" s="196">
        <f>PdF!F23/1000</f>
        <v>20514.868</v>
      </c>
      <c r="M23" s="196">
        <f>FSpS!F23/1000</f>
        <v>0</v>
      </c>
      <c r="N23" s="196">
        <f>ESF!F23/1000</f>
        <v>320</v>
      </c>
      <c r="O23" s="105">
        <f t="shared" si="2"/>
        <v>330826.868</v>
      </c>
      <c r="P23" s="341"/>
      <c r="Q23" s="103">
        <f>LF!H23/1000+'FF'!H23/1000+PrF!H23/1000+FSS!H23/1000+PřF!H23/1000+'FI'!H23/1000+PdF!H23/1000+FSpS!H23/1000+ESF!H23/1000</f>
        <v>322912</v>
      </c>
      <c r="R23" s="104">
        <f>LF!I23/1000+'FF'!I23/1000+PrF!I23/1000+FSS!I23/1000+PřF!I23/1000+'FI'!I23/1000+PdF!I23/1000+FSpS!I23/1000+ESF!I23/1000</f>
        <v>0</v>
      </c>
      <c r="S23" s="104">
        <f>LF!J23/1000+'FF'!J23/1000+PrF!J23/1000+FSS!J23/1000+PřF!J23/1000+'FI'!J23/1000+PdF!J23/1000+FSpS!J23/1000+ESF!J23/1000</f>
        <v>7914.868</v>
      </c>
      <c r="T23" s="104">
        <f>LF!K23/1000+'FF'!K23/1000+PrF!K23/1000+FSS!K23/1000+PřF!K23/1000+'FI'!K23/1000+PdF!K23/1000+FSpS!K23/1000+ESF!K23/1000</f>
        <v>0</v>
      </c>
      <c r="U23" s="104">
        <f>LF!L23/1000+'FF'!L23/1000+PrF!L23/1000+FSS!L23/1000+PřF!L23/1000+'FI'!L23/1000+PdF!L23/1000+FSpS!L23/1000+ESF!L23/1000</f>
        <v>0</v>
      </c>
      <c r="V23" s="157">
        <f>LF!M23/1000+'FF'!M23/1000+PrF!M23/1000+FSS!M23/1000+PřF!M23/1000+'FI'!M23/1000+PdF!M23/1000+FSpS!M23/1000+ESF!M23/1000</f>
        <v>0</v>
      </c>
      <c r="W23" s="105">
        <f>(LF!N23+'FF'!N23+PrF!N23+FSS!N23+PřF!N23+'FI'!N23+PdF!N23+FSpS!N23+ESF!N23)/1000</f>
        <v>323251.99186</v>
      </c>
      <c r="X23" s="527"/>
      <c r="Y23" s="527"/>
      <c r="Z23" s="527"/>
    </row>
    <row r="24" spans="1:26" s="25" customFormat="1" ht="12">
      <c r="A24" s="21"/>
      <c r="B24" s="31" t="s">
        <v>44</v>
      </c>
      <c r="C24" s="31"/>
      <c r="D24" s="31"/>
      <c r="E24" s="352">
        <v>22</v>
      </c>
      <c r="F24" s="103">
        <f>LF!F24/1000</f>
        <v>65568</v>
      </c>
      <c r="G24" s="196">
        <f>'FF'!F24/1000</f>
        <v>16014</v>
      </c>
      <c r="H24" s="196">
        <f>PrF!F24/1000</f>
        <v>569</v>
      </c>
      <c r="I24" s="196">
        <f>FSS!F24/1000</f>
        <v>10267</v>
      </c>
      <c r="J24" s="196">
        <f>PřF!F24/1000</f>
        <v>131236</v>
      </c>
      <c r="K24" s="196">
        <f>'FI'!F24/1000</f>
        <v>19856</v>
      </c>
      <c r="L24" s="196">
        <f>PdF!F24/1000</f>
        <v>7700</v>
      </c>
      <c r="M24" s="196">
        <f>FSpS!F24/1000</f>
        <v>743</v>
      </c>
      <c r="N24" s="196">
        <f>ESF!F24/1000</f>
        <v>24919</v>
      </c>
      <c r="O24" s="105">
        <f t="shared" si="2"/>
        <v>276872</v>
      </c>
      <c r="P24" s="341"/>
      <c r="Q24" s="103">
        <f>LF!H24/1000+'FF'!H24/1000+PrF!H24/1000+FSS!H24/1000+PřF!H24/1000+'FI'!H24/1000+PdF!H24/1000+FSpS!H24/1000+ESF!H24/1000</f>
        <v>274774</v>
      </c>
      <c r="R24" s="104">
        <f>LF!I24/1000+'FF'!I24/1000+PrF!I24/1000+FSS!I24/1000+PřF!I24/1000+'FI'!I24/1000+PdF!I24/1000+FSpS!I24/1000+ESF!I24/1000</f>
        <v>0</v>
      </c>
      <c r="S24" s="104">
        <f>LF!J24/1000+'FF'!J24/1000+PrF!J24/1000+FSS!J24/1000+PřF!J24/1000+'FI'!J24/1000+PdF!J24/1000+FSpS!J24/1000+ESF!J24/1000</f>
        <v>2098</v>
      </c>
      <c r="T24" s="104">
        <f>LF!K24/1000+'FF'!K24/1000+PrF!K24/1000+FSS!K24/1000+PřF!K24/1000+'FI'!K24/1000+PdF!K24/1000+FSpS!K24/1000+ESF!K24/1000</f>
        <v>0</v>
      </c>
      <c r="U24" s="104">
        <f>LF!L24/1000+'FF'!L24/1000+PrF!L24/1000+FSS!L24/1000+PřF!L24/1000+'FI'!L24/1000+PdF!L24/1000+FSpS!L24/1000+ESF!L24/1000</f>
        <v>0</v>
      </c>
      <c r="V24" s="157">
        <f>LF!M24/1000+'FF'!M24/1000+PrF!M24/1000+FSS!M24/1000+PřF!M24/1000+'FI'!M24/1000+PdF!M24/1000+FSpS!M24/1000+ESF!M24/1000</f>
        <v>0</v>
      </c>
      <c r="W24" s="105">
        <f>(LF!N24+'FF'!N24+PrF!N24+FSS!N24+PřF!N24+'FI'!N24+PdF!N24+FSpS!N24+ESF!N24)/1000</f>
        <v>282839.95666</v>
      </c>
      <c r="X24" s="527"/>
      <c r="Y24" s="527"/>
      <c r="Z24" s="527"/>
    </row>
    <row r="25" spans="1:26" s="25" customFormat="1" ht="12">
      <c r="A25" s="21"/>
      <c r="B25" s="31" t="s">
        <v>45</v>
      </c>
      <c r="C25" s="31"/>
      <c r="D25" s="31"/>
      <c r="E25" s="352">
        <v>23</v>
      </c>
      <c r="F25" s="103">
        <f>LF!F25/1000</f>
        <v>1235</v>
      </c>
      <c r="G25" s="196">
        <f>'FF'!F25/1000</f>
        <v>433</v>
      </c>
      <c r="H25" s="196">
        <f>PrF!F25/1000</f>
        <v>0</v>
      </c>
      <c r="I25" s="196">
        <f>FSS!F25/1000</f>
        <v>2322</v>
      </c>
      <c r="J25" s="196">
        <f>PřF!F25/1000</f>
        <v>54665</v>
      </c>
      <c r="K25" s="196">
        <f>'FI'!F25/1000</f>
        <v>2174</v>
      </c>
      <c r="L25" s="196">
        <f>PdF!F25/1000</f>
        <v>0</v>
      </c>
      <c r="M25" s="196">
        <f>FSpS!F25/1000</f>
        <v>5572</v>
      </c>
      <c r="N25" s="196">
        <f>ESF!F25/1000</f>
        <v>0</v>
      </c>
      <c r="O25" s="105">
        <f t="shared" si="2"/>
        <v>66401</v>
      </c>
      <c r="P25" s="341"/>
      <c r="Q25" s="103">
        <f>LF!H25/1000+'FF'!H25/1000+PrF!H25/1000+FSS!H25/1000+PřF!H25/1000+'FI'!H25/1000+PdF!H25/1000+FSpS!H25/1000+ESF!H25/1000</f>
        <v>48307</v>
      </c>
      <c r="R25" s="104">
        <f>LF!I25/1000+'FF'!I25/1000+PrF!I25/1000+FSS!I25/1000+PřF!I25/1000+'FI'!I25/1000+PdF!I25/1000+FSpS!I25/1000+ESF!I25/1000</f>
        <v>0</v>
      </c>
      <c r="S25" s="104">
        <f>LF!J25/1000+'FF'!J25/1000+PrF!J25/1000+FSS!J25/1000+PřF!J25/1000+'FI'!J25/1000+PdF!J25/1000+FSpS!J25/1000+ESF!J25/1000</f>
        <v>18094</v>
      </c>
      <c r="T25" s="104">
        <f>LF!K25/1000+'FF'!K25/1000+PrF!K25/1000+FSS!K25/1000+PřF!K25/1000+'FI'!K25/1000+PdF!K25/1000+FSpS!K25/1000+ESF!K25/1000</f>
        <v>0</v>
      </c>
      <c r="U25" s="104">
        <f>LF!L25/1000+'FF'!L25/1000+PrF!L25/1000+FSS!L25/1000+PřF!L25/1000+'FI'!L25/1000+PdF!L25/1000+FSpS!L25/1000+ESF!L25/1000</f>
        <v>0</v>
      </c>
      <c r="V25" s="157">
        <f>LF!M25/1000+'FF'!M25/1000+PrF!M25/1000+FSS!M25/1000+PřF!M25/1000+'FI'!M25/1000+PdF!M25/1000+FSpS!M25/1000+ESF!M25/1000</f>
        <v>0</v>
      </c>
      <c r="W25" s="105">
        <f>(LF!N25+'FF'!N25+PrF!N25+FSS!N25+PřF!N25+'FI'!N25+PdF!N25+FSpS!N25+ESF!N25)/1000</f>
        <v>47404.32741</v>
      </c>
      <c r="X25" s="527"/>
      <c r="Y25" s="527"/>
      <c r="Z25" s="527"/>
    </row>
    <row r="26" spans="1:26" s="25" customFormat="1" ht="12">
      <c r="A26" s="21"/>
      <c r="B26" s="31" t="s">
        <v>47</v>
      </c>
      <c r="C26" s="31"/>
      <c r="D26" s="31"/>
      <c r="E26" s="352">
        <v>24</v>
      </c>
      <c r="F26" s="103">
        <f>LF!F26/1000</f>
        <v>9867</v>
      </c>
      <c r="G26" s="196">
        <f>'FF'!F26/1000</f>
        <v>650</v>
      </c>
      <c r="H26" s="196">
        <f>PrF!F26/1000</f>
        <v>0</v>
      </c>
      <c r="I26" s="196">
        <f>FSS!F26/1000</f>
        <v>1100</v>
      </c>
      <c r="J26" s="196">
        <f>PřF!F26/1000</f>
        <v>18148</v>
      </c>
      <c r="K26" s="196">
        <f>'FI'!F26/1000</f>
        <v>10589</v>
      </c>
      <c r="L26" s="196">
        <f>PdF!F26/1000</f>
        <v>0</v>
      </c>
      <c r="M26" s="196">
        <f>FSpS!F26/1000</f>
        <v>0</v>
      </c>
      <c r="N26" s="196">
        <f>ESF!F26/1000</f>
        <v>0</v>
      </c>
      <c r="O26" s="105">
        <f t="shared" si="2"/>
        <v>40354</v>
      </c>
      <c r="P26" s="341"/>
      <c r="Q26" s="103">
        <f>LF!H26/1000+'FF'!H26/1000+PrF!H26/1000+FSS!H26/1000+PřF!H26/1000+'FI'!H26/1000+PdF!H26/1000+FSpS!H26/1000+ESF!H26/1000</f>
        <v>39520</v>
      </c>
      <c r="R26" s="104">
        <f>LF!I26/1000+'FF'!I26/1000+PrF!I26/1000+FSS!I26/1000+PřF!I26/1000+'FI'!I26/1000+PdF!I26/1000+FSpS!I26/1000+ESF!I26/1000</f>
        <v>0</v>
      </c>
      <c r="S26" s="104">
        <f>LF!J26/1000+'FF'!J26/1000+PrF!J26/1000+FSS!J26/1000+PřF!J26/1000+'FI'!J26/1000+PdF!J26/1000+FSpS!J26/1000+ESF!J26/1000</f>
        <v>834</v>
      </c>
      <c r="T26" s="104">
        <f>LF!K26/1000+'FF'!K26/1000+PrF!K26/1000+FSS!K26/1000+PřF!K26/1000+'FI'!K26/1000+PdF!K26/1000+FSpS!K26/1000+ESF!K26/1000</f>
        <v>0</v>
      </c>
      <c r="U26" s="104">
        <f>LF!L26/1000+'FF'!L26/1000+PrF!L26/1000+FSS!L26/1000+PřF!L26/1000+'FI'!L26/1000+PdF!L26/1000+FSpS!L26/1000+ESF!L26/1000</f>
        <v>0</v>
      </c>
      <c r="V26" s="157">
        <f>LF!M26/1000+'FF'!M26/1000+PrF!M26/1000+FSS!M26/1000+PřF!M26/1000+'FI'!M26/1000+PdF!M26/1000+FSpS!M26/1000+ESF!M26/1000</f>
        <v>0</v>
      </c>
      <c r="W26" s="105">
        <f>(LF!N26+'FF'!N26+PrF!N26+FSS!N26+PřF!N26+'FI'!N26+PdF!N26+FSpS!N26+ESF!N26)/1000</f>
        <v>37743.18894000001</v>
      </c>
      <c r="X26" s="527"/>
      <c r="Y26" s="527"/>
      <c r="Z26" s="527"/>
    </row>
    <row r="27" spans="1:26" s="25" customFormat="1" ht="12.75" thickBot="1">
      <c r="A27" s="21"/>
      <c r="B27" s="30" t="s">
        <v>49</v>
      </c>
      <c r="C27" s="30"/>
      <c r="D27" s="30"/>
      <c r="E27" s="351">
        <v>25</v>
      </c>
      <c r="F27" s="103">
        <f>LF!F27/1000</f>
        <v>3522</v>
      </c>
      <c r="G27" s="196">
        <f>'FF'!F27/1000</f>
        <v>450</v>
      </c>
      <c r="H27" s="196">
        <f>PrF!F27/1000</f>
        <v>270</v>
      </c>
      <c r="I27" s="196">
        <f>FSS!F27/1000</f>
        <v>450</v>
      </c>
      <c r="J27" s="196">
        <f>PřF!F27/1000</f>
        <v>19000</v>
      </c>
      <c r="K27" s="196">
        <f>'FI'!F27/1000</f>
        <v>934</v>
      </c>
      <c r="L27" s="196">
        <f>PdF!F27/1000</f>
        <v>600</v>
      </c>
      <c r="M27" s="196">
        <f>FSpS!F27/1000</f>
        <v>770</v>
      </c>
      <c r="N27" s="196">
        <f>ESF!F27/1000</f>
        <v>2800</v>
      </c>
      <c r="O27" s="105">
        <f t="shared" si="2"/>
        <v>28796</v>
      </c>
      <c r="P27" s="341"/>
      <c r="Q27" s="103">
        <f>LF!H27/1000+'FF'!H27/1000+PrF!H27/1000+FSS!H27/1000+PřF!H27/1000+'FI'!H27/1000+PdF!H27/1000+FSpS!H27/1000+ESF!H27/1000</f>
        <v>28796</v>
      </c>
      <c r="R27" s="104">
        <f>LF!I27/1000+'FF'!I27/1000+PrF!I27/1000+FSS!I27/1000+PřF!I27/1000+'FI'!I27/1000+PdF!I27/1000+FSpS!I27/1000+ESF!I27/1000</f>
        <v>0</v>
      </c>
      <c r="S27" s="104">
        <f>LF!J27/1000+'FF'!J27/1000+PrF!J27/1000+FSS!J27/1000+PřF!J27/1000+'FI'!J27/1000+PdF!J27/1000+FSpS!J27/1000+ESF!J27/1000</f>
        <v>0</v>
      </c>
      <c r="T27" s="104">
        <f>LF!K27/1000+'FF'!K27/1000+PrF!K27/1000+FSS!K27/1000+PřF!K27/1000+'FI'!K27/1000+PdF!K27/1000+FSpS!K27/1000+ESF!K27/1000</f>
        <v>0</v>
      </c>
      <c r="U27" s="104">
        <f>LF!L27/1000+'FF'!L27/1000+PrF!L27/1000+FSS!L27/1000+PřF!L27/1000+'FI'!L27/1000+PdF!L27/1000+FSpS!L27/1000+ESF!L27/1000</f>
        <v>0</v>
      </c>
      <c r="V27" s="157">
        <f>LF!M27/1000+'FF'!M27/1000+PrF!M27/1000+FSS!M27/1000+PřF!M27/1000+'FI'!M27/1000+PdF!M27/1000+FSpS!M27/1000+ESF!M27/1000</f>
        <v>0</v>
      </c>
      <c r="W27" s="105">
        <f>(LF!N27+'FF'!N27+PrF!N27+FSS!N27+PřF!N27+'FI'!N27+PdF!N27+FSpS!N27+ESF!N27)/1000</f>
        <v>33936.57918000001</v>
      </c>
      <c r="X27" s="527"/>
      <c r="Y27" s="527"/>
      <c r="Z27" s="527"/>
    </row>
    <row r="28" spans="1:23" ht="13.5" thickBot="1">
      <c r="A28" s="37" t="s">
        <v>51</v>
      </c>
      <c r="B28" s="38"/>
      <c r="C28" s="38"/>
      <c r="D28" s="38"/>
      <c r="E28" s="348">
        <v>26</v>
      </c>
      <c r="F28" s="344">
        <f aca="true" t="shared" si="3" ref="F28:W28">SUM(F29:F45)</f>
        <v>606445</v>
      </c>
      <c r="G28" s="240">
        <f t="shared" si="3"/>
        <v>397136</v>
      </c>
      <c r="H28" s="240">
        <f aca="true" t="shared" si="4" ref="H28:N28">SUM(H29:H45)</f>
        <v>139390</v>
      </c>
      <c r="I28" s="240">
        <f t="shared" si="4"/>
        <v>210464</v>
      </c>
      <c r="J28" s="240">
        <f t="shared" si="4"/>
        <v>777229</v>
      </c>
      <c r="K28" s="240">
        <f t="shared" si="4"/>
        <v>216122</v>
      </c>
      <c r="L28" s="240">
        <f t="shared" si="4"/>
        <v>288770.702</v>
      </c>
      <c r="M28" s="240">
        <f t="shared" si="4"/>
        <v>92727</v>
      </c>
      <c r="N28" s="240">
        <f t="shared" si="4"/>
        <v>165517</v>
      </c>
      <c r="O28" s="217">
        <f t="shared" si="3"/>
        <v>2893800.702</v>
      </c>
      <c r="P28" s="223">
        <f t="shared" si="3"/>
        <v>0</v>
      </c>
      <c r="Q28" s="82">
        <f t="shared" si="3"/>
        <v>2768731</v>
      </c>
      <c r="R28" s="83">
        <f t="shared" si="3"/>
        <v>55732.263</v>
      </c>
      <c r="S28" s="83">
        <f t="shared" si="3"/>
        <v>32195.439</v>
      </c>
      <c r="T28" s="83">
        <f t="shared" si="3"/>
        <v>0</v>
      </c>
      <c r="U28" s="83">
        <f>SUM(U29:U45)</f>
        <v>12487</v>
      </c>
      <c r="V28" s="82">
        <f t="shared" si="3"/>
        <v>24655</v>
      </c>
      <c r="W28" s="84">
        <f t="shared" si="3"/>
        <v>2827215.0691599995</v>
      </c>
    </row>
    <row r="29" spans="1:26" s="25" customFormat="1" ht="12">
      <c r="A29" s="21" t="s">
        <v>14</v>
      </c>
      <c r="B29" s="27" t="s">
        <v>52</v>
      </c>
      <c r="C29" s="27"/>
      <c r="D29" s="27"/>
      <c r="E29" s="351">
        <v>27</v>
      </c>
      <c r="F29" s="103">
        <f>LF!F29/1000</f>
        <v>269882</v>
      </c>
      <c r="G29" s="196">
        <f>'FF'!F29/1000</f>
        <v>252911</v>
      </c>
      <c r="H29" s="196">
        <f>PrF!F29/1000</f>
        <v>83593</v>
      </c>
      <c r="I29" s="196">
        <f>FSS!F29/1000</f>
        <v>99021</v>
      </c>
      <c r="J29" s="196">
        <f>PřF!F29/1000</f>
        <v>171464</v>
      </c>
      <c r="K29" s="196">
        <f>'FI'!F29/1000</f>
        <v>96446</v>
      </c>
      <c r="L29" s="196">
        <f>PdF!F29/1000</f>
        <v>203235</v>
      </c>
      <c r="M29" s="196">
        <f>FSpS!F29/1000</f>
        <v>65162</v>
      </c>
      <c r="N29" s="196">
        <f>ESF!F29/1000</f>
        <v>107787</v>
      </c>
      <c r="O29" s="105">
        <f aca="true" t="shared" si="5" ref="O29:O45">SUM(F29:N29)</f>
        <v>1349501</v>
      </c>
      <c r="P29" s="224"/>
      <c r="Q29" s="87">
        <f>LF!H29/1000+'FF'!H29/1000+PrF!H29/1000+FSS!H29/1000+PřF!H29/1000+'FI'!H29/1000+PdF!H29/1000+FSpS!H29/1000+ESF!H29/1000</f>
        <v>1349478</v>
      </c>
      <c r="R29" s="88">
        <f>LF!I29/1000+'FF'!I29/1000+PrF!I29/1000+FSS!I29/1000+PřF!I29/1000+'FI'!I29/1000+PdF!I29/1000+FSpS!I29/1000+ESF!I29/1000</f>
        <v>0</v>
      </c>
      <c r="S29" s="88">
        <f>LF!J29/1000+'FF'!J29/1000+PrF!J29/1000+FSS!J29/1000+PřF!J29/1000+'FI'!J29/1000+PdF!J29/1000+FSpS!J29/1000+ESF!J29/1000</f>
        <v>23</v>
      </c>
      <c r="T29" s="88">
        <f>LF!K29/1000+'FF'!K29/1000+PrF!K29/1000+FSS!K29/1000+PřF!K29/1000+'FI'!K29/1000+PdF!K29/1000+FSpS!K29/1000+ESF!K29/1000</f>
        <v>0</v>
      </c>
      <c r="U29" s="88">
        <f>LF!L29/1000+'FF'!L29/1000+PrF!L29/1000+FSS!L29/1000+PřF!L29/1000+'FI'!L29/1000+PdF!L29/1000+FSpS!L29/1000+ESF!L29/1000</f>
        <v>0</v>
      </c>
      <c r="V29" s="137">
        <f>LF!M29/1000+'FF'!M29/1000+PrF!M29/1000+FSS!M29/1000+PřF!M29/1000+'FI'!M29/1000+PdF!M29/1000+FSpS!M29/1000+ESF!M29/1000</f>
        <v>0</v>
      </c>
      <c r="W29" s="105">
        <f>(LF!N29+'FF'!N29+PrF!N29+FSS!N29+PřF!N29+'FI'!N29+PdF!N29+FSpS!N29+ESF!N29)/1000</f>
        <v>1309876.54794</v>
      </c>
      <c r="X29" s="538">
        <v>1349478</v>
      </c>
      <c r="Y29" s="540">
        <f>X29-Q29</f>
        <v>0</v>
      </c>
      <c r="Z29" s="527"/>
    </row>
    <row r="30" spans="1:26" s="25" customFormat="1" ht="12">
      <c r="A30" s="21"/>
      <c r="B30" s="30" t="s">
        <v>28</v>
      </c>
      <c r="C30" s="30"/>
      <c r="D30" s="30"/>
      <c r="E30" s="351">
        <v>28</v>
      </c>
      <c r="F30" s="103">
        <f>LF!F30/1000</f>
        <v>20328</v>
      </c>
      <c r="G30" s="196">
        <f>'FF'!F30/1000</f>
        <v>19500</v>
      </c>
      <c r="H30" s="196">
        <f>PrF!F30/1000</f>
        <v>4085</v>
      </c>
      <c r="I30" s="196">
        <f>FSS!F30/1000</f>
        <v>11500</v>
      </c>
      <c r="J30" s="196">
        <f>PřF!F30/1000</f>
        <v>43000</v>
      </c>
      <c r="K30" s="196">
        <f>'FI'!F30/1000</f>
        <v>5327</v>
      </c>
      <c r="L30" s="196">
        <f>PdF!F30/1000</f>
        <v>6000</v>
      </c>
      <c r="M30" s="196">
        <f>FSpS!F30/1000</f>
        <v>1600</v>
      </c>
      <c r="N30" s="196">
        <f>ESF!F30/1000</f>
        <v>4500</v>
      </c>
      <c r="O30" s="105">
        <f t="shared" si="5"/>
        <v>115840</v>
      </c>
      <c r="P30" s="342"/>
      <c r="Q30" s="103">
        <f>LF!H30/1000+'FF'!H30/1000+PrF!H30/1000+FSS!H30/1000+PřF!H30/1000+'FI'!H30/1000+PdF!H30/1000+FSpS!H30/1000+ESF!H30/1000</f>
        <v>115840</v>
      </c>
      <c r="R30" s="104">
        <f>LF!I30/1000+'FF'!I30/1000+PrF!I30/1000+FSS!I30/1000+PřF!I30/1000+'FI'!I30/1000+PdF!I30/1000+FSpS!I30/1000+ESF!I30/1000</f>
        <v>0</v>
      </c>
      <c r="S30" s="104">
        <f>LF!J30/1000+'FF'!J30/1000+PrF!J30/1000+FSS!J30/1000+PřF!J30/1000+'FI'!J30/1000+PdF!J30/1000+FSpS!J30/1000+ESF!J30/1000</f>
        <v>0</v>
      </c>
      <c r="T30" s="104">
        <f>LF!K30/1000+'FF'!K30/1000+PrF!K30/1000+FSS!K30/1000+PřF!K30/1000+'FI'!K30/1000+PdF!K30/1000+FSpS!K30/1000+ESF!K30/1000</f>
        <v>0</v>
      </c>
      <c r="U30" s="104">
        <f>LF!L30/1000+'FF'!L30/1000+PrF!L30/1000+FSS!L30/1000+PřF!L30/1000+'FI'!L30/1000+PdF!L30/1000+FSpS!L30/1000+ESF!L30/1000</f>
        <v>0</v>
      </c>
      <c r="V30" s="157">
        <f>LF!M30/1000+'FF'!M30/1000+PrF!M30/1000+FSS!M30/1000+PřF!M30/1000+'FI'!M30/1000+PdF!M30/1000+FSpS!M30/1000+ESF!M30/1000</f>
        <v>0</v>
      </c>
      <c r="W30" s="105">
        <f>(LF!N30+'FF'!N30+PrF!N30+FSS!N30+PřF!N30+'FI'!N30+PdF!N30+FSpS!N30+ESF!N30)/1000</f>
        <v>113189</v>
      </c>
      <c r="X30" s="538"/>
      <c r="Y30" s="527"/>
      <c r="Z30" s="527"/>
    </row>
    <row r="31" spans="1:26" s="25" customFormat="1" ht="12">
      <c r="A31" s="21"/>
      <c r="B31" s="30" t="s">
        <v>30</v>
      </c>
      <c r="C31" s="30"/>
      <c r="D31" s="30"/>
      <c r="E31" s="351">
        <v>29</v>
      </c>
      <c r="F31" s="103">
        <f>LF!F31/1000</f>
        <v>0</v>
      </c>
      <c r="G31" s="196">
        <f>'FF'!F31/1000</f>
        <v>3900</v>
      </c>
      <c r="H31" s="196">
        <f>PrF!F31/1000</f>
        <v>50</v>
      </c>
      <c r="I31" s="196">
        <f>FSS!F31/1000</f>
        <v>1200</v>
      </c>
      <c r="J31" s="196">
        <f>PřF!F31/1000</f>
        <v>1000</v>
      </c>
      <c r="K31" s="196">
        <f>'FI'!F31/1000</f>
        <v>600</v>
      </c>
      <c r="L31" s="196">
        <f>PdF!F31/1000</f>
        <v>250</v>
      </c>
      <c r="M31" s="196">
        <f>FSpS!F31/1000</f>
        <v>0</v>
      </c>
      <c r="N31" s="196">
        <f>ESF!F31/1000</f>
        <v>241</v>
      </c>
      <c r="O31" s="105">
        <f t="shared" si="5"/>
        <v>7241</v>
      </c>
      <c r="P31" s="342"/>
      <c r="Q31" s="103">
        <f>LF!H31/1000+'FF'!H31/1000+PrF!H31/1000+FSS!H31/1000+PřF!H31/1000+'FI'!H31/1000+PdF!H31/1000+FSpS!H31/1000+ESF!H31/1000</f>
        <v>7241</v>
      </c>
      <c r="R31" s="104">
        <f>LF!I31/1000+'FF'!I31/1000+PrF!I31/1000+FSS!I31/1000+PřF!I31/1000+'FI'!I31/1000+PdF!I31/1000+FSpS!I31/1000+ESF!I31/1000</f>
        <v>0</v>
      </c>
      <c r="S31" s="104">
        <f>LF!J31/1000+'FF'!J31/1000+PrF!J31/1000+FSS!J31/1000+PřF!J31/1000+'FI'!J31/1000+PdF!J31/1000+FSpS!J31/1000+ESF!J31/1000</f>
        <v>0</v>
      </c>
      <c r="T31" s="104">
        <f>LF!K31/1000+'FF'!K31/1000+PrF!K31/1000+FSS!K31/1000+PřF!K31/1000+'FI'!K31/1000+PdF!K31/1000+FSpS!K31/1000+ESF!K31/1000</f>
        <v>0</v>
      </c>
      <c r="U31" s="104">
        <f>LF!L31/1000+'FF'!L31/1000+PrF!L31/1000+FSS!L31/1000+PřF!L31/1000+'FI'!L31/1000+PdF!L31/1000+FSpS!L31/1000+ESF!L31/1000</f>
        <v>0</v>
      </c>
      <c r="V31" s="157">
        <f>LF!M31/1000+'FF'!M31/1000+PrF!M31/1000+FSS!M31/1000+PřF!M31/1000+'FI'!M31/1000+PdF!M31/1000+FSpS!M31/1000+ESF!M31/1000</f>
        <v>0</v>
      </c>
      <c r="W31" s="105">
        <f>(LF!N31+'FF'!N31+PrF!N31+FSS!N31+PřF!N31+'FI'!N31+PdF!N31+FSpS!N31+ESF!N31)/1000</f>
        <v>8958.176</v>
      </c>
      <c r="X31" s="538"/>
      <c r="Y31" s="527"/>
      <c r="Z31" s="527"/>
    </row>
    <row r="32" spans="1:26" s="25" customFormat="1" ht="12">
      <c r="A32" s="21"/>
      <c r="B32" s="31" t="s">
        <v>32</v>
      </c>
      <c r="C32" s="32"/>
      <c r="D32" s="32"/>
      <c r="E32" s="352">
        <v>30</v>
      </c>
      <c r="F32" s="103">
        <f>LF!F32/1000</f>
        <v>10186</v>
      </c>
      <c r="G32" s="196">
        <f>'FF'!F32/1000</f>
        <v>4500</v>
      </c>
      <c r="H32" s="196">
        <f>PrF!F32/1000</f>
        <v>2010</v>
      </c>
      <c r="I32" s="196">
        <f>FSS!F32/1000</f>
        <v>6000</v>
      </c>
      <c r="J32" s="196">
        <f>PřF!F32/1000</f>
        <v>5000</v>
      </c>
      <c r="K32" s="196">
        <f>'FI'!F32/1000</f>
        <v>24869</v>
      </c>
      <c r="L32" s="196">
        <f>PdF!F32/1000</f>
        <v>3000</v>
      </c>
      <c r="M32" s="196">
        <f>FSpS!F32/1000</f>
        <v>0</v>
      </c>
      <c r="N32" s="196">
        <f>ESF!F32/1000</f>
        <v>572</v>
      </c>
      <c r="O32" s="105">
        <f t="shared" si="5"/>
        <v>56137</v>
      </c>
      <c r="P32" s="342"/>
      <c r="Q32" s="103">
        <f>LF!H32/1000+'FF'!H32/1000+PrF!H32/1000+FSS!H32/1000+PřF!H32/1000+'FI'!H32/1000+PdF!H32/1000+FSpS!H32/1000+ESF!H32/1000</f>
        <v>56137</v>
      </c>
      <c r="R32" s="104">
        <f>LF!I32/1000+'FF'!I32/1000+PrF!I32/1000+FSS!I32/1000+PřF!I32/1000+'FI'!I32/1000+PdF!I32/1000+FSpS!I32/1000+ESF!I32/1000</f>
        <v>0</v>
      </c>
      <c r="S32" s="104">
        <f>LF!J32/1000+'FF'!J32/1000+PrF!J32/1000+FSS!J32/1000+PřF!J32/1000+'FI'!J32/1000+PdF!J32/1000+FSpS!J32/1000+ESF!J32/1000</f>
        <v>0</v>
      </c>
      <c r="T32" s="104">
        <f>LF!K32/1000+'FF'!K32/1000+PrF!K32/1000+FSS!K32/1000+PřF!K32/1000+'FI'!K32/1000+PdF!K32/1000+FSpS!K32/1000+ESF!K32/1000</f>
        <v>0</v>
      </c>
      <c r="U32" s="104">
        <f>LF!L32/1000+'FF'!L32/1000+PrF!L32/1000+FSS!L32/1000+PřF!L32/1000+'FI'!L32/1000+PdF!L32/1000+FSpS!L32/1000+ESF!L32/1000</f>
        <v>0</v>
      </c>
      <c r="V32" s="157">
        <f>LF!M32/1000+'FF'!M32/1000+PrF!M32/1000+FSS!M32/1000+PřF!M32/1000+'FI'!M32/1000+PdF!M32/1000+FSpS!M32/1000+ESF!M32/1000</f>
        <v>0</v>
      </c>
      <c r="W32" s="105">
        <f>(LF!N32+'FF'!N32+PrF!N32+FSS!N32+PřF!N32+'FI'!N32+PdF!N32+FSpS!N32+ESF!N32)/1000</f>
        <v>72566.76735</v>
      </c>
      <c r="X32" s="538"/>
      <c r="Y32" s="522">
        <f>fak!P32/1000</f>
        <v>18.141</v>
      </c>
      <c r="Z32" s="522">
        <f>fak!Q32</f>
        <v>37996</v>
      </c>
    </row>
    <row r="33" spans="1:26" s="25" customFormat="1" ht="12">
      <c r="A33" s="21"/>
      <c r="B33" s="31" t="s">
        <v>34</v>
      </c>
      <c r="C33" s="31"/>
      <c r="D33" s="31"/>
      <c r="E33" s="352">
        <v>31</v>
      </c>
      <c r="F33" s="103">
        <f>LF!F33/1000</f>
        <v>465</v>
      </c>
      <c r="G33" s="196">
        <f>'FF'!F33/1000</f>
        <v>1550</v>
      </c>
      <c r="H33" s="196">
        <f>PrF!F33/1000</f>
        <v>90</v>
      </c>
      <c r="I33" s="196">
        <f>FSS!F33/1000</f>
        <v>234</v>
      </c>
      <c r="J33" s="196">
        <f>PřF!F33/1000</f>
        <v>2626</v>
      </c>
      <c r="K33" s="196">
        <f>'FI'!F33/1000</f>
        <v>0</v>
      </c>
      <c r="L33" s="196">
        <f>PdF!F33/1000</f>
        <v>2155</v>
      </c>
      <c r="M33" s="196">
        <f>FSpS!F33/1000</f>
        <v>378</v>
      </c>
      <c r="N33" s="196">
        <f>ESF!F33/1000</f>
        <v>52</v>
      </c>
      <c r="O33" s="105">
        <f t="shared" si="5"/>
        <v>7550</v>
      </c>
      <c r="P33" s="342"/>
      <c r="Q33" s="103">
        <f>LF!H33/1000+'FF'!H33/1000+PrF!H33/1000+FSS!H33/1000+PřF!H33/1000+'FI'!H33/1000+PdF!H33/1000+FSpS!H33/1000+ESF!H33/1000</f>
        <v>7550</v>
      </c>
      <c r="R33" s="104">
        <f>LF!I33/1000+'FF'!I33/1000+PrF!I33/1000+FSS!I33/1000+PřF!I33/1000+'FI'!I33/1000+PdF!I33/1000+FSpS!I33/1000+ESF!I33/1000</f>
        <v>0</v>
      </c>
      <c r="S33" s="104">
        <f>LF!J33/1000+'FF'!J33/1000+PrF!J33/1000+FSS!J33/1000+PřF!J33/1000+'FI'!J33/1000+PdF!J33/1000+FSpS!J33/1000+ESF!J33/1000</f>
        <v>0</v>
      </c>
      <c r="T33" s="104">
        <f>LF!K33/1000+'FF'!K33/1000+PrF!K33/1000+FSS!K33/1000+PřF!K33/1000+'FI'!K33/1000+PdF!K33/1000+FSpS!K33/1000+ESF!K33/1000</f>
        <v>0</v>
      </c>
      <c r="U33" s="104">
        <f>LF!L33/1000+'FF'!L33/1000+PrF!L33/1000+FSS!L33/1000+PřF!L33/1000+'FI'!L33/1000+PdF!L33/1000+FSpS!L33/1000+ESF!L33/1000</f>
        <v>0</v>
      </c>
      <c r="V33" s="157">
        <f>LF!M33/1000+'FF'!M33/1000+PrF!M33/1000+FSS!M33/1000+PřF!M33/1000+'FI'!M33/1000+PdF!M33/1000+FSpS!M33/1000+ESF!M33/1000</f>
        <v>0</v>
      </c>
      <c r="W33" s="105">
        <f>(LF!N33+'FF'!N33+PrF!N33+FSS!N33+PřF!N33+'FI'!N33+PdF!N33+FSpS!N33+ESF!N33)/1000</f>
        <v>7626.36305</v>
      </c>
      <c r="X33" s="538"/>
      <c r="Y33" s="527"/>
      <c r="Z33" s="527"/>
    </row>
    <row r="34" spans="1:26" s="25" customFormat="1" ht="12">
      <c r="A34" s="21"/>
      <c r="B34" s="31" t="s">
        <v>54</v>
      </c>
      <c r="C34" s="31"/>
      <c r="D34" s="31"/>
      <c r="E34" s="352">
        <v>32</v>
      </c>
      <c r="F34" s="103">
        <f>LF!F34/1000</f>
        <v>0</v>
      </c>
      <c r="G34" s="196">
        <f>'FF'!F34/1000</f>
        <v>0</v>
      </c>
      <c r="H34" s="196">
        <f>PrF!F34/1000</f>
        <v>0</v>
      </c>
      <c r="I34" s="196">
        <f>FSS!F34/1000</f>
        <v>0</v>
      </c>
      <c r="J34" s="196">
        <f>PřF!F34/1000</f>
        <v>0</v>
      </c>
      <c r="K34" s="196">
        <f>'FI'!F34/1000</f>
        <v>0</v>
      </c>
      <c r="L34" s="196">
        <f>PdF!F34/1000</f>
        <v>0</v>
      </c>
      <c r="M34" s="196">
        <f>FSpS!F34/1000</f>
        <v>0</v>
      </c>
      <c r="N34" s="196">
        <f>ESF!F34/1000</f>
        <v>0</v>
      </c>
      <c r="O34" s="105">
        <f t="shared" si="5"/>
        <v>0</v>
      </c>
      <c r="P34" s="342"/>
      <c r="Q34" s="103">
        <f>LF!H34/1000+'FF'!H34/1000+PrF!H34/1000+FSS!H34/1000+PřF!H34/1000+'FI'!H34/1000+PdF!H34/1000+FSpS!H34/1000+ESF!H34/1000</f>
        <v>0</v>
      </c>
      <c r="R34" s="104">
        <f>LF!I34/1000+'FF'!I34/1000+PrF!I34/1000+FSS!I34/1000+PřF!I34/1000+'FI'!I34/1000+PdF!I34/1000+FSpS!I34/1000+ESF!I34/1000</f>
        <v>0</v>
      </c>
      <c r="S34" s="104">
        <f>LF!J34/1000+'FF'!J34/1000+PrF!J34/1000+FSS!J34/1000+PřF!J34/1000+'FI'!J34/1000+PdF!J34/1000+FSpS!J34/1000+ESF!J34/1000</f>
        <v>0</v>
      </c>
      <c r="T34" s="104">
        <f>LF!K34/1000+'FF'!K34/1000+PrF!K34/1000+FSS!K34/1000+PřF!K34/1000+'FI'!K34/1000+PdF!K34/1000+FSpS!K34/1000+ESF!K34/1000</f>
        <v>0</v>
      </c>
      <c r="U34" s="104">
        <f>LF!L34/1000+'FF'!L34/1000+PrF!L34/1000+FSS!L34/1000+PřF!L34/1000+'FI'!L34/1000+PdF!L34/1000+FSpS!L34/1000+ESF!L34/1000</f>
        <v>0</v>
      </c>
      <c r="V34" s="157">
        <f>LF!M34/1000+'FF'!M34/1000+PrF!M34/1000+FSS!M34/1000+PřF!M34/1000+'FI'!M34/1000+PdF!M34/1000+FSpS!M34/1000+ESF!M34/1000</f>
        <v>0</v>
      </c>
      <c r="W34" s="105">
        <f>(LF!N34+'FF'!N34+PrF!N34+FSS!N34+PřF!N34+'FI'!N34+PdF!N34+FSpS!N34+ESF!N34)/1000</f>
        <v>0</v>
      </c>
      <c r="X34" s="538"/>
      <c r="Y34" s="527"/>
      <c r="Z34" s="527"/>
    </row>
    <row r="35" spans="1:26" s="25" customFormat="1" ht="12">
      <c r="A35" s="21"/>
      <c r="B35" s="31" t="s">
        <v>36</v>
      </c>
      <c r="C35" s="31"/>
      <c r="D35" s="31"/>
      <c r="E35" s="352">
        <v>33</v>
      </c>
      <c r="F35" s="103">
        <f>LF!F35/1000</f>
        <v>0</v>
      </c>
      <c r="G35" s="196">
        <f>'FF'!F35/1000</f>
        <v>500</v>
      </c>
      <c r="H35" s="196">
        <f>PrF!F35/1000</f>
        <v>0</v>
      </c>
      <c r="I35" s="196">
        <f>FSS!F35/1000</f>
        <v>0</v>
      </c>
      <c r="J35" s="196">
        <f>PřF!F35/1000</f>
        <v>3000</v>
      </c>
      <c r="K35" s="196">
        <f>'FI'!F35/1000</f>
        <v>0</v>
      </c>
      <c r="L35" s="196">
        <f>PdF!F35/1000</f>
        <v>287</v>
      </c>
      <c r="M35" s="196">
        <f>FSpS!F35/1000</f>
        <v>738</v>
      </c>
      <c r="N35" s="196">
        <f>ESF!F35/1000</f>
        <v>100</v>
      </c>
      <c r="O35" s="105">
        <f t="shared" si="5"/>
        <v>4625</v>
      </c>
      <c r="P35" s="342"/>
      <c r="Q35" s="103">
        <f>LF!H35/1000+'FF'!H35/1000+PrF!H35/1000+FSS!H35/1000+PřF!H35/1000+'FI'!H35/1000+PdF!H35/1000+FSpS!H35/1000+ESF!H35/1000</f>
        <v>4625</v>
      </c>
      <c r="R35" s="104">
        <f>LF!I35/1000+'FF'!I35/1000+PrF!I35/1000+FSS!I35/1000+PřF!I35/1000+'FI'!I35/1000+PdF!I35/1000+FSpS!I35/1000+ESF!I35/1000</f>
        <v>0</v>
      </c>
      <c r="S35" s="104">
        <f>LF!J35/1000+'FF'!J35/1000+PrF!J35/1000+FSS!J35/1000+PřF!J35/1000+'FI'!J35/1000+PdF!J35/1000+FSpS!J35/1000+ESF!J35/1000</f>
        <v>0</v>
      </c>
      <c r="T35" s="104">
        <f>LF!K35/1000+'FF'!K35/1000+PrF!K35/1000+FSS!K35/1000+PřF!K35/1000+'FI'!K35/1000+PdF!K35/1000+FSpS!K35/1000+ESF!K35/1000</f>
        <v>0</v>
      </c>
      <c r="U35" s="104">
        <f>LF!L35/1000+'FF'!L35/1000+PrF!L35/1000+FSS!L35/1000+PřF!L35/1000+'FI'!L35/1000+PdF!L35/1000+FSpS!L35/1000+ESF!L35/1000</f>
        <v>0</v>
      </c>
      <c r="V35" s="157">
        <f>LF!M35/1000+'FF'!M35/1000+PrF!M35/1000+FSS!M35/1000+PřF!M35/1000+'FI'!M35/1000+PdF!M35/1000+FSpS!M35/1000+ESF!M35/1000</f>
        <v>0</v>
      </c>
      <c r="W35" s="105">
        <f>(LF!N35+'FF'!N35+PrF!N35+FSS!N35+PřF!N35+'FI'!N35+PdF!N35+FSpS!N35+ESF!N35)/1000</f>
        <v>3619.5899999999997</v>
      </c>
      <c r="X35" s="538"/>
      <c r="Y35" s="527"/>
      <c r="Z35" s="527"/>
    </row>
    <row r="36" spans="1:26" s="25" customFormat="1" ht="12">
      <c r="A36" s="21"/>
      <c r="B36" s="31" t="s">
        <v>38</v>
      </c>
      <c r="C36" s="31"/>
      <c r="D36" s="31"/>
      <c r="E36" s="352">
        <v>34</v>
      </c>
      <c r="F36" s="103">
        <f>LF!F36/1000</f>
        <v>0</v>
      </c>
      <c r="G36" s="196">
        <f>'FF'!F36/1000</f>
        <v>3939</v>
      </c>
      <c r="H36" s="196">
        <f>PrF!F36/1000</f>
        <v>0</v>
      </c>
      <c r="I36" s="196">
        <f>FSS!F36/1000</f>
        <v>9000</v>
      </c>
      <c r="J36" s="196">
        <f>PřF!F36/1000</f>
        <v>0</v>
      </c>
      <c r="K36" s="196">
        <f>'FI'!F36/1000</f>
        <v>0</v>
      </c>
      <c r="L36" s="196">
        <f>PdF!F36/1000</f>
        <v>3000</v>
      </c>
      <c r="M36" s="196">
        <f>FSpS!F36/1000</f>
        <v>0</v>
      </c>
      <c r="N36" s="196">
        <f>ESF!F36/1000</f>
        <v>0</v>
      </c>
      <c r="O36" s="105">
        <f t="shared" si="5"/>
        <v>15939</v>
      </c>
      <c r="P36" s="342"/>
      <c r="Q36" s="103">
        <f>LF!H36/1000+'FF'!H36/1000+PrF!H36/1000+FSS!H36/1000+PřF!H36/1000+'FI'!H36/1000+PdF!H36/1000+FSpS!H36/1000+ESF!H36/1000</f>
        <v>15500</v>
      </c>
      <c r="R36" s="104">
        <f>LF!I36/1000+'FF'!I36/1000+PrF!I36/1000+FSS!I36/1000+PřF!I36/1000+'FI'!I36/1000+PdF!I36/1000+FSpS!I36/1000+ESF!I36/1000</f>
        <v>0</v>
      </c>
      <c r="S36" s="104">
        <f>LF!J36/1000+'FF'!J36/1000+PrF!J36/1000+FSS!J36/1000+PřF!J36/1000+'FI'!J36/1000+PdF!J36/1000+FSpS!J36/1000+ESF!J36/1000</f>
        <v>439</v>
      </c>
      <c r="T36" s="104">
        <f>LF!K36/1000+'FF'!K36/1000+PrF!K36/1000+FSS!K36/1000+PřF!K36/1000+'FI'!K36/1000+PdF!K36/1000+FSpS!K36/1000+ESF!K36/1000</f>
        <v>0</v>
      </c>
      <c r="U36" s="104">
        <f>LF!L36/1000+'FF'!L36/1000+PrF!L36/1000+FSS!L36/1000+PřF!L36/1000+'FI'!L36/1000+PdF!L36/1000+FSpS!L36/1000+ESF!L36/1000</f>
        <v>0</v>
      </c>
      <c r="V36" s="157">
        <f>LF!M36/1000+'FF'!M36/1000+PrF!M36/1000+FSS!M36/1000+PřF!M36/1000+'FI'!M36/1000+PdF!M36/1000+FSpS!M36/1000+ESF!M36/1000</f>
        <v>0</v>
      </c>
      <c r="W36" s="105">
        <f>(LF!N36+'FF'!N36+PrF!N36+FSS!N36+PřF!N36+'FI'!N36+PdF!N36+FSpS!N36+ESF!N36)/1000</f>
        <v>4457.26271</v>
      </c>
      <c r="X36" s="538"/>
      <c r="Y36" s="527"/>
      <c r="Z36" s="527"/>
    </row>
    <row r="37" spans="1:26" s="25" customFormat="1" ht="12">
      <c r="A37" s="21"/>
      <c r="B37" s="31" t="s">
        <v>56</v>
      </c>
      <c r="C37" s="31"/>
      <c r="D37" s="31"/>
      <c r="E37" s="352">
        <v>35</v>
      </c>
      <c r="F37" s="103">
        <f>LF!F37/1000</f>
        <v>0</v>
      </c>
      <c r="G37" s="196">
        <f>'FF'!F37/1000</f>
        <v>4200</v>
      </c>
      <c r="H37" s="196">
        <f>PrF!F37/1000</f>
        <v>150</v>
      </c>
      <c r="I37" s="196">
        <f>FSS!F37/1000</f>
        <v>1490</v>
      </c>
      <c r="J37" s="196">
        <f>PřF!F37/1000</f>
        <v>5298</v>
      </c>
      <c r="K37" s="196">
        <f>'FI'!F37/1000</f>
        <v>1930</v>
      </c>
      <c r="L37" s="196">
        <f>PdF!F37/1000</f>
        <v>1123.571</v>
      </c>
      <c r="M37" s="196">
        <f>FSpS!F37/1000</f>
        <v>3500</v>
      </c>
      <c r="N37" s="196">
        <f>ESF!F37/1000</f>
        <v>0</v>
      </c>
      <c r="O37" s="105">
        <f t="shared" si="5"/>
        <v>17691.571</v>
      </c>
      <c r="P37" s="342"/>
      <c r="Q37" s="103">
        <f>LF!H37/1000+'FF'!H37/1000+PrF!H37/1000+FSS!H37/1000+PřF!H37/1000+'FI'!H37/1000+PdF!H37/1000+FSpS!H37/1000+ESF!H37/1000</f>
        <v>16680</v>
      </c>
      <c r="R37" s="104">
        <f>LF!I37/1000+'FF'!I37/1000+PrF!I37/1000+FSS!I37/1000+PřF!I37/1000+'FI'!I37/1000+PdF!I37/1000+FSpS!I37/1000+ESF!I37/1000</f>
        <v>0</v>
      </c>
      <c r="S37" s="104">
        <f>LF!J37/1000+'FF'!J37/1000+PrF!J37/1000+FSS!J37/1000+PřF!J37/1000+'FI'!J37/1000+PdF!J37/1000+FSpS!J37/1000+ESF!J37/1000</f>
        <v>1011.571</v>
      </c>
      <c r="T37" s="104">
        <f>LF!K37/1000+'FF'!K37/1000+PrF!K37/1000+FSS!K37/1000+PřF!K37/1000+'FI'!K37/1000+PdF!K37/1000+FSpS!K37/1000+ESF!K37/1000</f>
        <v>0</v>
      </c>
      <c r="U37" s="104">
        <f>LF!L37/1000+'FF'!L37/1000+PrF!L37/1000+FSS!L37/1000+PřF!L37/1000+'FI'!L37/1000+PdF!L37/1000+FSpS!L37/1000+ESF!L37/1000</f>
        <v>0</v>
      </c>
      <c r="V37" s="157">
        <f>LF!M37/1000+'FF'!M37/1000+PrF!M37/1000+FSS!M37/1000+PřF!M37/1000+'FI'!M37/1000+PdF!M37/1000+FSpS!M37/1000+ESF!M37/1000</f>
        <v>0</v>
      </c>
      <c r="W37" s="105">
        <f>(LF!N37+'FF'!N37+PrF!N37+FSS!N37+PřF!N37+'FI'!N37+PdF!N37+FSpS!N37+ESF!N37)/1000</f>
        <v>20173.36875</v>
      </c>
      <c r="X37" s="538"/>
      <c r="Y37" s="527"/>
      <c r="Z37" s="527"/>
    </row>
    <row r="38" spans="1:26" s="25" customFormat="1" ht="12">
      <c r="A38" s="21"/>
      <c r="B38" s="31" t="s">
        <v>57</v>
      </c>
      <c r="C38" s="31"/>
      <c r="D38" s="31"/>
      <c r="E38" s="352">
        <v>36</v>
      </c>
      <c r="F38" s="103">
        <f>LF!F38/1000</f>
        <v>28783</v>
      </c>
      <c r="G38" s="196">
        <f>'FF'!F38/1000</f>
        <v>13905</v>
      </c>
      <c r="H38" s="196">
        <f>PrF!F38/1000</f>
        <v>2378</v>
      </c>
      <c r="I38" s="196">
        <f>FSS!F38/1000</f>
        <v>9191</v>
      </c>
      <c r="J38" s="196">
        <f>PřF!F38/1000</f>
        <v>51176</v>
      </c>
      <c r="K38" s="196">
        <f>'FI'!F38/1000</f>
        <v>7320</v>
      </c>
      <c r="L38" s="196">
        <f>PdF!F38/1000</f>
        <v>5544</v>
      </c>
      <c r="M38" s="196">
        <f>FSpS!F38/1000</f>
        <v>254</v>
      </c>
      <c r="N38" s="196">
        <f>ESF!F38/1000</f>
        <v>5213</v>
      </c>
      <c r="O38" s="105">
        <f t="shared" si="5"/>
        <v>123764</v>
      </c>
      <c r="P38" s="342"/>
      <c r="Q38" s="103">
        <f>LF!H38/1000+'FF'!H38/1000+PrF!H38/1000+FSS!H38/1000+PřF!H38/1000+'FI'!H38/1000+PdF!H38/1000+FSpS!H38/1000+ESF!H38/1000</f>
        <v>123764</v>
      </c>
      <c r="R38" s="104">
        <f>LF!I38/1000+'FF'!I38/1000+PrF!I38/1000+FSS!I38/1000+PřF!I38/1000+'FI'!I38/1000+PdF!I38/1000+FSpS!I38/1000+ESF!I38/1000</f>
        <v>0</v>
      </c>
      <c r="S38" s="104">
        <f>LF!J38/1000+'FF'!J38/1000+PrF!J38/1000+FSS!J38/1000+PřF!J38/1000+'FI'!J38/1000+PdF!J38/1000+FSpS!J38/1000+ESF!J38/1000</f>
        <v>0</v>
      </c>
      <c r="T38" s="104">
        <f>LF!K38/1000+'FF'!K38/1000+PrF!K38/1000+FSS!K38/1000+PřF!K38/1000+'FI'!K38/1000+PdF!K38/1000+FSpS!K38/1000+ESF!K38/1000</f>
        <v>0</v>
      </c>
      <c r="U38" s="104">
        <f>LF!L38/1000+'FF'!L38/1000+PrF!L38/1000+FSS!L38/1000+PřF!L38/1000+'FI'!L38/1000+PdF!L38/1000+FSpS!L38/1000+ESF!L38/1000</f>
        <v>0</v>
      </c>
      <c r="V38" s="157">
        <f>LF!M38/1000+'FF'!M38/1000+PrF!M38/1000+FSS!M38/1000+PřF!M38/1000+'FI'!M38/1000+PdF!M38/1000+FSpS!M38/1000+ESF!M38/1000</f>
        <v>0</v>
      </c>
      <c r="W38" s="105">
        <f>(LF!N38+'FF'!N38+PrF!N38+FSS!N38+PřF!N38+'FI'!N38+PdF!N38+FSpS!N38+ESF!N38)/1000</f>
        <v>121970</v>
      </c>
      <c r="X38" s="538"/>
      <c r="Y38" s="527"/>
      <c r="Z38" s="527"/>
    </row>
    <row r="39" spans="1:26" s="25" customFormat="1" ht="12">
      <c r="A39" s="21"/>
      <c r="B39" s="31" t="s">
        <v>59</v>
      </c>
      <c r="C39" s="31"/>
      <c r="D39" s="31"/>
      <c r="E39" s="352">
        <v>37</v>
      </c>
      <c r="F39" s="103">
        <f>LF!F39/1000</f>
        <v>58803</v>
      </c>
      <c r="G39" s="196">
        <f>'FF'!F39/1000</f>
        <v>34238</v>
      </c>
      <c r="H39" s="196">
        <f>PrF!F39/1000</f>
        <v>6920</v>
      </c>
      <c r="I39" s="196">
        <f>FSS!F39/1000</f>
        <v>32111</v>
      </c>
      <c r="J39" s="196">
        <f>PřF!F39/1000</f>
        <v>165512</v>
      </c>
      <c r="K39" s="196">
        <f>'FI'!F39/1000</f>
        <v>12408</v>
      </c>
      <c r="L39" s="196">
        <f>PdF!F39/1000</f>
        <v>20514.868</v>
      </c>
      <c r="M39" s="196">
        <f>FSpS!F39/1000</f>
        <v>0</v>
      </c>
      <c r="N39" s="196">
        <f>ESF!F39/1000</f>
        <v>320</v>
      </c>
      <c r="O39" s="105">
        <f t="shared" si="5"/>
        <v>330826.868</v>
      </c>
      <c r="P39" s="342"/>
      <c r="Q39" s="103">
        <f>LF!H39/1000+'FF'!H39/1000+PrF!H39/1000+FSS!H39/1000+PřF!H39/1000+'FI'!H39/1000+PdF!H39/1000+FSpS!H39/1000+ESF!H39/1000</f>
        <v>322912</v>
      </c>
      <c r="R39" s="104">
        <f>LF!I39/1000+'FF'!I39/1000+PrF!I39/1000+FSS!I39/1000+PřF!I39/1000+'FI'!I39/1000+PdF!I39/1000+FSpS!I39/1000+ESF!I39/1000</f>
        <v>0</v>
      </c>
      <c r="S39" s="104">
        <f>LF!J39/1000+'FF'!J39/1000+PrF!J39/1000+FSS!J39/1000+PřF!J39/1000+'FI'!J39/1000+PdF!J39/1000+FSpS!J39/1000+ESF!J39/1000</f>
        <v>7914.868</v>
      </c>
      <c r="T39" s="104">
        <f>LF!K39/1000+'FF'!K39/1000+PrF!K39/1000+FSS!K39/1000+PřF!K39/1000+'FI'!K39/1000+PdF!K39/1000+FSpS!K39/1000+ESF!K39/1000</f>
        <v>0</v>
      </c>
      <c r="U39" s="104">
        <f>LF!L39/1000+'FF'!L39/1000+PrF!L39/1000+FSS!L39/1000+PřF!L39/1000+'FI'!L39/1000+PdF!L39/1000+FSpS!L39/1000+ESF!L39/1000</f>
        <v>0</v>
      </c>
      <c r="V39" s="157">
        <f>LF!M39/1000+'FF'!M39/1000+PrF!M39/1000+FSS!M39/1000+PřF!M39/1000+'FI'!M39/1000+PdF!M39/1000+FSpS!M39/1000+ESF!M39/1000</f>
        <v>0</v>
      </c>
      <c r="W39" s="105">
        <f>(LF!N39+'FF'!N39+PrF!N39+FSS!N39+PřF!N39+'FI'!N39+PdF!N39+FSpS!N39+ESF!N39)/1000</f>
        <v>323251.99186</v>
      </c>
      <c r="X39" s="538"/>
      <c r="Y39" s="527"/>
      <c r="Z39" s="527"/>
    </row>
    <row r="40" spans="1:26" s="25" customFormat="1" ht="12">
      <c r="A40" s="21"/>
      <c r="B40" s="31" t="s">
        <v>60</v>
      </c>
      <c r="C40" s="31"/>
      <c r="D40" s="31"/>
      <c r="E40" s="352">
        <v>38</v>
      </c>
      <c r="F40" s="103">
        <f>LF!F40/1000</f>
        <v>65568</v>
      </c>
      <c r="G40" s="196">
        <f>'FF'!F40/1000</f>
        <v>16014</v>
      </c>
      <c r="H40" s="196">
        <f>PrF!F40/1000</f>
        <v>569</v>
      </c>
      <c r="I40" s="196">
        <f>FSS!F40/1000</f>
        <v>10267</v>
      </c>
      <c r="J40" s="196">
        <f>PřF!F40/1000</f>
        <v>131236</v>
      </c>
      <c r="K40" s="196">
        <f>'FI'!F40/1000</f>
        <v>19856</v>
      </c>
      <c r="L40" s="196">
        <f>PdF!F40/1000</f>
        <v>7700</v>
      </c>
      <c r="M40" s="196">
        <f>FSpS!F40/1000</f>
        <v>743</v>
      </c>
      <c r="N40" s="196">
        <f>ESF!F40/1000</f>
        <v>24919</v>
      </c>
      <c r="O40" s="105">
        <f t="shared" si="5"/>
        <v>276872</v>
      </c>
      <c r="P40" s="342"/>
      <c r="Q40" s="103">
        <f>LF!H40/1000+'FF'!H40/1000+PrF!H40/1000+FSS!H40/1000+PřF!H40/1000+'FI'!H40/1000+PdF!H40/1000+FSpS!H40/1000+ESF!H40/1000</f>
        <v>274774</v>
      </c>
      <c r="R40" s="104">
        <f>LF!I40/1000+'FF'!I40/1000+PrF!I40/1000+FSS!I40/1000+PřF!I40/1000+'FI'!I40/1000+PdF!I40/1000+FSpS!I40/1000+ESF!I40/1000</f>
        <v>0</v>
      </c>
      <c r="S40" s="104">
        <f>LF!J40/1000+'FF'!J40/1000+PrF!J40/1000+FSS!J40/1000+PřF!J40/1000+'FI'!J40/1000+PdF!J40/1000+FSpS!J40/1000+ESF!J40/1000</f>
        <v>2098</v>
      </c>
      <c r="T40" s="104">
        <f>LF!K40/1000+'FF'!K40/1000+PrF!K40/1000+FSS!K40/1000+PřF!K40/1000+'FI'!K40/1000+PdF!K40/1000+FSpS!K40/1000+ESF!K40/1000</f>
        <v>0</v>
      </c>
      <c r="U40" s="104">
        <f>LF!L40/1000+'FF'!L40/1000+PrF!L40/1000+FSS!L40/1000+PřF!L40/1000+'FI'!L40/1000+PdF!L40/1000+FSpS!L40/1000+ESF!L40/1000</f>
        <v>0</v>
      </c>
      <c r="V40" s="157">
        <f>LF!M40/1000+'FF'!M40/1000+PrF!M40/1000+FSS!M40/1000+PřF!M40/1000+'FI'!M40/1000+PdF!M40/1000+FSpS!M40/1000+ESF!M40/1000</f>
        <v>0</v>
      </c>
      <c r="W40" s="105">
        <f>(LF!N40+'FF'!N40+PrF!N40+FSS!N40+PřF!N40+'FI'!N40+PdF!N40+FSpS!N40+ESF!N40)/1000</f>
        <v>282839.95666</v>
      </c>
      <c r="X40" s="538"/>
      <c r="Y40" s="527"/>
      <c r="Z40" s="527"/>
    </row>
    <row r="41" spans="1:26" s="25" customFormat="1" ht="12">
      <c r="A41" s="21"/>
      <c r="B41" s="31" t="s">
        <v>45</v>
      </c>
      <c r="C41" s="31"/>
      <c r="D41" s="31"/>
      <c r="E41" s="352">
        <v>39</v>
      </c>
      <c r="F41" s="103">
        <f>LF!F41/1000</f>
        <v>1235</v>
      </c>
      <c r="G41" s="196">
        <f>'FF'!F41/1000</f>
        <v>433</v>
      </c>
      <c r="H41" s="196">
        <f>PrF!F41/1000</f>
        <v>0</v>
      </c>
      <c r="I41" s="196">
        <f>FSS!F41/1000</f>
        <v>2322</v>
      </c>
      <c r="J41" s="196">
        <f>PřF!F41/1000</f>
        <v>54665</v>
      </c>
      <c r="K41" s="196">
        <f>'FI'!F41/1000</f>
        <v>2174</v>
      </c>
      <c r="L41" s="196">
        <f>PdF!F41/1000</f>
        <v>0</v>
      </c>
      <c r="M41" s="196">
        <f>FSpS!F41/1000</f>
        <v>5572</v>
      </c>
      <c r="N41" s="196">
        <f>ESF!F41/1000</f>
        <v>0</v>
      </c>
      <c r="O41" s="105">
        <f t="shared" si="5"/>
        <v>66401</v>
      </c>
      <c r="P41" s="342"/>
      <c r="Q41" s="103">
        <f>LF!H41/1000+'FF'!H41/1000+PrF!H41/1000+FSS!H41/1000+PřF!H41/1000+'FI'!H41/1000+PdF!H41/1000+FSpS!H41/1000+ESF!H41/1000</f>
        <v>48307</v>
      </c>
      <c r="R41" s="104">
        <f>LF!I41/1000+'FF'!I41/1000+PrF!I41/1000+FSS!I41/1000+PřF!I41/1000+'FI'!I41/1000+PdF!I41/1000+FSpS!I41/1000+ESF!I41/1000</f>
        <v>0</v>
      </c>
      <c r="S41" s="104">
        <f>LF!J41/1000+'FF'!J41/1000+PrF!J41/1000+FSS!J41/1000+PřF!J41/1000+'FI'!J41/1000+PdF!J41/1000+FSpS!J41/1000+ESF!J41/1000</f>
        <v>18094</v>
      </c>
      <c r="T41" s="104">
        <f>LF!K41/1000+'FF'!K41/1000+PrF!K41/1000+FSS!K41/1000+PřF!K41/1000+'FI'!K41/1000+PdF!K41/1000+FSpS!K41/1000+ESF!K41/1000</f>
        <v>0</v>
      </c>
      <c r="U41" s="104">
        <f>LF!L41/1000+'FF'!L41/1000+PrF!L41/1000+FSS!L41/1000+PřF!L41/1000+'FI'!L41/1000+PdF!L41/1000+FSpS!L41/1000+ESF!L41/1000</f>
        <v>0</v>
      </c>
      <c r="V41" s="157">
        <f>LF!M41/1000+'FF'!M41/1000+PrF!M41/1000+FSS!M41/1000+PřF!M41/1000+'FI'!M41/1000+PdF!M41/1000+FSpS!M41/1000+ESF!M41/1000</f>
        <v>0</v>
      </c>
      <c r="W41" s="105">
        <f>(LF!N41+'FF'!N41+PrF!N41+FSS!N41+PřF!N41+'FI'!N41+PdF!N41+FSpS!N41+ESF!N41)/1000</f>
        <v>47404.32741</v>
      </c>
      <c r="X41" s="538"/>
      <c r="Y41" s="527"/>
      <c r="Z41" s="527"/>
    </row>
    <row r="42" spans="1:26" s="25" customFormat="1" ht="12">
      <c r="A42" s="21"/>
      <c r="B42" s="31" t="s">
        <v>61</v>
      </c>
      <c r="C42" s="31"/>
      <c r="D42" s="31"/>
      <c r="E42" s="352">
        <v>40</v>
      </c>
      <c r="F42" s="103">
        <f>LF!F42/1000</f>
        <v>9867</v>
      </c>
      <c r="G42" s="196">
        <f>'FF'!F42/1000</f>
        <v>650</v>
      </c>
      <c r="H42" s="196">
        <f>PrF!F42/1000</f>
        <v>0</v>
      </c>
      <c r="I42" s="196">
        <f>FSS!F42/1000</f>
        <v>1100</v>
      </c>
      <c r="J42" s="196">
        <f>PřF!F42/1000</f>
        <v>18148</v>
      </c>
      <c r="K42" s="196">
        <f>'FI'!F42/1000</f>
        <v>10589</v>
      </c>
      <c r="L42" s="196">
        <f>PdF!F42/1000</f>
        <v>0</v>
      </c>
      <c r="M42" s="196">
        <f>FSpS!F42/1000</f>
        <v>0</v>
      </c>
      <c r="N42" s="196">
        <f>ESF!F42/1000</f>
        <v>0</v>
      </c>
      <c r="O42" s="105">
        <f t="shared" si="5"/>
        <v>40354</v>
      </c>
      <c r="P42" s="342"/>
      <c r="Q42" s="103">
        <f>LF!H42/1000+'FF'!H42/1000+PrF!H42/1000+FSS!H42/1000+PřF!H42/1000+'FI'!H42/1000+PdF!H42/1000+FSpS!H42/1000+ESF!H42/1000</f>
        <v>39520</v>
      </c>
      <c r="R42" s="104">
        <f>LF!I42/1000+'FF'!I42/1000+PrF!I42/1000+FSS!I42/1000+PřF!I42/1000+'FI'!I42/1000+PdF!I42/1000+FSpS!I42/1000+ESF!I42/1000</f>
        <v>0</v>
      </c>
      <c r="S42" s="104">
        <f>LF!J42/1000+'FF'!J42/1000+PrF!J42/1000+FSS!J42/1000+PřF!J42/1000+'FI'!J42/1000+PdF!J42/1000+FSpS!J42/1000+ESF!J42/1000</f>
        <v>834</v>
      </c>
      <c r="T42" s="104">
        <f>LF!K42/1000+'FF'!K42/1000+PrF!K42/1000+FSS!K42/1000+PřF!K42/1000+'FI'!K42/1000+PdF!K42/1000+FSpS!K42/1000+ESF!K42/1000</f>
        <v>0</v>
      </c>
      <c r="U42" s="104">
        <f>LF!L42/1000+'FF'!L42/1000+PrF!L42/1000+FSS!L42/1000+PřF!L42/1000+'FI'!L42/1000+PdF!L42/1000+FSpS!L42/1000+ESF!L42/1000</f>
        <v>0</v>
      </c>
      <c r="V42" s="157">
        <f>LF!M42/1000+'FF'!M42/1000+PrF!M42/1000+FSS!M42/1000+PřF!M42/1000+'FI'!M42/1000+PdF!M42/1000+FSpS!M42/1000+ESF!M42/1000</f>
        <v>0</v>
      </c>
      <c r="W42" s="105">
        <f>(LF!N42+'FF'!N42+PrF!N42+FSS!N42+PřF!N42+'FI'!N42+PdF!N42+FSpS!N42+ESF!N42)/1000</f>
        <v>37743.18894000001</v>
      </c>
      <c r="X42" s="538"/>
      <c r="Y42" s="527"/>
      <c r="Z42" s="527"/>
    </row>
    <row r="43" spans="1:26" s="25" customFormat="1" ht="12">
      <c r="A43" s="21"/>
      <c r="B43" s="31" t="s">
        <v>62</v>
      </c>
      <c r="C43" s="31"/>
      <c r="D43" s="31"/>
      <c r="E43" s="352">
        <v>41</v>
      </c>
      <c r="F43" s="103">
        <f>LF!F43/1000</f>
        <v>111569</v>
      </c>
      <c r="G43" s="196">
        <f>'FF'!F43/1000</f>
        <v>29184</v>
      </c>
      <c r="H43" s="196">
        <f>PrF!F43/1000</f>
        <v>36000</v>
      </c>
      <c r="I43" s="196">
        <f>FSS!F43/1000</f>
        <v>17166</v>
      </c>
      <c r="J43" s="196">
        <f>PřF!F43/1000</f>
        <v>85373</v>
      </c>
      <c r="K43" s="196">
        <f>'FI'!F43/1000</f>
        <v>20984</v>
      </c>
      <c r="L43" s="196">
        <f>PdF!F43/1000</f>
        <v>32800</v>
      </c>
      <c r="M43" s="196">
        <f>FSpS!F43/1000</f>
        <v>10740</v>
      </c>
      <c r="N43" s="196">
        <f>ESF!F43/1000</f>
        <v>12715</v>
      </c>
      <c r="O43" s="105">
        <f t="shared" si="5"/>
        <v>356531</v>
      </c>
      <c r="P43" s="342"/>
      <c r="Q43" s="103">
        <f>LF!H43/1000+'FF'!H43/1000+PrF!H43/1000+FSS!H43/1000+PřF!H43/1000+'FI'!H43/1000+PdF!H43/1000+FSpS!H43/1000+ESF!H43/1000</f>
        <v>354750</v>
      </c>
      <c r="R43" s="104">
        <f>LF!I43/1000+'FF'!I43/1000+PrF!I43/1000+FSS!I43/1000+PřF!I43/1000+'FI'!I43/1000+PdF!I43/1000+FSpS!I43/1000+ESF!I43/1000</f>
        <v>0</v>
      </c>
      <c r="S43" s="104">
        <f>LF!J43/1000+'FF'!J43/1000+PrF!J43/1000+FSS!J43/1000+PřF!J43/1000+'FI'!J43/1000+PdF!J43/1000+FSpS!J43/1000+ESF!J43/1000</f>
        <v>1781</v>
      </c>
      <c r="T43" s="104">
        <f>LF!K43/1000+'FF'!K43/1000+PrF!K43/1000+FSS!K43/1000+PřF!K43/1000+'FI'!K43/1000+PdF!K43/1000+FSpS!K43/1000+ESF!K43/1000</f>
        <v>0</v>
      </c>
      <c r="U43" s="104">
        <f>LF!L43/1000+'FF'!L43/1000+PrF!L43/1000+FSS!L43/1000+PřF!L43/1000+'FI'!L43/1000+PdF!L43/1000+FSpS!L43/1000+ESF!L43/1000</f>
        <v>0</v>
      </c>
      <c r="V43" s="157">
        <f>LF!M43/1000+'FF'!M43/1000+PrF!M43/1000+FSS!M43/1000+PřF!M43/1000+'FI'!M43/1000+PdF!M43/1000+FSpS!M43/1000+ESF!M43/1000</f>
        <v>0</v>
      </c>
      <c r="W43" s="105">
        <f>(LF!N43+'FF'!N43+PrF!N43+FSS!N43+PřF!N43+'FI'!N43+PdF!N43+FSpS!N43+ESF!N43)/1000</f>
        <v>361352.2001</v>
      </c>
      <c r="X43" s="538"/>
      <c r="Y43" s="527"/>
      <c r="Z43" s="527"/>
    </row>
    <row r="44" spans="1:26" s="25" customFormat="1" ht="12">
      <c r="A44" s="21"/>
      <c r="B44" s="31" t="s">
        <v>63</v>
      </c>
      <c r="C44" s="31"/>
      <c r="D44" s="31"/>
      <c r="E44" s="352">
        <v>42</v>
      </c>
      <c r="F44" s="103">
        <f>LF!F44/1000</f>
        <v>25559</v>
      </c>
      <c r="G44" s="196">
        <f>'FF'!F44/1000</f>
        <v>11192</v>
      </c>
      <c r="H44" s="196">
        <f>PrF!F44/1000</f>
        <v>3265</v>
      </c>
      <c r="I44" s="196">
        <f>FSS!F44/1000</f>
        <v>9362</v>
      </c>
      <c r="J44" s="196">
        <f>PřF!F44/1000</f>
        <v>19731</v>
      </c>
      <c r="K44" s="196">
        <f>'FI'!F44/1000</f>
        <v>12636</v>
      </c>
      <c r="L44" s="196">
        <f>PdF!F44/1000</f>
        <v>2361.263</v>
      </c>
      <c r="M44" s="196">
        <f>FSpS!F44/1000</f>
        <v>2970</v>
      </c>
      <c r="N44" s="196">
        <f>ESF!F44/1000</f>
        <v>5798</v>
      </c>
      <c r="O44" s="105">
        <f t="shared" si="5"/>
        <v>92874.263</v>
      </c>
      <c r="P44" s="342"/>
      <c r="Q44" s="103"/>
      <c r="R44" s="104">
        <f>LF!I44/1000+'FF'!I44/1000+PrF!I44/1000+FSS!I44/1000+PřF!I44/1000+'FI'!I44/1000+PdF!I44/1000+FSpS!I44/1000+ESF!I44/1000</f>
        <v>55732.263</v>
      </c>
      <c r="S44" s="104">
        <f>LF!J44/1000+'FF'!J44/1000+PrF!J44/1000+FSS!J44/1000+PřF!J44/1000+'FI'!J44/1000+PdF!J44/1000+FSpS!J44/1000+ESF!J44/1000</f>
        <v>0</v>
      </c>
      <c r="T44" s="104">
        <f>LF!K44/1000+'FF'!K44/1000+PrF!K44/1000+FSS!K44/1000+PřF!K44/1000+'FI'!K44/1000+PdF!K44/1000+FSpS!K44/1000+ESF!K44/1000</f>
        <v>0</v>
      </c>
      <c r="U44" s="104">
        <f>LF!L44/1000+'FF'!L44/1000+PrF!L44/1000+FSS!L44/1000+PřF!L44/1000+'FI'!L44/1000+PdF!L44/1000+FSpS!L44/1000+ESF!L44/1000</f>
        <v>12487</v>
      </c>
      <c r="V44" s="157">
        <f>LF!M44/1000+'FF'!M44/1000+PrF!M44/1000+FSS!M44/1000+PřF!M44/1000+'FI'!M44/1000+PdF!M44/1000+FSpS!M44/1000+ESF!M44/1000</f>
        <v>24655</v>
      </c>
      <c r="W44" s="105">
        <f>(LF!N44+'FF'!N44+PrF!N44+FSS!N44+PřF!N44+'FI'!N44+PdF!N44+FSpS!N44+ESF!N44)/1000</f>
        <v>73825.70117</v>
      </c>
      <c r="X44" s="538"/>
      <c r="Y44" s="527"/>
      <c r="Z44" s="527"/>
    </row>
    <row r="45" spans="1:26" s="25" customFormat="1" ht="12">
      <c r="A45" s="40"/>
      <c r="B45" s="41" t="s">
        <v>49</v>
      </c>
      <c r="C45" s="41"/>
      <c r="D45" s="41"/>
      <c r="E45" s="353">
        <v>43</v>
      </c>
      <c r="F45" s="345">
        <f>LF!F45/1000</f>
        <v>4200</v>
      </c>
      <c r="G45" s="241">
        <f>'FF'!F45/1000</f>
        <v>520</v>
      </c>
      <c r="H45" s="241">
        <f>PrF!F45/1000</f>
        <v>280</v>
      </c>
      <c r="I45" s="241">
        <f>FSS!F45/1000</f>
        <v>500</v>
      </c>
      <c r="J45" s="241">
        <f>PřF!F45/1000</f>
        <v>20000</v>
      </c>
      <c r="K45" s="241">
        <f>'FI'!F45/1000</f>
        <v>983</v>
      </c>
      <c r="L45" s="241">
        <f>PdF!F45/1000</f>
        <v>800</v>
      </c>
      <c r="M45" s="241">
        <f>FSpS!F45/1000</f>
        <v>1070</v>
      </c>
      <c r="N45" s="241">
        <f>ESF!F45/1000</f>
        <v>3300</v>
      </c>
      <c r="O45" s="111">
        <f t="shared" si="5"/>
        <v>31653</v>
      </c>
      <c r="P45" s="343"/>
      <c r="Q45" s="109">
        <f>LF!H45/1000+'FF'!H45/1000+PrF!H45/1000+FSS!H45/1000+PřF!H45/1000+'FI'!H45/1000+PdF!H45/1000+FSpS!H45/1000+ESF!H45/1000</f>
        <v>31653</v>
      </c>
      <c r="R45" s="110">
        <f>LF!I45/1000+'FF'!I45/1000+PrF!I45/1000+FSS!I45/1000+PřF!I45/1000+'FI'!I45/1000+PdF!I45/1000+FSpS!I45/1000+ESF!I45/1000</f>
        <v>0</v>
      </c>
      <c r="S45" s="110">
        <f>LF!J45/1000+'FF'!J45/1000+PrF!J45/1000+FSS!J45/1000+PřF!J45/1000+'FI'!J45/1000+PdF!J45/1000+FSpS!J45/1000+ESF!J45/1000</f>
        <v>0</v>
      </c>
      <c r="T45" s="110">
        <f>LF!K45/1000+'FF'!K45/1000+PrF!K45/1000+FSS!K45/1000+PřF!K45/1000+'FI'!K45/1000+PdF!K45/1000+FSpS!K45/1000+ESF!K45/1000</f>
        <v>0</v>
      </c>
      <c r="U45" s="110">
        <f>LF!L45/1000+'FF'!L45/1000+PrF!L45/1000+FSS!L45/1000+PřF!L45/1000+'FI'!L45/1000+PdF!L45/1000+FSpS!L45/1000+ESF!L45/1000</f>
        <v>0</v>
      </c>
      <c r="V45" s="220">
        <f>LF!M45/1000+'FF'!M45/1000+PrF!M45/1000+FSS!M45/1000+PřF!M45/1000+'FI'!M45/1000+PdF!M45/1000+FSpS!M45/1000+ESF!M45/1000</f>
        <v>0</v>
      </c>
      <c r="W45" s="111">
        <f>(LF!N45+'FF'!N45+PrF!N45+FSS!N45+PřF!N45+'FI'!N45+PdF!N45+FSpS!N45+ESF!N45)/1000</f>
        <v>38360.62722</v>
      </c>
      <c r="X45" s="538"/>
      <c r="Y45" s="527"/>
      <c r="Z45" s="527"/>
    </row>
    <row r="46" spans="1:26" s="25" customFormat="1" ht="12.75" thickBot="1">
      <c r="A46" s="44" t="s">
        <v>65</v>
      </c>
      <c r="B46" s="45"/>
      <c r="C46" s="45"/>
      <c r="D46" s="45"/>
      <c r="E46" s="351">
        <v>44</v>
      </c>
      <c r="F46" s="113">
        <f aca="true" t="shared" si="6" ref="F46:O46">F29+F34+F38+F43+F44+F45-F4-F27</f>
        <v>2678</v>
      </c>
      <c r="G46" s="242">
        <f t="shared" si="6"/>
        <v>2169</v>
      </c>
      <c r="H46" s="242">
        <f t="shared" si="6"/>
        <v>2734</v>
      </c>
      <c r="I46" s="242">
        <f t="shared" si="6"/>
        <v>915</v>
      </c>
      <c r="J46" s="242">
        <f t="shared" si="6"/>
        <v>1000</v>
      </c>
      <c r="K46" s="242">
        <f t="shared" si="6"/>
        <v>260</v>
      </c>
      <c r="L46" s="242">
        <f t="shared" si="6"/>
        <v>3000</v>
      </c>
      <c r="M46" s="242">
        <f t="shared" si="6"/>
        <v>420.00000000001455</v>
      </c>
      <c r="N46" s="242">
        <f t="shared" si="6"/>
        <v>1166</v>
      </c>
      <c r="O46" s="114">
        <f t="shared" si="6"/>
        <v>14342</v>
      </c>
      <c r="P46" s="226">
        <f>P29+P34+P38+P43+P44+P45+-P4-P27</f>
        <v>0</v>
      </c>
      <c r="Q46" s="113">
        <f>Q29+Q34+Q38+Q43+Q45-Q4-Q27</f>
        <v>14342</v>
      </c>
      <c r="R46" s="113">
        <f>R29+R34+R38+R43+R44+R45-R4-R27</f>
        <v>0</v>
      </c>
      <c r="S46" s="113">
        <f>S29+S34+S38+S43+S44+S45-S4-S27</f>
        <v>0</v>
      </c>
      <c r="T46" s="113">
        <f>T29+T34+T38+T43+T44+T45-T4-T27</f>
        <v>0</v>
      </c>
      <c r="U46" s="113">
        <f>U29+U34+U38+U43+U44+U45-U4-U27</f>
        <v>0</v>
      </c>
      <c r="V46" s="113">
        <f>V29+V34+V38+V43+V44+V45-V4-V27</f>
        <v>0</v>
      </c>
      <c r="W46" s="101">
        <f>(LF!N46+'FF'!N46+PrF!N46+FSS!N46+PřF!N46+'FI'!N46+PdF!N46+FSpS!N46+ESF!N46)/1000</f>
        <v>48788.221340000106</v>
      </c>
      <c r="X46" s="527"/>
      <c r="Y46" s="527"/>
      <c r="Z46" s="527"/>
    </row>
    <row r="47" spans="1:23" ht="13.5" thickBot="1">
      <c r="A47" s="37" t="s">
        <v>66</v>
      </c>
      <c r="B47" s="38"/>
      <c r="C47" s="38"/>
      <c r="D47" s="38"/>
      <c r="E47" s="348">
        <v>45</v>
      </c>
      <c r="F47" s="256">
        <f aca="true" t="shared" si="7" ref="F47:W47">F28-F3</f>
        <v>2678</v>
      </c>
      <c r="G47" s="237">
        <f t="shared" si="7"/>
        <v>2169</v>
      </c>
      <c r="H47" s="237">
        <f t="shared" si="7"/>
        <v>2734</v>
      </c>
      <c r="I47" s="237">
        <f t="shared" si="7"/>
        <v>915</v>
      </c>
      <c r="J47" s="237">
        <f t="shared" si="7"/>
        <v>1000</v>
      </c>
      <c r="K47" s="237">
        <f t="shared" si="7"/>
        <v>260</v>
      </c>
      <c r="L47" s="237">
        <f t="shared" si="7"/>
        <v>3000</v>
      </c>
      <c r="M47" s="237">
        <f t="shared" si="7"/>
        <v>420.00000000001455</v>
      </c>
      <c r="N47" s="237">
        <f t="shared" si="7"/>
        <v>1166</v>
      </c>
      <c r="O47" s="127">
        <f t="shared" si="7"/>
        <v>14341.999999999534</v>
      </c>
      <c r="P47" s="339">
        <f t="shared" si="7"/>
        <v>0</v>
      </c>
      <c r="Q47" s="82">
        <f t="shared" si="7"/>
        <v>14342</v>
      </c>
      <c r="R47" s="83">
        <f t="shared" si="7"/>
        <v>0</v>
      </c>
      <c r="S47" s="83">
        <f t="shared" si="7"/>
        <v>0</v>
      </c>
      <c r="T47" s="83">
        <f t="shared" si="7"/>
        <v>0</v>
      </c>
      <c r="U47" s="83">
        <f>U28-U3</f>
        <v>0</v>
      </c>
      <c r="V47" s="82">
        <f t="shared" si="7"/>
        <v>0</v>
      </c>
      <c r="W47" s="84">
        <f t="shared" si="7"/>
        <v>48783.01740999939</v>
      </c>
    </row>
    <row r="48" spans="1:5" ht="7.5" customHeight="1">
      <c r="A48" s="47"/>
      <c r="B48" s="47"/>
      <c r="C48" s="47"/>
      <c r="D48" s="47"/>
      <c r="E48" s="48"/>
    </row>
    <row r="49" spans="1:26" s="47" customFormat="1" ht="23.25" customHeight="1">
      <c r="A49" s="552" t="s">
        <v>98</v>
      </c>
      <c r="B49" s="553"/>
      <c r="C49" s="553"/>
      <c r="D49" s="553"/>
      <c r="E49" s="48"/>
      <c r="F49" s="429">
        <f>LF!J52/1000</f>
        <v>0</v>
      </c>
      <c r="G49" s="429">
        <f>'FF'!J50/1000</f>
        <v>0</v>
      </c>
      <c r="H49" s="429">
        <f>PrF!J50/1000</f>
        <v>0</v>
      </c>
      <c r="I49" s="429">
        <f>FSS!J50/1000</f>
        <v>0</v>
      </c>
      <c r="J49" s="430">
        <f>PřF!J50/1000</f>
        <v>2000</v>
      </c>
      <c r="K49" s="430">
        <f>'FI'!J50/1000</f>
        <v>5400</v>
      </c>
      <c r="L49" s="430">
        <f>PdF!J50/1000</f>
        <v>3000</v>
      </c>
      <c r="M49" s="430">
        <f>FSpS!J50/1000</f>
        <v>0</v>
      </c>
      <c r="N49" s="430">
        <f>ESF!J50/1000</f>
        <v>0</v>
      </c>
      <c r="O49" s="200">
        <f>fak!J50/1000</f>
        <v>10400</v>
      </c>
      <c r="Q49" s="59"/>
      <c r="S49" s="59"/>
      <c r="V49" s="59"/>
      <c r="W49" s="289"/>
      <c r="X49" s="530"/>
      <c r="Y49" s="530"/>
      <c r="Z49" s="530"/>
    </row>
  </sheetData>
  <mergeCells count="4">
    <mergeCell ref="A1:D1"/>
    <mergeCell ref="R1:V1"/>
    <mergeCell ref="C2:D2"/>
    <mergeCell ref="A49:D49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59"/>
  <sheetViews>
    <sheetView workbookViewId="0" topLeftCell="A1">
      <selection activeCell="A1" sqref="A1:X5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10" width="7.25390625" style="59" customWidth="1"/>
    <col min="11" max="11" width="7.25390625" style="59" hidden="1" customWidth="1"/>
    <col min="12" max="15" width="7.25390625" style="59" customWidth="1"/>
    <col min="16" max="16" width="8.875" style="59" customWidth="1"/>
    <col min="17" max="17" width="5.125" style="0" hidden="1" customWidth="1"/>
    <col min="18" max="18" width="8.875" style="59" customWidth="1"/>
    <col min="19" max="19" width="6.875" style="59" customWidth="1"/>
    <col min="20" max="20" width="5.75390625" style="59" bestFit="1" customWidth="1"/>
    <col min="21" max="21" width="5.375" style="59" bestFit="1" customWidth="1"/>
    <col min="22" max="22" width="5.375" style="59" customWidth="1"/>
    <col min="23" max="23" width="4.25390625" style="59" bestFit="1" customWidth="1"/>
    <col min="24" max="24" width="9.625" style="59" customWidth="1"/>
    <col min="25" max="25" width="6.75390625" style="526" customWidth="1"/>
    <col min="26" max="26" width="7.00390625" style="526" customWidth="1"/>
    <col min="27" max="27" width="7.875" style="526" customWidth="1"/>
  </cols>
  <sheetData>
    <row r="1" spans="1:24" ht="15.75" customHeight="1">
      <c r="A1" s="544" t="s">
        <v>145</v>
      </c>
      <c r="B1" s="545"/>
      <c r="C1" s="545"/>
      <c r="D1" s="546"/>
      <c r="E1" s="1"/>
      <c r="F1" s="221" t="s">
        <v>109</v>
      </c>
      <c r="G1" s="235" t="s">
        <v>110</v>
      </c>
      <c r="H1" s="235" t="s">
        <v>111</v>
      </c>
      <c r="I1" s="235" t="s">
        <v>112</v>
      </c>
      <c r="J1" s="235" t="s">
        <v>113</v>
      </c>
      <c r="K1" s="235" t="s">
        <v>141</v>
      </c>
      <c r="L1" s="235" t="s">
        <v>114</v>
      </c>
      <c r="M1" s="235" t="s">
        <v>115</v>
      </c>
      <c r="N1" s="235" t="s">
        <v>116</v>
      </c>
      <c r="O1" s="227" t="s">
        <v>117</v>
      </c>
      <c r="P1" s="69" t="s">
        <v>7</v>
      </c>
      <c r="Q1" s="4" t="s">
        <v>1</v>
      </c>
      <c r="R1" s="68" t="s">
        <v>2</v>
      </c>
      <c r="S1" s="547" t="s">
        <v>3</v>
      </c>
      <c r="T1" s="548"/>
      <c r="U1" s="548"/>
      <c r="V1" s="548"/>
      <c r="W1" s="549"/>
      <c r="X1" s="69" t="s">
        <v>4</v>
      </c>
    </row>
    <row r="2" spans="1:27" s="16" customFormat="1" ht="13.5" thickBot="1">
      <c r="A2" s="375" t="s">
        <v>149</v>
      </c>
      <c r="B2" s="7"/>
      <c r="C2" s="550" t="s">
        <v>129</v>
      </c>
      <c r="D2" s="551"/>
      <c r="E2" s="9" t="s">
        <v>5</v>
      </c>
      <c r="F2" s="222">
        <v>81</v>
      </c>
      <c r="G2" s="236">
        <v>82</v>
      </c>
      <c r="H2" s="236">
        <v>83</v>
      </c>
      <c r="I2" s="236">
        <v>84</v>
      </c>
      <c r="J2" s="236">
        <v>85</v>
      </c>
      <c r="K2" s="236">
        <v>87</v>
      </c>
      <c r="L2" s="236">
        <v>92</v>
      </c>
      <c r="M2" s="236">
        <v>96</v>
      </c>
      <c r="N2" s="236">
        <v>97</v>
      </c>
      <c r="O2" s="228">
        <v>99</v>
      </c>
      <c r="P2" s="73" t="s">
        <v>118</v>
      </c>
      <c r="Q2" s="12" t="s">
        <v>7</v>
      </c>
      <c r="R2" s="70" t="s">
        <v>8</v>
      </c>
      <c r="S2" s="71" t="s">
        <v>9</v>
      </c>
      <c r="T2" s="72" t="s">
        <v>10</v>
      </c>
      <c r="U2" s="72" t="s">
        <v>11</v>
      </c>
      <c r="V2" s="72" t="s">
        <v>147</v>
      </c>
      <c r="W2" s="72" t="s">
        <v>12</v>
      </c>
      <c r="X2" s="73">
        <v>2008</v>
      </c>
      <c r="Y2" s="526"/>
      <c r="Z2" s="526"/>
      <c r="AA2" s="526"/>
    </row>
    <row r="3" spans="1:24" ht="13.5" thickBot="1">
      <c r="A3" s="17" t="s">
        <v>13</v>
      </c>
      <c r="B3" s="18"/>
      <c r="C3" s="18"/>
      <c r="D3" s="18"/>
      <c r="E3" s="19">
        <v>1</v>
      </c>
      <c r="F3" s="223">
        <f>SUM(F5:F27)</f>
        <v>209025</v>
      </c>
      <c r="G3" s="237">
        <f>SUM(G5:G27)</f>
        <v>54488</v>
      </c>
      <c r="H3" s="237">
        <f aca="true" t="shared" si="0" ref="H3:O3">SUM(H5:H27)</f>
        <v>6966</v>
      </c>
      <c r="I3" s="237">
        <f t="shared" si="0"/>
        <v>25194</v>
      </c>
      <c r="J3" s="237">
        <f t="shared" si="0"/>
        <v>37558</v>
      </c>
      <c r="K3" s="237">
        <f t="shared" si="0"/>
        <v>0</v>
      </c>
      <c r="L3" s="237">
        <f t="shared" si="0"/>
        <v>206280</v>
      </c>
      <c r="M3" s="237">
        <f t="shared" si="0"/>
        <v>30247</v>
      </c>
      <c r="N3" s="237">
        <f t="shared" si="0"/>
        <v>84267</v>
      </c>
      <c r="O3" s="229">
        <f t="shared" si="0"/>
        <v>541602.071</v>
      </c>
      <c r="P3" s="127">
        <f>SUM(P5:P27)</f>
        <v>1195627.0710000002</v>
      </c>
      <c r="Q3" s="81">
        <f aca="true" t="shared" si="1" ref="Q3:X3">SUM(Q5:Q27)</f>
        <v>0</v>
      </c>
      <c r="R3" s="82">
        <f t="shared" si="1"/>
        <v>1047700.3</v>
      </c>
      <c r="S3" s="83">
        <f t="shared" si="1"/>
        <v>100754.77100000001</v>
      </c>
      <c r="T3" s="83">
        <f t="shared" si="1"/>
        <v>37689</v>
      </c>
      <c r="U3" s="83">
        <f t="shared" si="1"/>
        <v>5440</v>
      </c>
      <c r="V3" s="83">
        <f>SUM(V5:V27)</f>
        <v>4034</v>
      </c>
      <c r="W3" s="82">
        <f t="shared" si="1"/>
        <v>9</v>
      </c>
      <c r="X3" s="84">
        <f t="shared" si="1"/>
        <v>1062210.5695099998</v>
      </c>
    </row>
    <row r="4" spans="1:27" s="25" customFormat="1" ht="12">
      <c r="A4" s="21" t="s">
        <v>14</v>
      </c>
      <c r="B4" s="22" t="s">
        <v>15</v>
      </c>
      <c r="C4" s="22"/>
      <c r="D4" s="22"/>
      <c r="E4" s="23">
        <v>2</v>
      </c>
      <c r="F4" s="224">
        <f aca="true" t="shared" si="2" ref="F4:P4">SUM(F5:F15)</f>
        <v>162579</v>
      </c>
      <c r="G4" s="238">
        <f t="shared" si="2"/>
        <v>54488</v>
      </c>
      <c r="H4" s="238">
        <f t="shared" si="2"/>
        <v>6966</v>
      </c>
      <c r="I4" s="238">
        <f t="shared" si="2"/>
        <v>4141</v>
      </c>
      <c r="J4" s="238">
        <f t="shared" si="2"/>
        <v>26135</v>
      </c>
      <c r="K4" s="238">
        <f t="shared" si="2"/>
        <v>0</v>
      </c>
      <c r="L4" s="238">
        <f t="shared" si="2"/>
        <v>193367</v>
      </c>
      <c r="M4" s="238">
        <f t="shared" si="2"/>
        <v>30179</v>
      </c>
      <c r="N4" s="238">
        <f t="shared" si="2"/>
        <v>13667</v>
      </c>
      <c r="O4" s="230">
        <f t="shared" si="2"/>
        <v>460002.412</v>
      </c>
      <c r="P4" s="128">
        <f t="shared" si="2"/>
        <v>951524.412</v>
      </c>
      <c r="Q4" s="86">
        <f aca="true" t="shared" si="3" ref="Q4:X4">SUM(Q5:Q15)</f>
        <v>0</v>
      </c>
      <c r="R4" s="87">
        <f t="shared" si="3"/>
        <v>814992.6410000001</v>
      </c>
      <c r="S4" s="88">
        <f t="shared" si="3"/>
        <v>100754.77100000001</v>
      </c>
      <c r="T4" s="88">
        <f t="shared" si="3"/>
        <v>26294</v>
      </c>
      <c r="U4" s="88">
        <f t="shared" si="3"/>
        <v>5440</v>
      </c>
      <c r="V4" s="88">
        <f>SUM(V5:V15)</f>
        <v>4034</v>
      </c>
      <c r="W4" s="87">
        <f t="shared" si="3"/>
        <v>9</v>
      </c>
      <c r="X4" s="89">
        <f t="shared" si="3"/>
        <v>842750.4758199999</v>
      </c>
      <c r="Y4" s="527"/>
      <c r="Z4" s="527"/>
      <c r="AA4" s="527"/>
    </row>
    <row r="5" spans="1:27" s="65" customFormat="1" ht="12">
      <c r="A5" s="61"/>
      <c r="B5" s="62"/>
      <c r="C5" s="62" t="s">
        <v>16</v>
      </c>
      <c r="D5" s="63" t="s">
        <v>17</v>
      </c>
      <c r="E5" s="64">
        <v>3</v>
      </c>
      <c r="F5" s="207">
        <f>SKM!F5/1000</f>
        <v>33600</v>
      </c>
      <c r="G5" s="239">
        <f>SUKB!F7/1000</f>
        <v>162</v>
      </c>
      <c r="H5" s="239">
        <f>UCT!F5/1000</f>
        <v>1400</v>
      </c>
      <c r="I5" s="239">
        <f>SPSSN!F5/1000</f>
        <v>1200</v>
      </c>
      <c r="J5" s="239">
        <f>IBA!F5/1000</f>
        <v>6100</v>
      </c>
      <c r="K5" s="239">
        <f>CTT!F5/1000</f>
        <v>0</v>
      </c>
      <c r="L5" s="239">
        <f>ÚVT!F5/1000</f>
        <v>51732</v>
      </c>
      <c r="M5" s="239">
        <f>CJV!F5/1000</f>
        <v>20110</v>
      </c>
      <c r="N5" s="239">
        <f>CZS!F5/1000</f>
        <v>5420</v>
      </c>
      <c r="O5" s="231">
        <f>RMU!F5/1000</f>
        <v>69776.028</v>
      </c>
      <c r="P5" s="209">
        <f>SUM(F5:O5)</f>
        <v>189500.028</v>
      </c>
      <c r="Q5" s="91"/>
      <c r="R5" s="207">
        <f>SKM!H5/1000+SUKB!H7/1000+UCT!H5/1000+SPSSN!H5/1000+IBA!H5/1000+ÚVT!H5/1000+CJV!H5/1000+CZS!H5/1000+RMU!H5/1000</f>
        <v>179341.20299999998</v>
      </c>
      <c r="S5" s="150">
        <f>SKM!I5/1000+SUKB!I7/1000+UCT!I5/1000+SPSSN!I5/1000+IBA!I5/1000+ÚVT!I5/1000+CJV!I5/1000+CZS!I5/1000+RMU!I5/1000</f>
        <v>58.825</v>
      </c>
      <c r="T5" s="150">
        <f>SKM!J5/1000+SUKB!J7/1000+UCT!J5/1000+SPSSN!J5/1000+IBA!J5/1000+ÚVT!J5/1000+CJV!J5/1000+CZS!J5/1000+RMU!J5/1000</f>
        <v>6100</v>
      </c>
      <c r="U5" s="150">
        <f>SKM!K5/1000+SUKB!K7/1000+UCT!K5/1000+SPSSN!K5/1000+IBA!K5/1000+ÚVT!K5/1000+CJV!K5/1000+CZS!K5/1000+RMU!K5/1000</f>
        <v>4000</v>
      </c>
      <c r="V5" s="150">
        <f>SKM!L5/1000+SUKB!L7/1000+UCT!L5/1000+SPSSN!L5/1000+IBA!L5/1000+ÚVT!L5/1000+CJV!L5/1000+CZS!L5/1000+RMU!L5/1000</f>
        <v>0</v>
      </c>
      <c r="W5" s="150">
        <f>SKM!M5/1000+SUKB!M7/1000+UCT!M5/1000+SPSSN!M5/1000+IBA!M5/1000+ÚVT!M5/1000+CJV!M5/1000+CZS!M5/1000+RMU!M5/1000</f>
        <v>0</v>
      </c>
      <c r="X5" s="209">
        <f>(SKM!N5+SUKB!N7+UCT!N5+SPSSN!N5+IBA!N5+CTT!N5+ÚVT!N5+CJV!N5+CZS!N5+RMU!N5)/1000</f>
        <v>193844.07096</v>
      </c>
      <c r="Y5" s="529"/>
      <c r="Z5" s="529"/>
      <c r="AA5" s="529"/>
    </row>
    <row r="6" spans="1:27" s="65" customFormat="1" ht="12">
      <c r="A6" s="61"/>
      <c r="B6" s="62"/>
      <c r="C6" s="62"/>
      <c r="D6" s="63" t="s">
        <v>18</v>
      </c>
      <c r="E6" s="64">
        <v>4</v>
      </c>
      <c r="F6" s="207">
        <f>SKM!F6/1000</f>
        <v>400</v>
      </c>
      <c r="G6" s="239">
        <f>SUKB!F8/1000</f>
        <v>0</v>
      </c>
      <c r="H6" s="239">
        <f>UCT!F6/1000</f>
        <v>180</v>
      </c>
      <c r="I6" s="239">
        <f>SPSSN!F6/1000</f>
        <v>30</v>
      </c>
      <c r="J6" s="239">
        <f>IBA!F6/1000</f>
        <v>11090</v>
      </c>
      <c r="K6" s="239">
        <f>CTT!F6/1000</f>
        <v>0</v>
      </c>
      <c r="L6" s="239">
        <f>ÚVT!F6/1000</f>
        <v>3299</v>
      </c>
      <c r="M6" s="239">
        <f>CJV!F6/1000</f>
        <v>930</v>
      </c>
      <c r="N6" s="239">
        <f>CZS!F6/1000</f>
        <v>190</v>
      </c>
      <c r="O6" s="231">
        <f>RMU!F6/1000</f>
        <v>3091.5</v>
      </c>
      <c r="P6" s="209">
        <f aca="true" t="shared" si="4" ref="P6:P45">SUM(F6:O6)</f>
        <v>19210.5</v>
      </c>
      <c r="Q6" s="91"/>
      <c r="R6" s="207">
        <f>SKM!H6/1000+SUKB!H8/1000+UCT!H6/1000+SPSSN!H6/1000+IBA!H6/1000+ÚVT!H6/1000+CJV!H6/1000+CZS!H6/1000+RMU!H6/1000</f>
        <v>8000.5</v>
      </c>
      <c r="S6" s="150">
        <f>SKM!I6/1000+SUKB!I8/1000+UCT!I6/1000+SPSSN!I6/1000+IBA!I6/1000+ÚVT!I6/1000+CJV!I6/1000+CZS!I6/1000+RMU!I6/1000</f>
        <v>120</v>
      </c>
      <c r="T6" s="150">
        <f>SKM!J6/1000+SUKB!J8/1000+UCT!J6/1000+SPSSN!J6/1000+IBA!J6/1000+ÚVT!J6/1000+CJV!J6/1000+CZS!J6/1000+RMU!J6/1000</f>
        <v>11090</v>
      </c>
      <c r="U6" s="150">
        <f>SKM!K6/1000+SUKB!K8/1000+UCT!K6/1000+SPSSN!K6/1000+IBA!K6/1000+ÚVT!K6/1000+CJV!K6/1000+CZS!K6/1000+RMU!K6/1000</f>
        <v>0</v>
      </c>
      <c r="V6" s="150">
        <f>SKM!L6/1000+SUKB!L8/1000+UCT!L6/1000+SPSSN!L6/1000+IBA!L6/1000+ÚVT!L6/1000+CJV!L6/1000+CZS!L6/1000+RMU!L6/1000</f>
        <v>0</v>
      </c>
      <c r="W6" s="150">
        <f>SKM!M6/1000+SUKB!M8/1000+UCT!M6/1000+SPSSN!M6/1000+IBA!M6/1000+ÚVT!M6/1000+CJV!M6/1000+CZS!M6/1000+RMU!M6/1000</f>
        <v>0</v>
      </c>
      <c r="X6" s="209">
        <f>(SKM!N6+SUKB!N8+UCT!N6+SPSSN!N6+IBA!N6+CTT!N6+ÚVT!N6+CJV!N6+CZS!N6+RMU!N6)/1000</f>
        <v>15549.9495</v>
      </c>
      <c r="Y6" s="529"/>
      <c r="Z6" s="529"/>
      <c r="AA6" s="529"/>
    </row>
    <row r="7" spans="1:27" s="65" customFormat="1" ht="12">
      <c r="A7" s="61"/>
      <c r="B7" s="62"/>
      <c r="C7" s="62"/>
      <c r="D7" s="63" t="s">
        <v>19</v>
      </c>
      <c r="E7" s="64">
        <v>5</v>
      </c>
      <c r="F7" s="207">
        <f>SKM!F7/1000</f>
        <v>11560</v>
      </c>
      <c r="G7" s="239">
        <f>SUKB!F9/1000</f>
        <v>58</v>
      </c>
      <c r="H7" s="239">
        <f>UCT!F7/1000</f>
        <v>565</v>
      </c>
      <c r="I7" s="239">
        <f>SPSSN!F7/1000</f>
        <v>432</v>
      </c>
      <c r="J7" s="239">
        <f>IBA!F7/1000</f>
        <v>2196</v>
      </c>
      <c r="K7" s="239">
        <f>CTT!F7/1000</f>
        <v>0</v>
      </c>
      <c r="L7" s="239">
        <f>ÚVT!F7/1000</f>
        <v>19704</v>
      </c>
      <c r="M7" s="239">
        <f>CJV!F7/1000</f>
        <v>7500</v>
      </c>
      <c r="N7" s="239">
        <f>CZS!F7/1000</f>
        <v>1951</v>
      </c>
      <c r="O7" s="231">
        <f>RMU!F7/1000</f>
        <v>25615.062</v>
      </c>
      <c r="P7" s="209">
        <f t="shared" si="4"/>
        <v>69581.062</v>
      </c>
      <c r="Q7" s="91"/>
      <c r="R7" s="207">
        <f>SKM!H7/1000+SUKB!H9/1000+UCT!H7/1000+SPSSN!H7/1000+IBA!H7/1000+ÚVT!H7/1000+CJV!H7/1000+CZS!H7/1000+RMU!H7/1000</f>
        <v>65923.887</v>
      </c>
      <c r="S7" s="150">
        <f>SKM!I7/1000+SUKB!I9/1000+UCT!I7/1000+SPSSN!I7/1000+IBA!I7/1000+ÚVT!I7/1000+CJV!I7/1000+CZS!I7/1000+RMU!I7/1000</f>
        <v>21.175</v>
      </c>
      <c r="T7" s="150">
        <f>SKM!J7/1000+SUKB!J9/1000+UCT!J7/1000+SPSSN!J7/1000+IBA!J7/1000+ÚVT!J7/1000+CJV!J7/1000+CZS!J7/1000+RMU!J7/1000</f>
        <v>2196</v>
      </c>
      <c r="U7" s="150">
        <f>SKM!K7/1000+SUKB!K9/1000+UCT!K7/1000+SPSSN!K7/1000+IBA!K7/1000+ÚVT!K7/1000+CJV!K7/1000+CZS!K7/1000+RMU!K7/1000</f>
        <v>1440</v>
      </c>
      <c r="V7" s="150">
        <f>SKM!L7/1000+SUKB!L9/1000+UCT!L7/1000+SPSSN!L7/1000+IBA!L7/1000+ÚVT!L7/1000+CJV!L7/1000+CZS!L7/1000+RMU!L7/1000</f>
        <v>0</v>
      </c>
      <c r="W7" s="150">
        <f>SKM!M7/1000+SUKB!M9/1000+UCT!M7/1000+SPSSN!M7/1000+IBA!M7/1000+ÚVT!M7/1000+CJV!M7/1000+CZS!M7/1000+RMU!M7/1000</f>
        <v>0</v>
      </c>
      <c r="X7" s="209">
        <f>(SKM!N7+SUKB!N9+UCT!N7+SPSSN!N7+IBA!N7+CTT!N7+ÚVT!N7+CJV!N7+CZS!N7+RMU!N7)/1000</f>
        <v>70070.94869</v>
      </c>
      <c r="Y7" s="529"/>
      <c r="Z7" s="529"/>
      <c r="AA7" s="529"/>
    </row>
    <row r="8" spans="1:27" s="65" customFormat="1" ht="12">
      <c r="A8" s="61"/>
      <c r="B8" s="62"/>
      <c r="C8" s="62"/>
      <c r="D8" s="63" t="s">
        <v>20</v>
      </c>
      <c r="E8" s="64">
        <v>6</v>
      </c>
      <c r="F8" s="207">
        <f>SKM!F8/1000</f>
        <v>35630</v>
      </c>
      <c r="G8" s="239">
        <f>SUKB!F10/1000</f>
        <v>0</v>
      </c>
      <c r="H8" s="239">
        <f>UCT!F8/1000</f>
        <v>1735</v>
      </c>
      <c r="I8" s="239">
        <f>SPSSN!F8/1000</f>
        <v>772</v>
      </c>
      <c r="J8" s="239">
        <f>IBA!F8/1000</f>
        <v>100</v>
      </c>
      <c r="K8" s="239">
        <f>CTT!F8/1000</f>
        <v>0</v>
      </c>
      <c r="L8" s="239">
        <f>ÚVT!F8/1000</f>
        <v>5300</v>
      </c>
      <c r="M8" s="239">
        <f>CJV!F8/1000</f>
        <v>83</v>
      </c>
      <c r="N8" s="239">
        <f>CZS!F8/1000</f>
        <v>90</v>
      </c>
      <c r="O8" s="231">
        <f>RMU!F8/1000</f>
        <v>3198</v>
      </c>
      <c r="P8" s="209">
        <f t="shared" si="4"/>
        <v>46908</v>
      </c>
      <c r="Q8" s="91"/>
      <c r="R8" s="207">
        <f>SKM!H8/1000+SUKB!H10/1000+UCT!H8/1000+SPSSN!H8/1000+IBA!H8/1000+ÚVT!H8/1000+CJV!H8/1000+CZS!H8/1000+RMU!H8/1000</f>
        <v>43473</v>
      </c>
      <c r="S8" s="150">
        <f>SKM!I8/1000+SUKB!I10/1000+UCT!I8/1000+SPSSN!I8/1000+IBA!I8/1000+ÚVT!I8/1000+CJV!I8/1000+CZS!I8/1000+RMU!I8/1000</f>
        <v>3335</v>
      </c>
      <c r="T8" s="150">
        <f>SKM!J8/1000+SUKB!J10/1000+UCT!J8/1000+SPSSN!J8/1000+IBA!J8/1000+ÚVT!J8/1000+CJV!J8/1000+CZS!J8/1000+RMU!J8/1000</f>
        <v>100</v>
      </c>
      <c r="U8" s="150">
        <f>SKM!K8/1000+SUKB!K10/1000+UCT!K8/1000+SPSSN!K8/1000+IBA!K8/1000+ÚVT!K8/1000+CJV!K8/1000+CZS!K8/1000+RMU!K8/1000</f>
        <v>0</v>
      </c>
      <c r="V8" s="150">
        <f>SKM!L8/1000+SUKB!L10/1000+UCT!L8/1000+SPSSN!L8/1000+IBA!L8/1000+ÚVT!L8/1000+CJV!L8/1000+CZS!L8/1000+RMU!L8/1000</f>
        <v>0</v>
      </c>
      <c r="W8" s="150">
        <f>SKM!M8/1000+SUKB!M10/1000+UCT!M8/1000+SPSSN!M8/1000+IBA!M8/1000+ÚVT!M8/1000+CJV!M8/1000+CZS!M8/1000+RMU!M8/1000</f>
        <v>0</v>
      </c>
      <c r="X8" s="209">
        <f>(SKM!N8+SUKB!N10+UCT!N8+SPSSN!N8+IBA!N8+CTT!N8+ÚVT!N8+CJV!N8+CZS!N8+RMU!N8)/1000</f>
        <v>38346.35304</v>
      </c>
      <c r="Y8" s="529"/>
      <c r="Z8" s="529"/>
      <c r="AA8" s="529"/>
    </row>
    <row r="9" spans="1:27" s="65" customFormat="1" ht="12">
      <c r="A9" s="61"/>
      <c r="B9" s="62"/>
      <c r="C9" s="62"/>
      <c r="D9" s="63" t="s">
        <v>21</v>
      </c>
      <c r="E9" s="64">
        <v>7</v>
      </c>
      <c r="F9" s="207">
        <f>SKM!F9/1000</f>
        <v>12000</v>
      </c>
      <c r="G9" s="239">
        <f>SUKB!F11/1000</f>
        <v>0</v>
      </c>
      <c r="H9" s="239">
        <f>UCT!F9/1000</f>
        <v>600</v>
      </c>
      <c r="I9" s="239">
        <f>SPSSN!F9/1000</f>
        <v>15</v>
      </c>
      <c r="J9" s="239">
        <f>IBA!F9/1000</f>
        <v>40</v>
      </c>
      <c r="K9" s="239">
        <f>CTT!F9/1000</f>
        <v>0</v>
      </c>
      <c r="L9" s="239">
        <f>ÚVT!F9/1000</f>
        <v>3800</v>
      </c>
      <c r="M9" s="239">
        <f>CJV!F9/1000</f>
        <v>70</v>
      </c>
      <c r="N9" s="239">
        <f>CZS!F9/1000</f>
        <v>10</v>
      </c>
      <c r="O9" s="231">
        <f>RMU!F9/1000</f>
        <v>20416</v>
      </c>
      <c r="P9" s="209">
        <f t="shared" si="4"/>
        <v>36951</v>
      </c>
      <c r="Q9" s="91"/>
      <c r="R9" s="207">
        <f>SKM!H9/1000+SUKB!H11/1000+UCT!H9/1000+SPSSN!H9/1000+IBA!H9/1000+ÚVT!H9/1000+CJV!H9/1000+CZS!H9/1000+RMU!H9/1000</f>
        <v>36611</v>
      </c>
      <c r="S9" s="150">
        <f>SKM!I9/1000+SUKB!I11/1000+UCT!I9/1000+SPSSN!I9/1000+IBA!I9/1000+ÚVT!I9/1000+CJV!I9/1000+CZS!I9/1000+RMU!I9/1000</f>
        <v>300</v>
      </c>
      <c r="T9" s="150">
        <f>SKM!J9/1000+SUKB!J11/1000+UCT!J9/1000+SPSSN!J9/1000+IBA!J9/1000+ÚVT!J9/1000+CJV!J9/1000+CZS!J9/1000+RMU!J9/1000</f>
        <v>40</v>
      </c>
      <c r="U9" s="150">
        <f>SKM!K9/1000+SUKB!K11/1000+UCT!K9/1000+SPSSN!K9/1000+IBA!K9/1000+ÚVT!K9/1000+CJV!K9/1000+CZS!K9/1000+RMU!K9/1000</f>
        <v>0</v>
      </c>
      <c r="V9" s="150">
        <f>SKM!L9/1000+SUKB!L11/1000+UCT!L9/1000+SPSSN!L9/1000+IBA!L9/1000+ÚVT!L9/1000+CJV!L9/1000+CZS!L9/1000+RMU!L9/1000</f>
        <v>0</v>
      </c>
      <c r="W9" s="150">
        <f>SKM!M9/1000+SUKB!M11/1000+UCT!M9/1000+SPSSN!M9/1000+IBA!M9/1000+ÚVT!M9/1000+CJV!M9/1000+CZS!M9/1000+RMU!M9/1000</f>
        <v>0</v>
      </c>
      <c r="X9" s="209">
        <f>(SKM!N9+SUKB!N11+UCT!N9+SPSSN!N9+IBA!N9+CTT!N9+ÚVT!N9+CJV!N9+CZS!N9+RMU!N9)/1000</f>
        <v>42611.82632</v>
      </c>
      <c r="Y9" s="529"/>
      <c r="Z9" s="529"/>
      <c r="AA9" s="529"/>
    </row>
    <row r="10" spans="1:27" s="65" customFormat="1" ht="12">
      <c r="A10" s="61"/>
      <c r="B10" s="62"/>
      <c r="C10" s="62"/>
      <c r="D10" s="63" t="s">
        <v>22</v>
      </c>
      <c r="E10" s="64">
        <v>8</v>
      </c>
      <c r="F10" s="207">
        <f>SKM!F10/1000</f>
        <v>37240</v>
      </c>
      <c r="G10" s="239">
        <f>SUKB!F12/1000</f>
        <v>336</v>
      </c>
      <c r="H10" s="239">
        <f>UCT!F10/1000</f>
        <v>1214</v>
      </c>
      <c r="I10" s="239">
        <f>SPSSN!F10/1000</f>
        <v>135</v>
      </c>
      <c r="J10" s="239">
        <f>IBA!F10/1000</f>
        <v>600</v>
      </c>
      <c r="K10" s="239">
        <f>CTT!F10/1000</f>
        <v>0</v>
      </c>
      <c r="L10" s="239">
        <f>ÚVT!F10/1000</f>
        <v>13840</v>
      </c>
      <c r="M10" s="239">
        <f>CJV!F10/1000</f>
        <v>900</v>
      </c>
      <c r="N10" s="239">
        <f>CZS!F10/1000</f>
        <v>460</v>
      </c>
      <c r="O10" s="231">
        <f>RMU!F10/1000</f>
        <v>37789.147</v>
      </c>
      <c r="P10" s="209">
        <f t="shared" si="4"/>
        <v>92514.147</v>
      </c>
      <c r="Q10" s="91"/>
      <c r="R10" s="207">
        <f>SKM!H10/1000+SUKB!H12/1000+UCT!H10/1000+SPSSN!H10/1000+IBA!H10/1000+ÚVT!H10/1000+CJV!H10/1000+CZS!H10/1000+RMU!H10/1000</f>
        <v>81174.768</v>
      </c>
      <c r="S10" s="150">
        <f>SKM!I10/1000+SUKB!I12/1000+UCT!I10/1000+SPSSN!I10/1000+IBA!I10/1000+ÚVT!I10/1000+CJV!I10/1000+CZS!I10/1000+RMU!I10/1000</f>
        <v>10699.379</v>
      </c>
      <c r="T10" s="150">
        <f>SKM!J10/1000+SUKB!J12/1000+UCT!J10/1000+SPSSN!J10/1000+IBA!J10/1000+ÚVT!J10/1000+CJV!J10/1000+CZS!J10/1000+RMU!J10/1000</f>
        <v>640</v>
      </c>
      <c r="U10" s="150">
        <f>SKM!K10/1000+SUKB!K12/1000+UCT!K10/1000+SPSSN!K10/1000+IBA!K10/1000+ÚVT!K10/1000+CJV!K10/1000+CZS!K10/1000+RMU!K10/1000</f>
        <v>0</v>
      </c>
      <c r="V10" s="150">
        <f>SKM!L10/1000+SUKB!L12/1000+UCT!L10/1000+SPSSN!L10/1000+IBA!L10/1000+ÚVT!L10/1000+CJV!L10/1000+CZS!L10/1000+RMU!L10/1000</f>
        <v>0</v>
      </c>
      <c r="W10" s="150">
        <f>SKM!M10/1000+SUKB!M12/1000+UCT!M10/1000+SPSSN!M10/1000+IBA!M10/1000+ÚVT!M10/1000+CJV!M10/1000+CZS!M10/1000+RMU!M10/1000</f>
        <v>0</v>
      </c>
      <c r="X10" s="209">
        <f>(SKM!N10+SUKB!N12+UCT!N10+SPSSN!N10+IBA!N10+CTT!N10+ÚVT!N10+CJV!N10+CZS!N10+RMU!N10)/1000</f>
        <v>64299.689450000005</v>
      </c>
      <c r="Y10" s="529"/>
      <c r="Z10" s="529"/>
      <c r="AA10" s="529"/>
    </row>
    <row r="11" spans="1:27" s="65" customFormat="1" ht="12">
      <c r="A11" s="61"/>
      <c r="B11" s="62"/>
      <c r="C11" s="62"/>
      <c r="D11" s="63" t="s">
        <v>23</v>
      </c>
      <c r="E11" s="64">
        <v>9</v>
      </c>
      <c r="F11" s="207">
        <f>SKM!F11/1000</f>
        <v>24000</v>
      </c>
      <c r="G11" s="239">
        <f>SUKB!F13/1000</f>
        <v>0</v>
      </c>
      <c r="H11" s="239">
        <f>UCT!F11/1000</f>
        <v>250</v>
      </c>
      <c r="I11" s="239">
        <f>SPSSN!F11/1000</f>
        <v>478</v>
      </c>
      <c r="J11" s="239">
        <f>IBA!F11/1000</f>
        <v>5100</v>
      </c>
      <c r="K11" s="239">
        <f>CTT!F11/1000</f>
        <v>0</v>
      </c>
      <c r="L11" s="239">
        <f>ÚVT!F11/1000</f>
        <v>27918</v>
      </c>
      <c r="M11" s="239">
        <f>CJV!F11/1000</f>
        <v>176</v>
      </c>
      <c r="N11" s="239">
        <f>CZS!F11/1000</f>
        <v>1440</v>
      </c>
      <c r="O11" s="231">
        <f>RMU!F11/1000</f>
        <v>132187.031</v>
      </c>
      <c r="P11" s="209">
        <f t="shared" si="4"/>
        <v>191549.031</v>
      </c>
      <c r="Q11" s="91"/>
      <c r="R11" s="207">
        <f>SKM!H11/1000+SUKB!H13/1000+UCT!H11/1000+SPSSN!H11/1000+IBA!H11/1000+ÚVT!H11/1000+CJV!H11/1000+CZS!H11/1000+RMU!H11/1000</f>
        <v>110650.629</v>
      </c>
      <c r="S11" s="150">
        <f>SKM!I11/1000+SUKB!I13/1000+UCT!I11/1000+SPSSN!I11/1000+IBA!I11/1000+ÚVT!I11/1000+CJV!I11/1000+CZS!I11/1000+RMU!I11/1000</f>
        <v>75798.402</v>
      </c>
      <c r="T11" s="150">
        <f>SKM!J11/1000+SUKB!J13/1000+UCT!J11/1000+SPSSN!J11/1000+IBA!J11/1000+ÚVT!J11/1000+CJV!J11/1000+CZS!J11/1000+RMU!J11/1000</f>
        <v>5100</v>
      </c>
      <c r="U11" s="150">
        <f>SKM!K11/1000+SUKB!K13/1000+UCT!K11/1000+SPSSN!K11/1000+IBA!K11/1000+ÚVT!K11/1000+CJV!K11/1000+CZS!K11/1000+RMU!K11/1000</f>
        <v>0</v>
      </c>
      <c r="V11" s="150">
        <f>SKM!L11/1000+SUKB!L13/1000+UCT!L11/1000+SPSSN!L11/1000+IBA!L11/1000+ÚVT!L11/1000+CJV!L11/1000+CZS!L11/1000+RMU!L11/1000</f>
        <v>0</v>
      </c>
      <c r="W11" s="150">
        <f>SKM!M11/1000+SUKB!M13/1000+UCT!M11/1000+SPSSN!M11/1000+IBA!M11/1000+ÚVT!M11/1000+CJV!M11/1000+CZS!M11/1000+RMU!M11/1000</f>
        <v>0</v>
      </c>
      <c r="X11" s="209">
        <f>(SKM!N11+SUKB!N13+UCT!N11+SPSSN!N11+IBA!N11+CTT!N11+ÚVT!N11+CJV!N11+CZS!N11+RMU!N11)/1000</f>
        <v>89711.55363</v>
      </c>
      <c r="Y11" s="529"/>
      <c r="Z11" s="529"/>
      <c r="AA11" s="529"/>
    </row>
    <row r="12" spans="1:27" s="65" customFormat="1" ht="12">
      <c r="A12" s="61"/>
      <c r="B12" s="62"/>
      <c r="C12" s="62"/>
      <c r="D12" s="63" t="s">
        <v>24</v>
      </c>
      <c r="E12" s="64">
        <v>10</v>
      </c>
      <c r="F12" s="207">
        <f>SKM!F12/1000</f>
        <v>85</v>
      </c>
      <c r="G12" s="239">
        <f>SUKB!F14/1000</f>
        <v>0</v>
      </c>
      <c r="H12" s="239">
        <f>UCT!F12/1000</f>
        <v>40</v>
      </c>
      <c r="I12" s="239">
        <f>SPSSN!F12/1000</f>
        <v>30</v>
      </c>
      <c r="J12" s="239">
        <f>IBA!F12/1000</f>
        <v>504</v>
      </c>
      <c r="K12" s="239">
        <f>CTT!F12/1000</f>
        <v>0</v>
      </c>
      <c r="L12" s="239">
        <f>ÚVT!F12/1000</f>
        <v>1100</v>
      </c>
      <c r="M12" s="239">
        <f>CJV!F12/1000</f>
        <v>80</v>
      </c>
      <c r="N12" s="239">
        <f>CZS!F12/1000</f>
        <v>1028</v>
      </c>
      <c r="O12" s="231">
        <f>RMU!F12/1000</f>
        <v>2371.915</v>
      </c>
      <c r="P12" s="209">
        <f t="shared" si="4"/>
        <v>5238.915</v>
      </c>
      <c r="Q12" s="91"/>
      <c r="R12" s="207">
        <f>SKM!H12/1000+SUKB!H14/1000+UCT!H12/1000+SPSSN!H12/1000+IBA!H12/1000+ÚVT!H12/1000+CJV!H12/1000+CZS!H12/1000+RMU!H12/1000</f>
        <v>4697.915</v>
      </c>
      <c r="S12" s="150">
        <f>SKM!I12/1000+SUKB!I14/1000+UCT!I12/1000+SPSSN!I12/1000+IBA!I12/1000+ÚVT!I12/1000+CJV!I12/1000+CZS!I12/1000+RMU!I12/1000</f>
        <v>37</v>
      </c>
      <c r="T12" s="150">
        <f>SKM!J12/1000+SUKB!J14/1000+UCT!J12/1000+SPSSN!J12/1000+IBA!J12/1000+ÚVT!J12/1000+CJV!J12/1000+CZS!J12/1000+RMU!J12/1000</f>
        <v>504</v>
      </c>
      <c r="U12" s="150">
        <f>SKM!K12/1000+SUKB!K14/1000+UCT!K12/1000+SPSSN!K12/1000+IBA!K12/1000+ÚVT!K12/1000+CJV!K12/1000+CZS!K12/1000+RMU!K12/1000</f>
        <v>0</v>
      </c>
      <c r="V12" s="150">
        <f>SKM!L12/1000+SUKB!L14/1000+UCT!L12/1000+SPSSN!L12/1000+IBA!L12/1000+ÚVT!L12/1000+CJV!L12/1000+CZS!L12/1000+RMU!L12/1000</f>
        <v>0</v>
      </c>
      <c r="W12" s="150">
        <f>SKM!M12/1000+SUKB!M14/1000+UCT!M12/1000+SPSSN!M12/1000+IBA!M12/1000+ÚVT!M12/1000+CJV!M12/1000+CZS!M12/1000+RMU!M12/1000</f>
        <v>0</v>
      </c>
      <c r="X12" s="209">
        <f>(SKM!N12+SUKB!N14+UCT!N12+SPSSN!N12+IBA!N12+CTT!N12+ÚVT!N12+CJV!N12+CZS!N12+RMU!N12)/1000</f>
        <v>4692.94312</v>
      </c>
      <c r="Y12" s="529"/>
      <c r="Z12" s="529"/>
      <c r="AA12" s="529"/>
    </row>
    <row r="13" spans="1:27" s="65" customFormat="1" ht="12">
      <c r="A13" s="61"/>
      <c r="B13" s="62"/>
      <c r="C13" s="62"/>
      <c r="D13" s="63" t="s">
        <v>25</v>
      </c>
      <c r="E13" s="64">
        <v>11</v>
      </c>
      <c r="F13" s="207">
        <f>SKM!F13/1000</f>
        <v>12676</v>
      </c>
      <c r="G13" s="239">
        <f>SUKB!F15/1000</f>
        <v>53832</v>
      </c>
      <c r="H13" s="239">
        <f>UCT!F13/1000</f>
        <v>462</v>
      </c>
      <c r="I13" s="239">
        <f>SPSSN!F13/1000</f>
        <v>741</v>
      </c>
      <c r="J13" s="239">
        <f>IBA!F13/1000</f>
        <v>180</v>
      </c>
      <c r="K13" s="239">
        <f>CTT!F13/1000</f>
        <v>0</v>
      </c>
      <c r="L13" s="239">
        <f>ÚVT!F13/1000</f>
        <v>58524</v>
      </c>
      <c r="M13" s="239">
        <f>CJV!F13/1000</f>
        <v>165</v>
      </c>
      <c r="N13" s="239">
        <f>CZS!F13/1000</f>
        <v>100</v>
      </c>
      <c r="O13" s="231">
        <f>RMU!F13/1000</f>
        <v>4879</v>
      </c>
      <c r="P13" s="209">
        <f t="shared" si="4"/>
        <v>131559</v>
      </c>
      <c r="Q13" s="91"/>
      <c r="R13" s="207">
        <f>SKM!H13/1000+SUKB!H15/1000+UCT!H13/1000+SPSSN!H13/1000+IBA!H13/1000+ÚVT!H13/1000+CJV!H13/1000+CZS!H13/1000+RMU!H13/1000</f>
        <v>131379</v>
      </c>
      <c r="S13" s="150">
        <f>SKM!I13/1000+SUKB!I15/1000+UCT!I13/1000+SPSSN!I13/1000+IBA!I13/1000+ÚVT!I13/1000+CJV!I13/1000+CZS!I13/1000+RMU!I13/1000</f>
        <v>0</v>
      </c>
      <c r="T13" s="150">
        <f>SKM!J13/1000+SUKB!J15/1000+UCT!J13/1000+SPSSN!J13/1000+IBA!J13/1000+ÚVT!J13/1000+CJV!J13/1000+CZS!J13/1000+RMU!J13/1000</f>
        <v>180</v>
      </c>
      <c r="U13" s="150">
        <f>SKM!K13/1000+SUKB!K15/1000+UCT!K13/1000+SPSSN!K13/1000+IBA!K13/1000+ÚVT!K13/1000+CJV!K13/1000+CZS!K13/1000+RMU!K13/1000</f>
        <v>0</v>
      </c>
      <c r="V13" s="150">
        <f>SKM!L13/1000+SUKB!L15/1000+UCT!L13/1000+SPSSN!L13/1000+IBA!L13/1000+ÚVT!L13/1000+CJV!L13/1000+CZS!L13/1000+RMU!L13/1000</f>
        <v>0</v>
      </c>
      <c r="W13" s="150">
        <f>SKM!M13/1000+SUKB!M15/1000+UCT!M13/1000+SPSSN!M13/1000+IBA!M13/1000+ÚVT!M13/1000+CJV!M13/1000+CZS!M13/1000+RMU!M13/1000</f>
        <v>0</v>
      </c>
      <c r="X13" s="209">
        <f>(SKM!N13+SUKB!N15+UCT!N13+SPSSN!N13+IBA!N13+CTT!N13+ÚVT!N13+CJV!N13+CZS!N13+RMU!N13)/1000</f>
        <v>121145.48342</v>
      </c>
      <c r="Y13" s="529"/>
      <c r="Z13" s="529"/>
      <c r="AA13" s="529"/>
    </row>
    <row r="14" spans="1:27" s="65" customFormat="1" ht="12">
      <c r="A14" s="61"/>
      <c r="B14" s="62"/>
      <c r="C14" s="62"/>
      <c r="D14" s="63" t="s">
        <v>26</v>
      </c>
      <c r="E14" s="64">
        <v>12</v>
      </c>
      <c r="F14" s="207">
        <f>SKM!F14/1000</f>
        <v>0</v>
      </c>
      <c r="G14" s="239">
        <f>SUKB!F16/1000</f>
        <v>0</v>
      </c>
      <c r="H14" s="239">
        <f>UCT!F14/1000</f>
        <v>0</v>
      </c>
      <c r="I14" s="239">
        <f>SPSSN!F14/1000</f>
        <v>0</v>
      </c>
      <c r="J14" s="239">
        <f>IBA!F14/1000</f>
        <v>0</v>
      </c>
      <c r="K14" s="239">
        <f>CTT!F14/1000</f>
        <v>0</v>
      </c>
      <c r="L14" s="239">
        <f>ÚVT!F14/1000</f>
        <v>50</v>
      </c>
      <c r="M14" s="239">
        <f>CJV!F14/1000</f>
        <v>0</v>
      </c>
      <c r="N14" s="239">
        <f>CZS!F14/1000</f>
        <v>1611</v>
      </c>
      <c r="O14" s="231">
        <f>RMU!F14/1000</f>
        <v>122374.79</v>
      </c>
      <c r="P14" s="209">
        <f t="shared" si="4"/>
        <v>124035.79</v>
      </c>
      <c r="Q14" s="91"/>
      <c r="R14" s="207">
        <f>SKM!H14/1000+SUKB!H16/1000+UCT!H14/1000+SPSSN!H14/1000+IBA!H14/1000+ÚVT!H14/1000+CJV!H14/1000+CZS!H14/1000+RMU!H14/1000</f>
        <v>121238.8</v>
      </c>
      <c r="S14" s="150">
        <f>SKM!I14/1000+SUKB!I16/1000+UCT!I14/1000+SPSSN!I14/1000+IBA!I14/1000+ÚVT!I14/1000+CJV!I14/1000+CZS!I14/1000+RMU!I14/1000</f>
        <v>2533.99</v>
      </c>
      <c r="T14" s="150">
        <f>SKM!J14/1000+SUKB!J16/1000+UCT!J14/1000+SPSSN!J14/1000+IBA!J14/1000+ÚVT!J14/1000+CJV!J14/1000+CZS!J14/1000+RMU!J14/1000</f>
        <v>254</v>
      </c>
      <c r="U14" s="150">
        <f>SKM!K14/1000+SUKB!K16/1000+UCT!K14/1000+SPSSN!K14/1000+IBA!K14/1000+ÚVT!K14/1000+CJV!K14/1000+CZS!K14/1000+RMU!K14/1000</f>
        <v>0</v>
      </c>
      <c r="V14" s="150">
        <f>SKM!L14/1000+SUKB!L16/1000+UCT!L14/1000+SPSSN!L14/1000+IBA!L14/1000+ÚVT!L14/1000+CJV!L14/1000+CZS!L14/1000+RMU!L14/1000</f>
        <v>0</v>
      </c>
      <c r="W14" s="150">
        <f>SKM!M14/1000+SUKB!M16/1000+UCT!M14/1000+SPSSN!M14/1000+IBA!M14/1000+ÚVT!M14/1000+CJV!M14/1000+CZS!M14/1000+RMU!M14/1000</f>
        <v>9</v>
      </c>
      <c r="X14" s="209">
        <f>(SKM!N14+SUKB!N16+UCT!N14+SPSSN!N14+IBA!N14+CTT!N14+ÚVT!N14+CJV!N14+CZS!N14+RMU!N14)/1000</f>
        <v>114678.43806</v>
      </c>
      <c r="Y14" s="529"/>
      <c r="Z14" s="529"/>
      <c r="AA14" s="529"/>
    </row>
    <row r="15" spans="1:27" s="65" customFormat="1" ht="12">
      <c r="A15" s="61"/>
      <c r="B15" s="62"/>
      <c r="C15" s="63"/>
      <c r="D15" s="63" t="s">
        <v>27</v>
      </c>
      <c r="E15" s="64">
        <v>13</v>
      </c>
      <c r="F15" s="207">
        <f>SKM!F15/1000</f>
        <v>-4612</v>
      </c>
      <c r="G15" s="239">
        <f>SUKB!F17/1000</f>
        <v>100</v>
      </c>
      <c r="H15" s="239">
        <f>UCT!F15/1000</f>
        <v>520</v>
      </c>
      <c r="I15" s="239">
        <f>SPSSN!F15/1000</f>
        <v>308</v>
      </c>
      <c r="J15" s="239">
        <f>IBA!F15/1000</f>
        <v>225</v>
      </c>
      <c r="K15" s="239">
        <f>CTT!F15/1000</f>
        <v>0</v>
      </c>
      <c r="L15" s="239">
        <f>ÚVT!F15/1000</f>
        <v>8100</v>
      </c>
      <c r="M15" s="239">
        <f>CJV!F15/1000</f>
        <v>165</v>
      </c>
      <c r="N15" s="239">
        <f>CZS!F15/1000</f>
        <v>1367</v>
      </c>
      <c r="O15" s="231">
        <f>RMU!F15/1000</f>
        <v>38303.939</v>
      </c>
      <c r="P15" s="209">
        <f t="shared" si="4"/>
        <v>44476.939</v>
      </c>
      <c r="Q15" s="91"/>
      <c r="R15" s="207">
        <f>SKM!H15/1000+SUKB!H17/1000+UCT!H15/1000+SPSSN!H15/1000+IBA!H15/1000+ÚVT!H15/1000+CJV!H15/1000+CZS!H15/1000+RMU!H15/1000</f>
        <v>32501.939</v>
      </c>
      <c r="S15" s="150">
        <f>SKM!I15/1000+SUKB!I17/1000+UCT!I15/1000+SPSSN!I15/1000+IBA!I15/1000+ÚVT!I15/1000+CJV!I15/1000+CZS!I15/1000+RMU!I15/1000</f>
        <v>7851</v>
      </c>
      <c r="T15" s="150">
        <f>SKM!J15/1000+SUKB!J17/1000+UCT!J15/1000+SPSSN!J15/1000+IBA!J15/1000+ÚVT!J15/1000+CJV!J15/1000+CZS!J15/1000+RMU!J15/1000</f>
        <v>90</v>
      </c>
      <c r="U15" s="150">
        <f>SKM!K15/1000+SUKB!K17/1000+UCT!K15/1000+SPSSN!K15/1000+IBA!K15/1000+ÚVT!K15/1000+CJV!K15/1000+CZS!K15/1000+RMU!K15/1000</f>
        <v>0</v>
      </c>
      <c r="V15" s="150">
        <f>SKM!L15/1000+SUKB!L17/1000+UCT!L15/1000+SPSSN!L15/1000+IBA!L15/1000+ÚVT!L15/1000+CJV!L15/1000+CZS!L15/1000+RMU!L15/1000</f>
        <v>4034</v>
      </c>
      <c r="W15" s="150">
        <f>SKM!M15/1000+SUKB!M17/1000+UCT!M15/1000+SPSSN!M15/1000+IBA!M15/1000+ÚVT!M15/1000+CJV!M15/1000+CZS!M15/1000+RMU!M15/1000</f>
        <v>0</v>
      </c>
      <c r="X15" s="209">
        <f>(SKM!N15+SUKB!N17+UCT!N15+SPSSN!N15+IBA!N15+CTT!N15+ÚVT!N15+CJV!N15+CZS!N15+RMU!N15)/1000</f>
        <v>87799.21962999999</v>
      </c>
      <c r="Y15" s="529"/>
      <c r="Z15" s="529"/>
      <c r="AA15" s="529"/>
    </row>
    <row r="16" spans="1:27" s="25" customFormat="1" ht="12">
      <c r="A16" s="21"/>
      <c r="B16" s="30" t="s">
        <v>28</v>
      </c>
      <c r="C16" s="27"/>
      <c r="D16" s="27"/>
      <c r="E16" s="28">
        <v>14</v>
      </c>
      <c r="F16" s="210">
        <f>SKM!F16/1000</f>
        <v>0</v>
      </c>
      <c r="G16" s="196">
        <f>SUKB!F18/1000</f>
        <v>0</v>
      </c>
      <c r="H16" s="196">
        <f>UCT!F16/1000</f>
        <v>0</v>
      </c>
      <c r="I16" s="196">
        <f>SPSSN!F16/1000</f>
        <v>0</v>
      </c>
      <c r="J16" s="196">
        <f>IBA!F16/1000</f>
        <v>0</v>
      </c>
      <c r="K16" s="196">
        <f>CTT!F16/1000</f>
        <v>0</v>
      </c>
      <c r="L16" s="196">
        <f>ÚVT!F16/1000</f>
        <v>0</v>
      </c>
      <c r="M16" s="196">
        <f>CJV!F16/1000</f>
        <v>0</v>
      </c>
      <c r="N16" s="196">
        <f>CZS!F16/1000</f>
        <v>0</v>
      </c>
      <c r="O16" s="232">
        <f>RMU!F16/1000</f>
        <v>0</v>
      </c>
      <c r="P16" s="105">
        <f t="shared" si="4"/>
        <v>0</v>
      </c>
      <c r="Q16" s="97"/>
      <c r="R16" s="207">
        <f>SKM!H16/1000+SUKB!H18/1000+UCT!H16/1000+SPSSN!H16/1000+IBA!H16/1000+ÚVT!H16/1000+CJV!H16/1000+CZS!H16/1000+RMU!H16/1000</f>
        <v>0</v>
      </c>
      <c r="S16" s="150">
        <f>SKM!I16/1000+SUKB!I18/1000+UCT!I16/1000+SPSSN!I16/1000+IBA!I16/1000+ÚVT!I16/1000+CJV!I16/1000+CZS!I16/1000+RMU!I16/1000</f>
        <v>0</v>
      </c>
      <c r="T16" s="150">
        <f>SKM!J16/1000+SUKB!J18/1000+UCT!J16/1000+SPSSN!J16/1000+IBA!J16/1000+ÚVT!J16/1000+CJV!J16/1000+CZS!J16/1000+RMU!J16/1000</f>
        <v>0</v>
      </c>
      <c r="U16" s="150">
        <f>SKM!K16/1000+SUKB!K18/1000+UCT!K16/1000+SPSSN!K16/1000+IBA!K16/1000+ÚVT!K16/1000+CJV!K16/1000+CZS!K16/1000+RMU!K16/1000</f>
        <v>0</v>
      </c>
      <c r="V16" s="150">
        <f>SKM!L16/1000+SUKB!L18/1000+UCT!L16/1000+SPSSN!L16/1000+IBA!L16/1000+ÚVT!L16/1000+CJV!L16/1000+CZS!L16/1000+RMU!L16/1000</f>
        <v>0</v>
      </c>
      <c r="W16" s="150">
        <f>SKM!M16/1000+SUKB!M18/1000+UCT!M16/1000+SPSSN!M16/1000+IBA!M16/1000+ÚVT!M16/1000+CJV!M16/1000+CZS!M16/1000+RMU!M16/1000</f>
        <v>0</v>
      </c>
      <c r="X16" s="105">
        <f>(SKM!N16+SUKB!N18+UCT!N16+SPSSN!N16+IBA!N16+CTT!N16+ÚVT!N16+CJV!N16+CZS!N16+RMU!N16)/1000</f>
        <v>0</v>
      </c>
      <c r="Y16" s="527"/>
      <c r="Z16" s="527"/>
      <c r="AA16" s="527"/>
    </row>
    <row r="17" spans="1:27" s="25" customFormat="1" ht="12">
      <c r="A17" s="21"/>
      <c r="B17" s="30" t="s">
        <v>30</v>
      </c>
      <c r="C17" s="27"/>
      <c r="D17" s="27"/>
      <c r="E17" s="28">
        <v>15</v>
      </c>
      <c r="F17" s="210">
        <f>SKM!F17/1000</f>
        <v>0</v>
      </c>
      <c r="G17" s="196">
        <f>SUKB!F19/1000</f>
        <v>0</v>
      </c>
      <c r="H17" s="196">
        <f>UCT!F17/1000</f>
        <v>0</v>
      </c>
      <c r="I17" s="196">
        <f>SPSSN!F17/1000</f>
        <v>0</v>
      </c>
      <c r="J17" s="196">
        <f>IBA!F17/1000</f>
        <v>0</v>
      </c>
      <c r="K17" s="196">
        <f>CTT!F17/1000</f>
        <v>0</v>
      </c>
      <c r="L17" s="196">
        <f>ÚVT!F17/1000</f>
        <v>0</v>
      </c>
      <c r="M17" s="196">
        <f>CJV!F17/1000</f>
        <v>0</v>
      </c>
      <c r="N17" s="196">
        <f>CZS!F17/1000</f>
        <v>31000</v>
      </c>
      <c r="O17" s="232">
        <f>RMU!F17/1000</f>
        <v>0</v>
      </c>
      <c r="P17" s="105">
        <f t="shared" si="4"/>
        <v>31000</v>
      </c>
      <c r="Q17" s="97"/>
      <c r="R17" s="207">
        <f>SKM!H17/1000+SUKB!H19/1000+UCT!H17/1000+SPSSN!H17/1000+IBA!H17/1000+ÚVT!H17/1000+CJV!H17/1000+CZS!H17/1000+RMU!H17/1000</f>
        <v>30055</v>
      </c>
      <c r="S17" s="150">
        <f>SKM!I17/1000+SUKB!I19/1000+UCT!I17/1000+SPSSN!I17/1000+IBA!I17/1000+ÚVT!I17/1000+CJV!I17/1000+CZS!I17/1000+RMU!I17/1000</f>
        <v>0</v>
      </c>
      <c r="T17" s="150">
        <f>SKM!J17/1000+SUKB!J19/1000+UCT!J17/1000+SPSSN!J17/1000+IBA!J17/1000+ÚVT!J17/1000+CJV!J17/1000+CZS!J17/1000+RMU!J17/1000</f>
        <v>945</v>
      </c>
      <c r="U17" s="150">
        <f>SKM!K17/1000+SUKB!K19/1000+UCT!K17/1000+SPSSN!K17/1000+IBA!K17/1000+ÚVT!K17/1000+CJV!K17/1000+CZS!K17/1000+RMU!K17/1000</f>
        <v>0</v>
      </c>
      <c r="V17" s="150">
        <f>SKM!L17/1000+SUKB!L19/1000+UCT!L17/1000+SPSSN!L17/1000+IBA!L17/1000+ÚVT!L17/1000+CJV!L17/1000+CZS!L17/1000+RMU!L17/1000</f>
        <v>0</v>
      </c>
      <c r="W17" s="150">
        <f>SKM!M17/1000+SUKB!M19/1000+UCT!M17/1000+SPSSN!M17/1000+IBA!M17/1000+ÚVT!M17/1000+CJV!M17/1000+CZS!M17/1000+RMU!M17/1000</f>
        <v>0</v>
      </c>
      <c r="X17" s="105">
        <f>(SKM!N17+SUKB!N19+UCT!N17+SPSSN!N17+IBA!N17+CTT!N17+ÚVT!N17+CJV!N17+CZS!N17+RMU!N17)/1000</f>
        <v>29516.890480000002</v>
      </c>
      <c r="Y17" s="527"/>
      <c r="Z17" s="527"/>
      <c r="AA17" s="527"/>
    </row>
    <row r="18" spans="1:27" s="25" customFormat="1" ht="12">
      <c r="A18" s="21"/>
      <c r="B18" s="31" t="s">
        <v>32</v>
      </c>
      <c r="C18" s="32"/>
      <c r="D18" s="32"/>
      <c r="E18" s="33">
        <v>16</v>
      </c>
      <c r="F18" s="210">
        <f>SKM!F18/1000</f>
        <v>0</v>
      </c>
      <c r="G18" s="196">
        <f>SUKB!F20/1000</f>
        <v>0</v>
      </c>
      <c r="H18" s="196">
        <f>UCT!F18/1000</f>
        <v>0</v>
      </c>
      <c r="I18" s="196">
        <f>SPSSN!F18/1000</f>
        <v>15850</v>
      </c>
      <c r="J18" s="196">
        <f>IBA!F18/1000</f>
        <v>0</v>
      </c>
      <c r="K18" s="196">
        <f>CTT!F18/1000</f>
        <v>0</v>
      </c>
      <c r="L18" s="196">
        <f>ÚVT!F18/1000</f>
        <v>1168</v>
      </c>
      <c r="M18" s="196">
        <f>CJV!F18/1000</f>
        <v>0</v>
      </c>
      <c r="N18" s="196">
        <f>CZS!F18/1000</f>
        <v>6500</v>
      </c>
      <c r="O18" s="232">
        <f>RMU!F18/1000</f>
        <v>57393</v>
      </c>
      <c r="P18" s="105">
        <f t="shared" si="4"/>
        <v>80911</v>
      </c>
      <c r="Q18" s="97"/>
      <c r="R18" s="207">
        <f>SKM!H18/1000+SUKB!H20/1000+UCT!H18/1000+SPSSN!H18/1000+IBA!H18/1000+ÚVT!H18/1000+CJV!H18/1000+CZS!H18/1000+RMU!H18/1000</f>
        <v>80911</v>
      </c>
      <c r="S18" s="150">
        <f>SKM!I18/1000+SUKB!I20/1000+UCT!I18/1000+SPSSN!I18/1000+IBA!I18/1000+ÚVT!I18/1000+CJV!I18/1000+CZS!I18/1000+RMU!I18/1000</f>
        <v>0</v>
      </c>
      <c r="T18" s="150">
        <f>SKM!J18/1000+SUKB!J20/1000+UCT!J18/1000+SPSSN!J18/1000+IBA!J18/1000+ÚVT!J18/1000+CJV!J18/1000+CZS!J18/1000+RMU!J18/1000</f>
        <v>0</v>
      </c>
      <c r="U18" s="150">
        <f>SKM!K18/1000+SUKB!K20/1000+UCT!K18/1000+SPSSN!K18/1000+IBA!K18/1000+ÚVT!K18/1000+CJV!K18/1000+CZS!K18/1000+RMU!K18/1000</f>
        <v>0</v>
      </c>
      <c r="V18" s="150">
        <f>SKM!L18/1000+SUKB!L20/1000+UCT!L18/1000+SPSSN!L18/1000+IBA!L18/1000+ÚVT!L18/1000+CJV!L18/1000+CZS!L18/1000+RMU!L18/1000</f>
        <v>0</v>
      </c>
      <c r="W18" s="150">
        <f>SKM!M18/1000+SUKB!M20/1000+UCT!M18/1000+SPSSN!M18/1000+IBA!M18/1000+ÚVT!M18/1000+CJV!M18/1000+CZS!M18/1000+RMU!M18/1000</f>
        <v>0</v>
      </c>
      <c r="X18" s="105">
        <f>(SKM!N18+SUKB!N20+UCT!N18+SPSSN!N18+IBA!N18+CTT!N18+ÚVT!N18+CJV!N18+CZS!N18+RMU!N18)/1000</f>
        <v>56434.83125</v>
      </c>
      <c r="Y18" s="527"/>
      <c r="Z18" s="527"/>
      <c r="AA18" s="527"/>
    </row>
    <row r="19" spans="1:27" s="25" customFormat="1" ht="12">
      <c r="A19" s="21"/>
      <c r="B19" s="31" t="s">
        <v>34</v>
      </c>
      <c r="C19" s="32"/>
      <c r="D19" s="32"/>
      <c r="E19" s="33">
        <v>17</v>
      </c>
      <c r="F19" s="210">
        <f>SKM!F19/1000</f>
        <v>0</v>
      </c>
      <c r="G19" s="196">
        <f>SUKB!F21/1000</f>
        <v>0</v>
      </c>
      <c r="H19" s="196">
        <f>UCT!F19/1000</f>
        <v>0</v>
      </c>
      <c r="I19" s="196">
        <f>SPSSN!F19/1000</f>
        <v>0</v>
      </c>
      <c r="J19" s="196">
        <f>IBA!F19/1000</f>
        <v>0</v>
      </c>
      <c r="K19" s="196">
        <f>CTT!F19/1000</f>
        <v>0</v>
      </c>
      <c r="L19" s="196">
        <f>ÚVT!F19/1000</f>
        <v>0</v>
      </c>
      <c r="M19" s="196">
        <f>CJV!F19/1000</f>
        <v>0</v>
      </c>
      <c r="N19" s="196">
        <f>CZS!F19/1000</f>
        <v>0</v>
      </c>
      <c r="O19" s="232">
        <f>RMU!F19/1000</f>
        <v>0</v>
      </c>
      <c r="P19" s="105">
        <f t="shared" si="4"/>
        <v>0</v>
      </c>
      <c r="Q19" s="97"/>
      <c r="R19" s="207">
        <f>SKM!H19/1000+SUKB!H21/1000+UCT!H19/1000+SPSSN!H19/1000+IBA!H19/1000+ÚVT!H19/1000+CJV!H19/1000+CZS!H19/1000+RMU!H19/1000</f>
        <v>0</v>
      </c>
      <c r="S19" s="150">
        <f>SKM!I19/1000+SUKB!I21/1000+UCT!I19/1000+SPSSN!I19/1000+IBA!I19/1000+ÚVT!I19/1000+CJV!I19/1000+CZS!I19/1000+RMU!I19/1000</f>
        <v>0</v>
      </c>
      <c r="T19" s="150">
        <f>SKM!J19/1000+SUKB!J21/1000+UCT!J19/1000+SPSSN!J19/1000+IBA!J19/1000+ÚVT!J19/1000+CJV!J19/1000+CZS!J19/1000+RMU!J19/1000</f>
        <v>0</v>
      </c>
      <c r="U19" s="150">
        <f>SKM!K19/1000+SUKB!K21/1000+UCT!K19/1000+SPSSN!K19/1000+IBA!K19/1000+ÚVT!K19/1000+CJV!K19/1000+CZS!K19/1000+RMU!K19/1000</f>
        <v>0</v>
      </c>
      <c r="V19" s="150">
        <f>SKM!L19/1000+SUKB!L21/1000+UCT!L19/1000+SPSSN!L19/1000+IBA!L19/1000+ÚVT!L19/1000+CJV!L19/1000+CZS!L19/1000+RMU!L19/1000</f>
        <v>0</v>
      </c>
      <c r="W19" s="150">
        <f>SKM!M19/1000+SUKB!M21/1000+UCT!M19/1000+SPSSN!M19/1000+IBA!M19/1000+ÚVT!M19/1000+CJV!M19/1000+CZS!M19/1000+RMU!M19/1000</f>
        <v>0</v>
      </c>
      <c r="X19" s="105">
        <f>(SKM!N19+SUKB!N21+UCT!N19+SPSSN!N19+IBA!N19+CTT!N19+ÚVT!N19+CJV!N19+CZS!N19+RMU!N19)/1000</f>
        <v>0</v>
      </c>
      <c r="Y19" s="527"/>
      <c r="Z19" s="527"/>
      <c r="AA19" s="527"/>
    </row>
    <row r="20" spans="1:27" s="25" customFormat="1" ht="12">
      <c r="A20" s="21"/>
      <c r="B20" s="31" t="s">
        <v>36</v>
      </c>
      <c r="C20" s="31"/>
      <c r="D20" s="31"/>
      <c r="E20" s="33">
        <v>18</v>
      </c>
      <c r="F20" s="210">
        <f>SKM!F20/1000</f>
        <v>0</v>
      </c>
      <c r="G20" s="196">
        <f>SUKB!F22/1000</f>
        <v>0</v>
      </c>
      <c r="H20" s="196">
        <f>UCT!F20/1000</f>
        <v>0</v>
      </c>
      <c r="I20" s="196">
        <f>SPSSN!F20/1000</f>
        <v>0</v>
      </c>
      <c r="J20" s="196">
        <f>IBA!F20/1000</f>
        <v>0</v>
      </c>
      <c r="K20" s="196">
        <f>CTT!F20/1000</f>
        <v>0</v>
      </c>
      <c r="L20" s="196">
        <f>ÚVT!F20/1000</f>
        <v>0</v>
      </c>
      <c r="M20" s="196">
        <f>CJV!F20/1000</f>
        <v>0</v>
      </c>
      <c r="N20" s="196">
        <f>CZS!F20/1000</f>
        <v>100</v>
      </c>
      <c r="O20" s="232">
        <f>RMU!F20/1000</f>
        <v>4527.476</v>
      </c>
      <c r="P20" s="105">
        <f t="shared" si="4"/>
        <v>4627.476</v>
      </c>
      <c r="Q20" s="97"/>
      <c r="R20" s="207">
        <f>SKM!H20/1000+SUKB!H22/1000+UCT!H20/1000+SPSSN!H20/1000+IBA!H20/1000+ÚVT!H20/1000+CJV!H20/1000+CZS!H20/1000+RMU!H20/1000</f>
        <v>4627.476</v>
      </c>
      <c r="S20" s="150">
        <f>SKM!I20/1000+SUKB!I22/1000+UCT!I20/1000+SPSSN!I20/1000+IBA!I20/1000+ÚVT!I20/1000+CJV!I20/1000+CZS!I20/1000+RMU!I20/1000</f>
        <v>0</v>
      </c>
      <c r="T20" s="150">
        <f>SKM!J20/1000+SUKB!J22/1000+UCT!J20/1000+SPSSN!J20/1000+IBA!J20/1000+ÚVT!J20/1000+CJV!J20/1000+CZS!J20/1000+RMU!J20/1000</f>
        <v>0</v>
      </c>
      <c r="U20" s="150">
        <f>SKM!K20/1000+SUKB!K22/1000+UCT!K20/1000+SPSSN!K20/1000+IBA!K20/1000+ÚVT!K20/1000+CJV!K20/1000+CZS!K20/1000+RMU!K20/1000</f>
        <v>0</v>
      </c>
      <c r="V20" s="150">
        <f>SKM!L20/1000+SUKB!L22/1000+UCT!L20/1000+SPSSN!L20/1000+IBA!L20/1000+ÚVT!L20/1000+CJV!L20/1000+CZS!L20/1000+RMU!L20/1000</f>
        <v>0</v>
      </c>
      <c r="W20" s="150">
        <f>SKM!M20/1000+SUKB!M22/1000+UCT!M20/1000+SPSSN!M20/1000+IBA!M20/1000+ÚVT!M20/1000+CJV!M20/1000+CZS!M20/1000+RMU!M20/1000</f>
        <v>0</v>
      </c>
      <c r="X20" s="105">
        <f>(SKM!N20+SUKB!N22+UCT!N20+SPSSN!N20+IBA!N20+CTT!N20+ÚVT!N20+CJV!N20+CZS!N20+RMU!N20)/1000</f>
        <v>2842.09026</v>
      </c>
      <c r="Y20" s="527"/>
      <c r="Z20" s="527"/>
      <c r="AA20" s="527"/>
    </row>
    <row r="21" spans="1:27" s="25" customFormat="1" ht="12">
      <c r="A21" s="21"/>
      <c r="B21" s="31" t="s">
        <v>38</v>
      </c>
      <c r="C21" s="31"/>
      <c r="D21" s="31"/>
      <c r="E21" s="33">
        <v>19</v>
      </c>
      <c r="F21" s="210">
        <f>SKM!F21/1000</f>
        <v>0</v>
      </c>
      <c r="G21" s="196">
        <f>SUKB!F23/1000</f>
        <v>0</v>
      </c>
      <c r="H21" s="196">
        <f>UCT!F21/1000</f>
        <v>0</v>
      </c>
      <c r="I21" s="196">
        <f>SPSSN!F21/1000</f>
        <v>4607</v>
      </c>
      <c r="J21" s="196">
        <f>IBA!F21/1000</f>
        <v>0</v>
      </c>
      <c r="K21" s="196">
        <f>CTT!F21/1000</f>
        <v>0</v>
      </c>
      <c r="L21" s="196">
        <f>ÚVT!F21/1000</f>
        <v>0</v>
      </c>
      <c r="M21" s="196">
        <f>CJV!F21/1000</f>
        <v>0</v>
      </c>
      <c r="N21" s="196">
        <f>CZS!F21/1000</f>
        <v>0</v>
      </c>
      <c r="O21" s="232">
        <f>RMU!F21/1000</f>
        <v>0</v>
      </c>
      <c r="P21" s="105">
        <f t="shared" si="4"/>
        <v>4607</v>
      </c>
      <c r="Q21" s="97"/>
      <c r="R21" s="207">
        <f>SKM!H21/1000+SUKB!H23/1000+UCT!H21/1000+SPSSN!H21/1000+IBA!H21/1000+ÚVT!H21/1000+CJV!H21/1000+CZS!H21/1000+RMU!H21/1000</f>
        <v>4607</v>
      </c>
      <c r="S21" s="150">
        <f>SKM!I21/1000+SUKB!I23/1000+UCT!I21/1000+SPSSN!I21/1000+IBA!I21/1000+ÚVT!I21/1000+CJV!I21/1000+CZS!I21/1000+RMU!I21/1000</f>
        <v>0</v>
      </c>
      <c r="T21" s="150">
        <f>SKM!J21/1000+SUKB!J23/1000+UCT!J21/1000+SPSSN!J21/1000+IBA!J21/1000+ÚVT!J21/1000+CJV!J21/1000+CZS!J21/1000+RMU!J21/1000</f>
        <v>0</v>
      </c>
      <c r="U21" s="150">
        <f>SKM!K21/1000+SUKB!K23/1000+UCT!K21/1000+SPSSN!K21/1000+IBA!K21/1000+ÚVT!K21/1000+CJV!K21/1000+CZS!K21/1000+RMU!K21/1000</f>
        <v>0</v>
      </c>
      <c r="V21" s="150">
        <f>SKM!L21/1000+SUKB!L23/1000+UCT!L21/1000+SPSSN!L21/1000+IBA!L21/1000+ÚVT!L21/1000+CJV!L21/1000+CZS!L21/1000+RMU!L21/1000</f>
        <v>0</v>
      </c>
      <c r="W21" s="150">
        <f>SKM!M21/1000+SUKB!M23/1000+UCT!M21/1000+SPSSN!M21/1000+IBA!M21/1000+ÚVT!M21/1000+CJV!M21/1000+CZS!M21/1000+RMU!M21/1000</f>
        <v>0</v>
      </c>
      <c r="X21" s="105">
        <f>(SKM!N21+SUKB!N23+UCT!N21+SPSSN!N21+IBA!N21+CTT!N21+ÚVT!N21+CJV!N21+CZS!N21+RMU!N21)/1000</f>
        <v>3110.45848</v>
      </c>
      <c r="Y21" s="527"/>
      <c r="Z21" s="527"/>
      <c r="AA21" s="527"/>
    </row>
    <row r="22" spans="1:27" s="25" customFormat="1" ht="12">
      <c r="A22" s="21"/>
      <c r="B22" s="31" t="s">
        <v>40</v>
      </c>
      <c r="C22" s="31"/>
      <c r="D22" s="31"/>
      <c r="E22" s="33">
        <v>20</v>
      </c>
      <c r="F22" s="210">
        <f>SKM!F22/1000</f>
        <v>0</v>
      </c>
      <c r="G22" s="196">
        <f>SUKB!F24/1000</f>
        <v>0</v>
      </c>
      <c r="H22" s="196">
        <f>UCT!F22/1000</f>
        <v>0</v>
      </c>
      <c r="I22" s="196">
        <f>SPSSN!F22/1000</f>
        <v>500</v>
      </c>
      <c r="J22" s="196">
        <f>IBA!F22/1000</f>
        <v>0</v>
      </c>
      <c r="K22" s="196">
        <f>CTT!F22/1000</f>
        <v>0</v>
      </c>
      <c r="L22" s="196">
        <f>ÚVT!F22/1000</f>
        <v>0</v>
      </c>
      <c r="M22" s="196">
        <f>CJV!F22/1000</f>
        <v>68</v>
      </c>
      <c r="N22" s="196">
        <f>CZS!F22/1000</f>
        <v>33000</v>
      </c>
      <c r="O22" s="232">
        <f>RMU!F22/1000</f>
        <v>2085</v>
      </c>
      <c r="P22" s="105">
        <f t="shared" si="4"/>
        <v>35653</v>
      </c>
      <c r="Q22" s="97"/>
      <c r="R22" s="207">
        <f>SKM!H22/1000+SUKB!H24/1000+UCT!H22/1000+SPSSN!H22/1000+IBA!H22/1000+ÚVT!H22/1000+CJV!H22/1000+CZS!H22/1000+RMU!H22/1000</f>
        <v>25373</v>
      </c>
      <c r="S22" s="150">
        <f>SKM!I22/1000+SUKB!I24/1000+UCT!I22/1000+SPSSN!I22/1000+IBA!I22/1000+ÚVT!I22/1000+CJV!I22/1000+CZS!I22/1000+RMU!I22/1000</f>
        <v>0</v>
      </c>
      <c r="T22" s="150">
        <f>SKM!J22/1000+SUKB!J24/1000+UCT!J22/1000+SPSSN!J22/1000+IBA!J22/1000+ÚVT!J22/1000+CJV!J22/1000+CZS!J22/1000+RMU!J22/1000</f>
        <v>10280</v>
      </c>
      <c r="U22" s="150">
        <f>SKM!K22/1000+SUKB!K24/1000+UCT!K22/1000+SPSSN!K22/1000+IBA!K22/1000+ÚVT!K22/1000+CJV!K22/1000+CZS!K22/1000+RMU!K22/1000</f>
        <v>0</v>
      </c>
      <c r="V22" s="150">
        <f>SKM!L22/1000+SUKB!L24/1000+UCT!L22/1000+SPSSN!L22/1000+IBA!L22/1000+ÚVT!L22/1000+CJV!L22/1000+CZS!L22/1000+RMU!L22/1000</f>
        <v>0</v>
      </c>
      <c r="W22" s="150">
        <f>SKM!M22/1000+SUKB!M24/1000+UCT!M22/1000+SPSSN!M22/1000+IBA!M22/1000+ÚVT!M22/1000+CJV!M22/1000+CZS!M22/1000+RMU!M22/1000</f>
        <v>0</v>
      </c>
      <c r="X22" s="105">
        <f>(SKM!N22+SUKB!N24+UCT!N22+SPSSN!N22+IBA!N22+CTT!N22+ÚVT!N22+CJV!N22+CZS!N22+RMU!N22)/1000</f>
        <v>36270.66097999999</v>
      </c>
      <c r="Y22" s="527"/>
      <c r="Z22" s="527"/>
      <c r="AA22" s="527"/>
    </row>
    <row r="23" spans="1:27" s="25" customFormat="1" ht="12">
      <c r="A23" s="21"/>
      <c r="B23" s="31" t="s">
        <v>42</v>
      </c>
      <c r="C23" s="31"/>
      <c r="D23" s="31"/>
      <c r="E23" s="33">
        <v>21</v>
      </c>
      <c r="F23" s="210">
        <f>SKM!F23/1000</f>
        <v>0</v>
      </c>
      <c r="G23" s="196">
        <f>SUKB!F25/1000</f>
        <v>0</v>
      </c>
      <c r="H23" s="196">
        <f>UCT!F23/1000</f>
        <v>0</v>
      </c>
      <c r="I23" s="196">
        <f>SPSSN!F23/1000</f>
        <v>0</v>
      </c>
      <c r="J23" s="196">
        <f>IBA!F23/1000</f>
        <v>0</v>
      </c>
      <c r="K23" s="196">
        <f>CTT!F23/1000</f>
        <v>0</v>
      </c>
      <c r="L23" s="196">
        <f>ÚVT!F23/1000</f>
        <v>60</v>
      </c>
      <c r="M23" s="196">
        <f>CJV!F23/1000</f>
        <v>0</v>
      </c>
      <c r="N23" s="196">
        <f>CZS!F23/1000</f>
        <v>0</v>
      </c>
      <c r="O23" s="232">
        <f>RMU!F23/1000</f>
        <v>0</v>
      </c>
      <c r="P23" s="105">
        <f t="shared" si="4"/>
        <v>60</v>
      </c>
      <c r="Q23" s="97"/>
      <c r="R23" s="207">
        <f>SKM!H23/1000+SUKB!H25/1000+UCT!H23/1000+SPSSN!H23/1000+IBA!H23/1000+ÚVT!H23/1000+CJV!H23/1000+CZS!H23/1000+RMU!H23/1000</f>
        <v>0</v>
      </c>
      <c r="S23" s="150">
        <f>SKM!I23/1000+SUKB!I25/1000+UCT!I23/1000+SPSSN!I23/1000+IBA!I23/1000+ÚVT!I23/1000+CJV!I23/1000+CZS!I23/1000+RMU!I23/1000</f>
        <v>0</v>
      </c>
      <c r="T23" s="150">
        <f>SKM!J23/1000+SUKB!J25/1000+UCT!J23/1000+SPSSN!J23/1000+IBA!J23/1000+ÚVT!J23/1000+CJV!J23/1000+CZS!J23/1000+RMU!J23/1000</f>
        <v>60</v>
      </c>
      <c r="U23" s="150">
        <f>SKM!K23/1000+SUKB!K25/1000+UCT!K23/1000+SPSSN!K23/1000+IBA!K23/1000+ÚVT!K23/1000+CJV!K23/1000+CZS!K23/1000+RMU!K23/1000</f>
        <v>0</v>
      </c>
      <c r="V23" s="150">
        <f>SKM!L23/1000+SUKB!L25/1000+UCT!L23/1000+SPSSN!L23/1000+IBA!L23/1000+ÚVT!L23/1000+CJV!L23/1000+CZS!L23/1000+RMU!L23/1000</f>
        <v>0</v>
      </c>
      <c r="W23" s="150">
        <f>SKM!M23/1000+SUKB!M25/1000+UCT!M23/1000+SPSSN!M23/1000+IBA!M23/1000+ÚVT!M23/1000+CJV!M23/1000+CZS!M23/1000+RMU!M23/1000</f>
        <v>0</v>
      </c>
      <c r="X23" s="105">
        <f>(SKM!N23+SUKB!N25+UCT!N23+SPSSN!N23+IBA!N23+CTT!N23+ÚVT!N23+CJV!N23+CZS!N23+RMU!N23)/1000</f>
        <v>1346.5173300000001</v>
      </c>
      <c r="Y23" s="527"/>
      <c r="Z23" s="527"/>
      <c r="AA23" s="527"/>
    </row>
    <row r="24" spans="1:27" s="25" customFormat="1" ht="12">
      <c r="A24" s="21"/>
      <c r="B24" s="31" t="s">
        <v>44</v>
      </c>
      <c r="C24" s="31"/>
      <c r="D24" s="31"/>
      <c r="E24" s="33">
        <v>22</v>
      </c>
      <c r="F24" s="210">
        <f>SKM!F24/1000</f>
        <v>0</v>
      </c>
      <c r="G24" s="196">
        <f>SUKB!F26/1000</f>
        <v>0</v>
      </c>
      <c r="H24" s="196">
        <f>UCT!F24/1000</f>
        <v>0</v>
      </c>
      <c r="I24" s="196">
        <f>SPSSN!F24/1000</f>
        <v>96</v>
      </c>
      <c r="J24" s="196">
        <f>IBA!F24/1000</f>
        <v>2540</v>
      </c>
      <c r="K24" s="196">
        <f>CTT!F24/1000</f>
        <v>0</v>
      </c>
      <c r="L24" s="196">
        <f>ÚVT!F24/1000</f>
        <v>2326</v>
      </c>
      <c r="M24" s="196">
        <f>CJV!F24/1000</f>
        <v>0</v>
      </c>
      <c r="N24" s="196">
        <f>CZS!F24/1000</f>
        <v>0</v>
      </c>
      <c r="O24" s="232">
        <f>RMU!F24/1000</f>
        <v>15574</v>
      </c>
      <c r="P24" s="105">
        <f t="shared" si="4"/>
        <v>20536</v>
      </c>
      <c r="Q24" s="97"/>
      <c r="R24" s="207">
        <f>SKM!H24/1000+SUKB!H26/1000+UCT!H24/1000+SPSSN!H24/1000+IBA!H24/1000+ÚVT!H24/1000+CJV!H24/1000+CZS!H24/1000+RMU!H24/1000</f>
        <v>20536</v>
      </c>
      <c r="S24" s="150">
        <f>SKM!I24/1000+SUKB!I26/1000+UCT!I24/1000+SPSSN!I24/1000+IBA!I24/1000+ÚVT!I24/1000+CJV!I24/1000+CZS!I24/1000+RMU!I24/1000</f>
        <v>0</v>
      </c>
      <c r="T24" s="150">
        <f>SKM!J24/1000+SUKB!J26/1000+UCT!J24/1000+SPSSN!J24/1000+IBA!J24/1000+ÚVT!J24/1000+CJV!J24/1000+CZS!J24/1000+RMU!J24/1000</f>
        <v>0</v>
      </c>
      <c r="U24" s="150">
        <f>SKM!K24/1000+SUKB!K26/1000+UCT!K24/1000+SPSSN!K24/1000+IBA!K24/1000+ÚVT!K24/1000+CJV!K24/1000+CZS!K24/1000+RMU!K24/1000</f>
        <v>0</v>
      </c>
      <c r="V24" s="150">
        <f>SKM!L24/1000+SUKB!L26/1000+UCT!L24/1000+SPSSN!L24/1000+IBA!L24/1000+ÚVT!L24/1000+CJV!L24/1000+CZS!L24/1000+RMU!L24/1000</f>
        <v>0</v>
      </c>
      <c r="W24" s="150">
        <f>SKM!M24/1000+SUKB!M26/1000+UCT!M24/1000+SPSSN!M24/1000+IBA!M24/1000+ÚVT!M24/1000+CJV!M24/1000+CZS!M24/1000+RMU!M24/1000</f>
        <v>0</v>
      </c>
      <c r="X24" s="105">
        <f>(SKM!N24+SUKB!N26+UCT!N24+SPSSN!N24+IBA!N24+CTT!N24+ÚVT!N24+CJV!N24+CZS!N24+RMU!N24)/1000</f>
        <v>13668</v>
      </c>
      <c r="Y24" s="527"/>
      <c r="Z24" s="527"/>
      <c r="AA24" s="527"/>
    </row>
    <row r="25" spans="1:27" s="25" customFormat="1" ht="12">
      <c r="A25" s="21"/>
      <c r="B25" s="31" t="s">
        <v>45</v>
      </c>
      <c r="C25" s="31"/>
      <c r="D25" s="31"/>
      <c r="E25" s="33">
        <v>23</v>
      </c>
      <c r="F25" s="210">
        <f>SKM!F25/1000</f>
        <v>0</v>
      </c>
      <c r="G25" s="196">
        <f>SUKB!F27/1000</f>
        <v>0</v>
      </c>
      <c r="H25" s="196">
        <f>UCT!F25/1000</f>
        <v>0</v>
      </c>
      <c r="I25" s="196">
        <f>SPSSN!F25/1000</f>
        <v>0</v>
      </c>
      <c r="J25" s="196">
        <f>IBA!F25/1000</f>
        <v>0</v>
      </c>
      <c r="K25" s="196">
        <f>CTT!F25/1000</f>
        <v>0</v>
      </c>
      <c r="L25" s="196">
        <f>ÚVT!F25/1000</f>
        <v>359</v>
      </c>
      <c r="M25" s="196">
        <f>CJV!F25/1000</f>
        <v>0</v>
      </c>
      <c r="N25" s="196">
        <f>CZS!F25/1000</f>
        <v>0</v>
      </c>
      <c r="O25" s="232">
        <f>RMU!F25/1000</f>
        <v>975.333</v>
      </c>
      <c r="P25" s="105">
        <f t="shared" si="4"/>
        <v>1334.333</v>
      </c>
      <c r="Q25" s="97"/>
      <c r="R25" s="207">
        <f>SKM!H25/1000+SUKB!H27/1000+UCT!H25/1000+SPSSN!H25/1000+IBA!H25/1000+ÚVT!H25/1000+CJV!H25/1000+CZS!H25/1000+RMU!H25/1000</f>
        <v>1224.333</v>
      </c>
      <c r="S25" s="150">
        <f>SKM!I25/1000+SUKB!I27/1000+UCT!I25/1000+SPSSN!I25/1000+IBA!I25/1000+ÚVT!I25/1000+CJV!I25/1000+CZS!I25/1000+RMU!I25/1000</f>
        <v>0</v>
      </c>
      <c r="T25" s="150">
        <f>SKM!J25/1000+SUKB!J27/1000+UCT!J25/1000+SPSSN!J25/1000+IBA!J25/1000+ÚVT!J25/1000+CJV!J25/1000+CZS!J25/1000+RMU!J25/1000</f>
        <v>110</v>
      </c>
      <c r="U25" s="150">
        <f>SKM!K25/1000+SUKB!K27/1000+UCT!K25/1000+SPSSN!K25/1000+IBA!K25/1000+ÚVT!K25/1000+CJV!K25/1000+CZS!K25/1000+RMU!K25/1000</f>
        <v>0</v>
      </c>
      <c r="V25" s="150">
        <f>SKM!L25/1000+SUKB!L27/1000+UCT!L25/1000+SPSSN!L25/1000+IBA!L25/1000+ÚVT!L25/1000+CJV!L25/1000+CZS!L25/1000+RMU!L25/1000</f>
        <v>0</v>
      </c>
      <c r="W25" s="150">
        <f>SKM!M25/1000+SUKB!M27/1000+UCT!M25/1000+SPSSN!M25/1000+IBA!M25/1000+ÚVT!M25/1000+CJV!M25/1000+CZS!M25/1000+RMU!M25/1000</f>
        <v>0</v>
      </c>
      <c r="X25" s="105">
        <f>(SKM!N25+SUKB!N27+UCT!N25+SPSSN!N25+IBA!N25+CTT!N25+ÚVT!N25+CJV!N25+CZS!N25+RMU!N25)/1000</f>
        <v>3497.8137</v>
      </c>
      <c r="Y25" s="527"/>
      <c r="Z25" s="527"/>
      <c r="AA25" s="527"/>
    </row>
    <row r="26" spans="1:27" s="25" customFormat="1" ht="12">
      <c r="A26" s="21"/>
      <c r="B26" s="31" t="s">
        <v>47</v>
      </c>
      <c r="C26" s="31"/>
      <c r="D26" s="31"/>
      <c r="E26" s="33">
        <v>24</v>
      </c>
      <c r="F26" s="210">
        <f>SKM!F26/1000</f>
        <v>0</v>
      </c>
      <c r="G26" s="196">
        <f>SUKB!F28/1000</f>
        <v>0</v>
      </c>
      <c r="H26" s="196">
        <f>UCT!F26/1000</f>
        <v>0</v>
      </c>
      <c r="I26" s="196">
        <f>SPSSN!F26/1000</f>
        <v>0</v>
      </c>
      <c r="J26" s="196">
        <f>IBA!F26/1000</f>
        <v>0</v>
      </c>
      <c r="K26" s="196">
        <f>CTT!F26/1000</f>
        <v>0</v>
      </c>
      <c r="L26" s="196">
        <f>ÚVT!F26/1000</f>
        <v>0</v>
      </c>
      <c r="M26" s="196">
        <f>CJV!F26/1000</f>
        <v>0</v>
      </c>
      <c r="N26" s="196">
        <f>CZS!F26/1000</f>
        <v>0</v>
      </c>
      <c r="O26" s="232">
        <f>RMU!F26/1000</f>
        <v>0</v>
      </c>
      <c r="P26" s="105">
        <f t="shared" si="4"/>
        <v>0</v>
      </c>
      <c r="Q26" s="97"/>
      <c r="R26" s="207">
        <f>SKM!H26/1000+SUKB!H28/1000+UCT!H26/1000+SPSSN!H26/1000+IBA!H26/1000+ÚVT!H26/1000+CJV!H26/1000+CZS!H26/1000+RMU!H26/1000</f>
        <v>0</v>
      </c>
      <c r="S26" s="150">
        <f>SKM!I26/1000+SUKB!I28/1000+UCT!I26/1000+SPSSN!I26/1000+IBA!I26/1000+ÚVT!I26/1000+CJV!I26/1000+CZS!I26/1000+RMU!I26/1000</f>
        <v>0</v>
      </c>
      <c r="T26" s="150">
        <f>SKM!J26/1000+SUKB!J28/1000+UCT!J26/1000+SPSSN!J26/1000+IBA!J26/1000+ÚVT!J26/1000+CJV!J26/1000+CZS!J26/1000+RMU!J26/1000</f>
        <v>0</v>
      </c>
      <c r="U26" s="150">
        <f>SKM!K26/1000+SUKB!K28/1000+UCT!K26/1000+SPSSN!K26/1000+IBA!K26/1000+ÚVT!K26/1000+CJV!K26/1000+CZS!K26/1000+RMU!K26/1000</f>
        <v>0</v>
      </c>
      <c r="V26" s="150">
        <f>SKM!L26/1000+SUKB!L28/1000+UCT!L26/1000+SPSSN!L26/1000+IBA!L26/1000+ÚVT!L26/1000+CJV!L26/1000+CZS!L26/1000+RMU!L26/1000</f>
        <v>0</v>
      </c>
      <c r="W26" s="150">
        <f>SKM!M26/1000+SUKB!M28/1000+UCT!M26/1000+SPSSN!M26/1000+IBA!M26/1000+ÚVT!M26/1000+CJV!M26/1000+CZS!M26/1000+RMU!M26/1000</f>
        <v>0</v>
      </c>
      <c r="X26" s="105">
        <f>(SKM!N26+SUKB!N28+UCT!N26+SPSSN!N26+IBA!N26+CTT!N26+ÚVT!N26+CJV!N26+CZS!N26+RMU!N26)/1000</f>
        <v>335.232</v>
      </c>
      <c r="Y26" s="527"/>
      <c r="Z26" s="527"/>
      <c r="AA26" s="527"/>
    </row>
    <row r="27" spans="1:27" s="25" customFormat="1" ht="12.75" thickBot="1">
      <c r="A27" s="21"/>
      <c r="B27" s="30" t="s">
        <v>49</v>
      </c>
      <c r="C27" s="30"/>
      <c r="D27" s="30"/>
      <c r="E27" s="28">
        <v>25</v>
      </c>
      <c r="F27" s="210">
        <f>SKM!F27/1000</f>
        <v>46446</v>
      </c>
      <c r="G27" s="196">
        <f>SUKB!F29/1000</f>
        <v>0</v>
      </c>
      <c r="H27" s="196">
        <f>UCT!F27/1000</f>
        <v>0</v>
      </c>
      <c r="I27" s="196">
        <f>SPSSN!F27/1000</f>
        <v>0</v>
      </c>
      <c r="J27" s="196">
        <f>IBA!F27/1000</f>
        <v>8883</v>
      </c>
      <c r="K27" s="196">
        <f>CTT!F27/1000</f>
        <v>0</v>
      </c>
      <c r="L27" s="196">
        <f>ÚVT!F27/1000</f>
        <v>9000</v>
      </c>
      <c r="M27" s="196">
        <f>CJV!F27/1000</f>
        <v>0</v>
      </c>
      <c r="N27" s="196">
        <f>CZS!F27/1000</f>
        <v>0</v>
      </c>
      <c r="O27" s="232">
        <f>RMU!F27/1000</f>
        <v>1044.85</v>
      </c>
      <c r="P27" s="105">
        <f t="shared" si="4"/>
        <v>65373.85</v>
      </c>
      <c r="Q27" s="97"/>
      <c r="R27" s="207">
        <f>SKM!H27/1000+SUKB!H29/1000+UCT!H27/1000+SPSSN!H27/1000+IBA!H27/1000+ÚVT!H27/1000+CJV!H27/1000+CZS!H27/1000+RMU!H27/1000</f>
        <v>65373.85</v>
      </c>
      <c r="S27" s="150">
        <f>SKM!I27/1000+SUKB!I29/1000+UCT!I27/1000+SPSSN!I27/1000+IBA!I27/1000+ÚVT!I27/1000+CJV!I27/1000+CZS!I27/1000+RMU!I27/1000</f>
        <v>0</v>
      </c>
      <c r="T27" s="150">
        <f>SKM!J27/1000+SUKB!J29/1000+UCT!J27/1000+SPSSN!J27/1000+IBA!J27/1000+ÚVT!J27/1000+CJV!J27/1000+CZS!J27/1000+RMU!J27/1000</f>
        <v>0</v>
      </c>
      <c r="U27" s="150">
        <f>SKM!K27/1000+SUKB!K29/1000+UCT!K27/1000+SPSSN!K27/1000+IBA!K27/1000+ÚVT!K27/1000+CJV!K27/1000+CZS!K27/1000+RMU!K27/1000</f>
        <v>0</v>
      </c>
      <c r="V27" s="150">
        <f>SKM!L27/1000+SUKB!L29/1000+UCT!L27/1000+SPSSN!L27/1000+IBA!L27/1000+ÚVT!L27/1000+CJV!L27/1000+CZS!L27/1000+RMU!L27/1000</f>
        <v>0</v>
      </c>
      <c r="W27" s="150">
        <f>SKM!M27/1000+SUKB!M29/1000+UCT!M27/1000+SPSSN!M27/1000+IBA!M27/1000+ÚVT!M27/1000+CJV!M27/1000+CZS!M27/1000+RMU!M27/1000</f>
        <v>0</v>
      </c>
      <c r="X27" s="105">
        <f>(SKM!N27+SUKB!N29+UCT!N27+SPSSN!N27+IBA!N27+CTT!N27+ÚVT!N27+CJV!N27+CZS!N27+RMU!N27)/1000</f>
        <v>72437.59921000001</v>
      </c>
      <c r="Y27" s="527"/>
      <c r="Z27" s="527"/>
      <c r="AA27" s="527"/>
    </row>
    <row r="28" spans="1:24" ht="13.5" thickBot="1">
      <c r="A28" s="37" t="s">
        <v>51</v>
      </c>
      <c r="B28" s="38"/>
      <c r="C28" s="38"/>
      <c r="D28" s="38"/>
      <c r="E28" s="19">
        <v>26</v>
      </c>
      <c r="F28" s="225">
        <f aca="true" t="shared" si="5" ref="F28:X28">SUM(F29:F45)</f>
        <v>209047</v>
      </c>
      <c r="G28" s="240">
        <f t="shared" si="5"/>
        <v>54488</v>
      </c>
      <c r="H28" s="240">
        <f t="shared" si="5"/>
        <v>7066</v>
      </c>
      <c r="I28" s="240">
        <f t="shared" si="5"/>
        <v>25265</v>
      </c>
      <c r="J28" s="240">
        <f t="shared" si="5"/>
        <v>38025</v>
      </c>
      <c r="K28" s="240">
        <f t="shared" si="5"/>
        <v>0</v>
      </c>
      <c r="L28" s="240">
        <f t="shared" si="5"/>
        <v>206880</v>
      </c>
      <c r="M28" s="240">
        <f t="shared" si="5"/>
        <v>30335</v>
      </c>
      <c r="N28" s="240">
        <f t="shared" si="5"/>
        <v>84846</v>
      </c>
      <c r="O28" s="233">
        <f t="shared" si="5"/>
        <v>557862.6490000001</v>
      </c>
      <c r="P28" s="217">
        <f t="shared" si="5"/>
        <v>1213814.649</v>
      </c>
      <c r="Q28" s="127">
        <f t="shared" si="5"/>
        <v>0</v>
      </c>
      <c r="R28" s="82">
        <f t="shared" si="5"/>
        <v>1065887.878</v>
      </c>
      <c r="S28" s="83">
        <f t="shared" si="5"/>
        <v>100754.771</v>
      </c>
      <c r="T28" s="83">
        <f t="shared" si="5"/>
        <v>37689</v>
      </c>
      <c r="U28" s="83">
        <f t="shared" si="5"/>
        <v>5440</v>
      </c>
      <c r="V28" s="83">
        <f>SUM(V29:V45)</f>
        <v>4034</v>
      </c>
      <c r="W28" s="82">
        <f t="shared" si="5"/>
        <v>9</v>
      </c>
      <c r="X28" s="84">
        <f t="shared" si="5"/>
        <v>1117367.3546699998</v>
      </c>
    </row>
    <row r="29" spans="1:27" s="25" customFormat="1" ht="12">
      <c r="A29" s="21" t="s">
        <v>14</v>
      </c>
      <c r="B29" s="27" t="s">
        <v>52</v>
      </c>
      <c r="C29" s="27"/>
      <c r="D29" s="27"/>
      <c r="E29" s="213">
        <v>27</v>
      </c>
      <c r="F29" s="210">
        <f>SKM!F29/1000</f>
        <v>0</v>
      </c>
      <c r="G29" s="196">
        <f>SUKB!F31/1000</f>
        <v>0</v>
      </c>
      <c r="H29" s="196">
        <f>UCT!F29/1000</f>
        <v>4831</v>
      </c>
      <c r="I29" s="196">
        <f>SPSSN!F29/1000</f>
        <v>3352</v>
      </c>
      <c r="J29" s="196">
        <f>IBA!F29/1000</f>
        <v>0</v>
      </c>
      <c r="K29" s="196">
        <f>CTT!F29/1000</f>
        <v>0</v>
      </c>
      <c r="L29" s="196">
        <f>ÚVT!F29/1000</f>
        <v>138449</v>
      </c>
      <c r="M29" s="196">
        <f>CJV!F29/1000</f>
        <v>29689</v>
      </c>
      <c r="N29" s="196">
        <f>CZS!F29/1000</f>
        <v>8630</v>
      </c>
      <c r="O29" s="232">
        <f>RMU!F29/1000</f>
        <v>223508</v>
      </c>
      <c r="P29" s="105">
        <f t="shared" si="4"/>
        <v>408459</v>
      </c>
      <c r="Q29" s="86"/>
      <c r="R29" s="210">
        <f>SKM!H29/1000+SUKB!H31/1000+UCT!H29/1000+SPSSN!H29/1000+IBA!H29/1000+ÚVT!H29/1000+CJV!H29/1000+CZS!H29/1000+RMU!H29/1000</f>
        <v>408459</v>
      </c>
      <c r="S29" s="104">
        <f>SKM!I29/1000+SUKB!I31/1000+UCT!I29/1000+SPSSN!I29/1000+IBA!I29/1000+ÚVT!I29/1000+CJV!I29/1000+CZS!I29/1000+RMU!I29/1000</f>
        <v>0</v>
      </c>
      <c r="T29" s="104">
        <f>SKM!J29/1000+SUKB!J31/1000+UCT!J29/1000+SPSSN!J29/1000+IBA!J29/1000+ÚVT!J29/1000+CJV!J29/1000+CZS!J29/1000+RMU!J29/1000</f>
        <v>0</v>
      </c>
      <c r="U29" s="104">
        <f>SKM!K29/1000+SUKB!K31/1000+UCT!K29/1000+SPSSN!K29/1000+IBA!K29/1000+ÚVT!K29/1000+CJV!K29/1000+CZS!K29/1000+RMU!K29/1000</f>
        <v>0</v>
      </c>
      <c r="V29" s="104">
        <f>SKM!L29/1000+SUKB!L31/1000+UCT!L29/1000+SPSSN!L29/1000+IBA!L29/1000+ÚVT!L29/1000+CJV!L29/1000+CZS!L29/1000+RMU!L29/1000</f>
        <v>0</v>
      </c>
      <c r="W29" s="104">
        <f>SKM!M29/1000+SUKB!M31/1000+UCT!M29/1000+SPSSN!M29/1000+IBA!M29/1000+ÚVT!M29/1000+CJV!M29/1000+CZS!M29/1000+RMU!M29/1000</f>
        <v>0</v>
      </c>
      <c r="X29" s="209">
        <f>(SKM!N29+SUKB!N31+UCT!N29+SPSSN!N29+IBA!N29+CTT!N29+ÚVT!N29+CJV!N29+CZS!N29+RMU!N29)/1000</f>
        <v>387519.22243</v>
      </c>
      <c r="Y29" s="538"/>
      <c r="Z29" s="527"/>
      <c r="AA29" s="527"/>
    </row>
    <row r="30" spans="1:27" s="25" customFormat="1" ht="12">
      <c r="A30" s="21"/>
      <c r="B30" s="30" t="s">
        <v>28</v>
      </c>
      <c r="C30" s="30"/>
      <c r="D30" s="30"/>
      <c r="E30" s="213">
        <v>28</v>
      </c>
      <c r="F30" s="210">
        <f>SKM!F30/1000</f>
        <v>0</v>
      </c>
      <c r="G30" s="196">
        <f>SUKB!F32/1000</f>
        <v>0</v>
      </c>
      <c r="H30" s="196">
        <f>UCT!F30/1000</f>
        <v>0</v>
      </c>
      <c r="I30" s="196">
        <f>SPSSN!F30/1000</f>
        <v>0</v>
      </c>
      <c r="J30" s="196">
        <f>IBA!F30/1000</f>
        <v>0</v>
      </c>
      <c r="K30" s="196">
        <f>CTT!F30/1000</f>
        <v>0</v>
      </c>
      <c r="L30" s="196">
        <f>ÚVT!F30/1000</f>
        <v>0</v>
      </c>
      <c r="M30" s="196">
        <f>CJV!F30/1000</f>
        <v>0</v>
      </c>
      <c r="N30" s="196">
        <f>CZS!F30/1000</f>
        <v>0</v>
      </c>
      <c r="O30" s="232">
        <f>RMU!F30/1000</f>
        <v>0</v>
      </c>
      <c r="P30" s="105">
        <f t="shared" si="4"/>
        <v>0</v>
      </c>
      <c r="Q30" s="102"/>
      <c r="R30" s="210">
        <f>SKM!H30/1000+SUKB!H32/1000+UCT!H30/1000+SPSSN!H30/1000+IBA!H30/1000+ÚVT!H30/1000+CJV!H30/1000+CZS!H30/1000+RMU!H30/1000</f>
        <v>0</v>
      </c>
      <c r="S30" s="104">
        <f>SKM!I30/1000+SUKB!I32/1000+UCT!I30/1000+SPSSN!I30/1000+IBA!I30/1000+ÚVT!I30/1000+CJV!I30/1000+CZS!I30/1000+RMU!I30/1000</f>
        <v>0</v>
      </c>
      <c r="T30" s="104">
        <f>SKM!J30/1000+SUKB!J32/1000+UCT!J30/1000+SPSSN!J30/1000+IBA!J30/1000+ÚVT!J30/1000+CJV!J30/1000+CZS!J30/1000+RMU!J30/1000</f>
        <v>0</v>
      </c>
      <c r="U30" s="104">
        <f>SKM!K30/1000+SUKB!K32/1000+UCT!K30/1000+SPSSN!K30/1000+IBA!K30/1000+ÚVT!K30/1000+CJV!K30/1000+CZS!K30/1000+RMU!K30/1000</f>
        <v>0</v>
      </c>
      <c r="V30" s="104">
        <f>SKM!L30/1000+SUKB!L32/1000+UCT!L30/1000+SPSSN!L30/1000+IBA!L30/1000+ÚVT!L30/1000+CJV!L30/1000+CZS!L30/1000+RMU!L30/1000</f>
        <v>0</v>
      </c>
      <c r="W30" s="104">
        <f>SKM!M30/1000+SUKB!M32/1000+UCT!M30/1000+SPSSN!M30/1000+IBA!M30/1000+ÚVT!M30/1000+CJV!M30/1000+CZS!M30/1000+RMU!M30/1000</f>
        <v>0</v>
      </c>
      <c r="X30" s="209">
        <f>(SKM!N30+SUKB!N32+UCT!N30+SPSSN!N30+IBA!N30+CTT!N30+ÚVT!N30+CJV!N30+CZS!N30+RMU!N30)/1000</f>
        <v>0</v>
      </c>
      <c r="Y30" s="538"/>
      <c r="Z30" s="527"/>
      <c r="AA30" s="527"/>
    </row>
    <row r="31" spans="1:27" s="25" customFormat="1" ht="12">
      <c r="A31" s="21"/>
      <c r="B31" s="30" t="s">
        <v>30</v>
      </c>
      <c r="C31" s="30"/>
      <c r="D31" s="30"/>
      <c r="E31" s="213">
        <v>29</v>
      </c>
      <c r="F31" s="210">
        <f>SKM!F31/1000</f>
        <v>0</v>
      </c>
      <c r="G31" s="196">
        <f>SUKB!F33/1000</f>
        <v>0</v>
      </c>
      <c r="H31" s="196">
        <f>UCT!F31/1000</f>
        <v>0</v>
      </c>
      <c r="I31" s="196">
        <f>SPSSN!F31/1000</f>
        <v>0</v>
      </c>
      <c r="J31" s="196">
        <f>IBA!F31/1000</f>
        <v>0</v>
      </c>
      <c r="K31" s="196">
        <f>CTT!F31/1000</f>
        <v>0</v>
      </c>
      <c r="L31" s="196">
        <f>ÚVT!F31/1000</f>
        <v>0</v>
      </c>
      <c r="M31" s="196">
        <f>CJV!F31/1000</f>
        <v>0</v>
      </c>
      <c r="N31" s="196">
        <f>CZS!F31/1000</f>
        <v>31000</v>
      </c>
      <c r="O31" s="232">
        <f>RMU!F31/1000</f>
        <v>0</v>
      </c>
      <c r="P31" s="105">
        <f t="shared" si="4"/>
        <v>31000</v>
      </c>
      <c r="Q31" s="102"/>
      <c r="R31" s="210">
        <f>SKM!H31/1000+SUKB!H33/1000+UCT!H31/1000+SPSSN!H31/1000+IBA!H31/1000+ÚVT!H31/1000+CJV!H31/1000+CZS!H31/1000+RMU!H31/1000</f>
        <v>30055</v>
      </c>
      <c r="S31" s="104">
        <f>SKM!I31/1000+SUKB!I33/1000+UCT!I31/1000+SPSSN!I31/1000+IBA!I31/1000+ÚVT!I31/1000+CJV!I31/1000+CZS!I31/1000+RMU!I31/1000</f>
        <v>0</v>
      </c>
      <c r="T31" s="104">
        <f>SKM!J31/1000+SUKB!J33/1000+UCT!J31/1000+SPSSN!J31/1000+IBA!J31/1000+ÚVT!J31/1000+CJV!J31/1000+CZS!J31/1000+RMU!J31/1000</f>
        <v>945</v>
      </c>
      <c r="U31" s="104">
        <f>SKM!K31/1000+SUKB!K33/1000+UCT!K31/1000+SPSSN!K31/1000+IBA!K31/1000+ÚVT!K31/1000+CJV!K31/1000+CZS!K31/1000+RMU!K31/1000</f>
        <v>0</v>
      </c>
      <c r="V31" s="104">
        <f>SKM!L31/1000+SUKB!L33/1000+UCT!L31/1000+SPSSN!L31/1000+IBA!L31/1000+ÚVT!L31/1000+CJV!L31/1000+CZS!L31/1000+RMU!L31/1000</f>
        <v>0</v>
      </c>
      <c r="W31" s="104">
        <f>SKM!M31/1000+SUKB!M33/1000+UCT!M31/1000+SPSSN!M31/1000+IBA!M31/1000+ÚVT!M31/1000+CJV!M31/1000+CZS!M31/1000+RMU!M31/1000</f>
        <v>0</v>
      </c>
      <c r="X31" s="209">
        <f>(SKM!N31+SUKB!N33+UCT!N31+SPSSN!N31+IBA!N31+CTT!N31+ÚVT!N31+CJV!N31+CZS!N31+RMU!N31)/1000</f>
        <v>29516.890480000002</v>
      </c>
      <c r="Y31" s="538"/>
      <c r="Z31" s="527"/>
      <c r="AA31" s="527"/>
    </row>
    <row r="32" spans="1:27" s="25" customFormat="1" ht="12">
      <c r="A32" s="21"/>
      <c r="B32" s="31" t="s">
        <v>32</v>
      </c>
      <c r="C32" s="32"/>
      <c r="D32" s="32"/>
      <c r="E32" s="214">
        <v>30</v>
      </c>
      <c r="F32" s="210">
        <f>SKM!F32/1000</f>
        <v>0</v>
      </c>
      <c r="G32" s="196">
        <f>SUKB!F34/1000</f>
        <v>0</v>
      </c>
      <c r="H32" s="196">
        <f>UCT!F32/1000</f>
        <v>0</v>
      </c>
      <c r="I32" s="196">
        <f>SPSSN!F32/1000</f>
        <v>15850</v>
      </c>
      <c r="J32" s="196">
        <f>IBA!F32/1000</f>
        <v>0</v>
      </c>
      <c r="K32" s="196">
        <f>CTT!F32/1000</f>
        <v>0</v>
      </c>
      <c r="L32" s="196">
        <f>ÚVT!F32/1000</f>
        <v>1168</v>
      </c>
      <c r="M32" s="196">
        <f>CJV!F32/1000</f>
        <v>0</v>
      </c>
      <c r="N32" s="196">
        <f>CZS!F32/1000</f>
        <v>6500</v>
      </c>
      <c r="O32" s="232">
        <f>RMU!F32/1000</f>
        <v>57393</v>
      </c>
      <c r="P32" s="105">
        <f t="shared" si="4"/>
        <v>80911</v>
      </c>
      <c r="Q32" s="102"/>
      <c r="R32" s="210">
        <f>SKM!H32/1000+SUKB!H34/1000+UCT!H32/1000+SPSSN!H32/1000+IBA!H32/1000+ÚVT!H32/1000+CJV!H32/1000+CZS!H32/1000+RMU!H32/1000</f>
        <v>80911</v>
      </c>
      <c r="S32" s="104">
        <f>SKM!I32/1000+SUKB!I34/1000+UCT!I32/1000+SPSSN!I32/1000+IBA!I32/1000+ÚVT!I32/1000+CJV!I32/1000+CZS!I32/1000+RMU!I32/1000</f>
        <v>0</v>
      </c>
      <c r="T32" s="104">
        <f>SKM!J32/1000+SUKB!J34/1000+UCT!J32/1000+SPSSN!J32/1000+IBA!J32/1000+ÚVT!J32/1000+CJV!J32/1000+CZS!J32/1000+RMU!J32/1000</f>
        <v>0</v>
      </c>
      <c r="U32" s="104">
        <f>SKM!K32/1000+SUKB!K34/1000+UCT!K32/1000+SPSSN!K32/1000+IBA!K32/1000+ÚVT!K32/1000+CJV!K32/1000+CZS!K32/1000+RMU!K32/1000</f>
        <v>0</v>
      </c>
      <c r="V32" s="104">
        <f>SKM!L32/1000+SUKB!L34/1000+UCT!L32/1000+SPSSN!L32/1000+IBA!L32/1000+ÚVT!L32/1000+CJV!L32/1000+CZS!L32/1000+RMU!L32/1000</f>
        <v>0</v>
      </c>
      <c r="W32" s="104">
        <f>SKM!M32/1000+SUKB!M34/1000+UCT!M32/1000+SPSSN!M32/1000+IBA!M32/1000+ÚVT!M32/1000+CJV!M32/1000+CZS!M32/1000+RMU!M32/1000</f>
        <v>0</v>
      </c>
      <c r="X32" s="209">
        <f>(SKM!N32+SUKB!N34+UCT!N32+SPSSN!N32+IBA!N32+CTT!N32+ÚVT!N32+CJV!N32+CZS!N32+RMU!N32)/1000</f>
        <v>56434.83125</v>
      </c>
      <c r="Y32" s="538"/>
      <c r="Z32" s="522">
        <f>ostatni!P32/1000</f>
        <v>168.001</v>
      </c>
      <c r="AA32" s="522">
        <f>ostatni!Q32</f>
        <v>82740</v>
      </c>
    </row>
    <row r="33" spans="1:27" s="25" customFormat="1" ht="12">
      <c r="A33" s="21"/>
      <c r="B33" s="31" t="s">
        <v>34</v>
      </c>
      <c r="C33" s="31"/>
      <c r="D33" s="31"/>
      <c r="E33" s="214">
        <v>31</v>
      </c>
      <c r="F33" s="210">
        <f>SKM!F33/1000</f>
        <v>0</v>
      </c>
      <c r="G33" s="196">
        <f>SUKB!F35/1000</f>
        <v>0</v>
      </c>
      <c r="H33" s="196">
        <f>UCT!F33/1000</f>
        <v>0</v>
      </c>
      <c r="I33" s="196">
        <f>SPSSN!F33/1000</f>
        <v>0</v>
      </c>
      <c r="J33" s="196">
        <f>IBA!F33/1000</f>
        <v>0</v>
      </c>
      <c r="K33" s="196">
        <f>CTT!F33/1000</f>
        <v>0</v>
      </c>
      <c r="L33" s="196">
        <f>ÚVT!F33/1000</f>
        <v>0</v>
      </c>
      <c r="M33" s="196">
        <f>CJV!F33/1000</f>
        <v>0</v>
      </c>
      <c r="N33" s="196">
        <f>CZS!F33/1000</f>
        <v>0</v>
      </c>
      <c r="O33" s="232">
        <f>RMU!F33/1000</f>
        <v>0</v>
      </c>
      <c r="P33" s="105">
        <f t="shared" si="4"/>
        <v>0</v>
      </c>
      <c r="Q33" s="102"/>
      <c r="R33" s="210">
        <f>SKM!H33/1000+SUKB!H35/1000+UCT!H33/1000+SPSSN!H33/1000+IBA!H33/1000+ÚVT!H33/1000+CJV!H33/1000+CZS!H33/1000+RMU!H33/1000</f>
        <v>0</v>
      </c>
      <c r="S33" s="104">
        <f>SKM!I33/1000+SUKB!I35/1000+UCT!I33/1000+SPSSN!I33/1000+IBA!I33/1000+ÚVT!I33/1000+CJV!I33/1000+CZS!I33/1000+RMU!I33/1000</f>
        <v>0</v>
      </c>
      <c r="T33" s="104">
        <f>SKM!J33/1000+SUKB!J35/1000+UCT!J33/1000+SPSSN!J33/1000+IBA!J33/1000+ÚVT!J33/1000+CJV!J33/1000+CZS!J33/1000+RMU!J33/1000</f>
        <v>0</v>
      </c>
      <c r="U33" s="104">
        <f>SKM!K33/1000+SUKB!K35/1000+UCT!K33/1000+SPSSN!K33/1000+IBA!K33/1000+ÚVT!K33/1000+CJV!K33/1000+CZS!K33/1000+RMU!K33/1000</f>
        <v>0</v>
      </c>
      <c r="V33" s="104">
        <f>SKM!L33/1000+SUKB!L35/1000+UCT!L33/1000+SPSSN!L33/1000+IBA!L33/1000+ÚVT!L33/1000+CJV!L33/1000+CZS!L33/1000+RMU!L33/1000</f>
        <v>0</v>
      </c>
      <c r="W33" s="104">
        <f>SKM!M33/1000+SUKB!M35/1000+UCT!M33/1000+SPSSN!M33/1000+IBA!M33/1000+ÚVT!M33/1000+CJV!M33/1000+CZS!M33/1000+RMU!M33/1000</f>
        <v>0</v>
      </c>
      <c r="X33" s="209">
        <f>(SKM!N33+SUKB!N35+UCT!N33+SPSSN!N33+IBA!N33+CTT!N33+ÚVT!N33+CJV!N33+CZS!N33+RMU!N33)/1000</f>
        <v>0</v>
      </c>
      <c r="Y33" s="538"/>
      <c r="Z33" s="527"/>
      <c r="AA33" s="527"/>
    </row>
    <row r="34" spans="1:27" s="25" customFormat="1" ht="12">
      <c r="A34" s="21"/>
      <c r="B34" s="31" t="s">
        <v>54</v>
      </c>
      <c r="C34" s="31"/>
      <c r="D34" s="31"/>
      <c r="E34" s="214">
        <v>32</v>
      </c>
      <c r="F34" s="210">
        <f>SKM!F34/1000</f>
        <v>26532</v>
      </c>
      <c r="G34" s="196">
        <f>SUKB!F36/1000</f>
        <v>0</v>
      </c>
      <c r="H34" s="196">
        <f>UCT!F34/1000</f>
        <v>0</v>
      </c>
      <c r="I34" s="196">
        <f>SPSSN!F34/1000</f>
        <v>0</v>
      </c>
      <c r="J34" s="196">
        <f>IBA!F34/1000</f>
        <v>0</v>
      </c>
      <c r="K34" s="196">
        <f>CTT!F34/1000</f>
        <v>0</v>
      </c>
      <c r="L34" s="196">
        <f>ÚVT!F34/1000</f>
        <v>0</v>
      </c>
      <c r="M34" s="196">
        <f>CJV!F34/1000</f>
        <v>0</v>
      </c>
      <c r="N34" s="196">
        <f>CZS!F34/1000</f>
        <v>0</v>
      </c>
      <c r="O34" s="232">
        <f>RMU!F34/1000</f>
        <v>117710</v>
      </c>
      <c r="P34" s="105">
        <f t="shared" si="4"/>
        <v>144242</v>
      </c>
      <c r="Q34" s="102"/>
      <c r="R34" s="210">
        <f>SKM!H34/1000+SUKB!H36/1000+UCT!H34/1000+SPSSN!H34/1000+IBA!H34/1000+ÚVT!H34/1000+CJV!H34/1000+CZS!H34/1000+RMU!H34/1000</f>
        <v>144242</v>
      </c>
      <c r="S34" s="104">
        <f>SKM!I34/1000+SUKB!I36/1000+UCT!I34/1000+SPSSN!I34/1000+IBA!I34/1000+ÚVT!I34/1000+CJV!I34/1000+CZS!I34/1000+RMU!I34/1000</f>
        <v>0</v>
      </c>
      <c r="T34" s="104">
        <f>SKM!J34/1000+SUKB!J36/1000+UCT!J34/1000+SPSSN!J34/1000+IBA!J34/1000+ÚVT!J34/1000+CJV!J34/1000+CZS!J34/1000+RMU!J34/1000</f>
        <v>0</v>
      </c>
      <c r="U34" s="104">
        <f>SKM!K34/1000+SUKB!K36/1000+UCT!K34/1000+SPSSN!K34/1000+IBA!K34/1000+ÚVT!K34/1000+CJV!K34/1000+CZS!K34/1000+RMU!K34/1000</f>
        <v>0</v>
      </c>
      <c r="V34" s="104">
        <f>SKM!L34/1000+SUKB!L36/1000+UCT!L34/1000+SPSSN!L34/1000+IBA!L34/1000+ÚVT!L34/1000+CJV!L34/1000+CZS!L34/1000+RMU!L34/1000</f>
        <v>0</v>
      </c>
      <c r="W34" s="104">
        <f>SKM!M34/1000+SUKB!M36/1000+UCT!M34/1000+SPSSN!M34/1000+IBA!M34/1000+ÚVT!M34/1000+CJV!M34/1000+CZS!M34/1000+RMU!M34/1000</f>
        <v>0</v>
      </c>
      <c r="X34" s="209">
        <f>(SKM!N34+SUKB!N36+UCT!N34+SPSSN!N34+IBA!N34+CTT!N34+ÚVT!N34+CJV!N34+CZS!N34+RMU!N34)/1000</f>
        <v>139516</v>
      </c>
      <c r="Y34" s="538"/>
      <c r="Z34" s="527"/>
      <c r="AA34" s="527"/>
    </row>
    <row r="35" spans="1:27" s="25" customFormat="1" ht="12">
      <c r="A35" s="21"/>
      <c r="B35" s="31" t="s">
        <v>36</v>
      </c>
      <c r="C35" s="31"/>
      <c r="D35" s="31"/>
      <c r="E35" s="214">
        <v>33</v>
      </c>
      <c r="F35" s="210">
        <f>SKM!F35/1000</f>
        <v>0</v>
      </c>
      <c r="G35" s="196">
        <f>SUKB!F37/1000</f>
        <v>0</v>
      </c>
      <c r="H35" s="196">
        <f>UCT!F35/1000</f>
        <v>0</v>
      </c>
      <c r="I35" s="196">
        <f>SPSSN!F35/1000</f>
        <v>0</v>
      </c>
      <c r="J35" s="196">
        <f>IBA!F35/1000</f>
        <v>0</v>
      </c>
      <c r="K35" s="196">
        <f>CTT!F35/1000</f>
        <v>0</v>
      </c>
      <c r="L35" s="196">
        <f>ÚVT!F35/1000</f>
        <v>0</v>
      </c>
      <c r="M35" s="196">
        <f>CJV!F35/1000</f>
        <v>0</v>
      </c>
      <c r="N35" s="196">
        <f>CZS!F35/1000</f>
        <v>100</v>
      </c>
      <c r="O35" s="232">
        <f>RMU!F35/1000</f>
        <v>4527.476</v>
      </c>
      <c r="P35" s="105">
        <f t="shared" si="4"/>
        <v>4627.476</v>
      </c>
      <c r="Q35" s="102"/>
      <c r="R35" s="210">
        <f>SKM!H35/1000+SUKB!H37/1000+UCT!H35/1000+SPSSN!H35/1000+IBA!H35/1000+ÚVT!H35/1000+CJV!H35/1000+CZS!H35/1000+RMU!H35/1000</f>
        <v>4627.476</v>
      </c>
      <c r="S35" s="104">
        <f>SKM!I35/1000+SUKB!I37/1000+UCT!I35/1000+SPSSN!I35/1000+IBA!I35/1000+ÚVT!I35/1000+CJV!I35/1000+CZS!I35/1000+RMU!I35/1000</f>
        <v>0</v>
      </c>
      <c r="T35" s="104">
        <f>SKM!J35/1000+SUKB!J37/1000+UCT!J35/1000+SPSSN!J35/1000+IBA!J35/1000+ÚVT!J35/1000+CJV!J35/1000+CZS!J35/1000+RMU!J35/1000</f>
        <v>0</v>
      </c>
      <c r="U35" s="104">
        <f>SKM!K35/1000+SUKB!K37/1000+UCT!K35/1000+SPSSN!K35/1000+IBA!K35/1000+ÚVT!K35/1000+CJV!K35/1000+CZS!K35/1000+RMU!K35/1000</f>
        <v>0</v>
      </c>
      <c r="V35" s="104">
        <f>SKM!L35/1000+SUKB!L37/1000+UCT!L35/1000+SPSSN!L35/1000+IBA!L35/1000+ÚVT!L35/1000+CJV!L35/1000+CZS!L35/1000+RMU!L35/1000</f>
        <v>0</v>
      </c>
      <c r="W35" s="104">
        <f>SKM!M35/1000+SUKB!M37/1000+UCT!M35/1000+SPSSN!M35/1000+IBA!M35/1000+ÚVT!M35/1000+CJV!M35/1000+CZS!M35/1000+RMU!M35/1000</f>
        <v>0</v>
      </c>
      <c r="X35" s="209">
        <f>(SKM!N35+SUKB!N37+UCT!N35+SPSSN!N35+IBA!N35+CTT!N35+ÚVT!N35+CJV!N35+CZS!N35+RMU!N35)/1000</f>
        <v>2842.09026</v>
      </c>
      <c r="Y35" s="538"/>
      <c r="Z35" s="527"/>
      <c r="AA35" s="527"/>
    </row>
    <row r="36" spans="1:27" s="25" customFormat="1" ht="12">
      <c r="A36" s="21"/>
      <c r="B36" s="31" t="s">
        <v>38</v>
      </c>
      <c r="C36" s="31"/>
      <c r="D36" s="31"/>
      <c r="E36" s="214">
        <v>34</v>
      </c>
      <c r="F36" s="210">
        <f>SKM!F36/1000</f>
        <v>0</v>
      </c>
      <c r="G36" s="196">
        <f>SUKB!F38/1000</f>
        <v>0</v>
      </c>
      <c r="H36" s="196">
        <f>UCT!F36/1000</f>
        <v>0</v>
      </c>
      <c r="I36" s="196">
        <f>SPSSN!F36/1000</f>
        <v>4607</v>
      </c>
      <c r="J36" s="196">
        <f>IBA!F36/1000</f>
        <v>0</v>
      </c>
      <c r="K36" s="196">
        <f>CTT!F36/1000</f>
        <v>0</v>
      </c>
      <c r="L36" s="196">
        <f>ÚVT!F36/1000</f>
        <v>0</v>
      </c>
      <c r="M36" s="196">
        <f>CJV!F36/1000</f>
        <v>0</v>
      </c>
      <c r="N36" s="196">
        <f>CZS!F36/1000</f>
        <v>0</v>
      </c>
      <c r="O36" s="232">
        <f>RMU!F36/1000</f>
        <v>0</v>
      </c>
      <c r="P36" s="105">
        <f t="shared" si="4"/>
        <v>4607</v>
      </c>
      <c r="Q36" s="102"/>
      <c r="R36" s="210">
        <f>SKM!H36/1000+SUKB!H38/1000+UCT!H36/1000+SPSSN!H36/1000+IBA!H36/1000+ÚVT!H36/1000+CJV!H36/1000+CZS!H36/1000+RMU!H36/1000</f>
        <v>4607</v>
      </c>
      <c r="S36" s="104">
        <f>SKM!I36/1000+SUKB!I38/1000+UCT!I36/1000+SPSSN!I36/1000+IBA!I36/1000+ÚVT!I36/1000+CJV!I36/1000+CZS!I36/1000+RMU!I36/1000</f>
        <v>0</v>
      </c>
      <c r="T36" s="104">
        <f>SKM!J36/1000+SUKB!J38/1000+UCT!J36/1000+SPSSN!J36/1000+IBA!J36/1000+ÚVT!J36/1000+CJV!J36/1000+CZS!J36/1000+RMU!J36/1000</f>
        <v>0</v>
      </c>
      <c r="U36" s="104">
        <f>SKM!K36/1000+SUKB!K38/1000+UCT!K36/1000+SPSSN!K36/1000+IBA!K36/1000+ÚVT!K36/1000+CJV!K36/1000+CZS!K36/1000+RMU!K36/1000</f>
        <v>0</v>
      </c>
      <c r="V36" s="104">
        <f>SKM!L36/1000+SUKB!L38/1000+UCT!L36/1000+SPSSN!L36/1000+IBA!L36/1000+ÚVT!L36/1000+CJV!L36/1000+CZS!L36/1000+RMU!L36/1000</f>
        <v>0</v>
      </c>
      <c r="W36" s="104">
        <f>SKM!M36/1000+SUKB!M38/1000+UCT!M36/1000+SPSSN!M36/1000+IBA!M36/1000+ÚVT!M36/1000+CJV!M36/1000+CZS!M36/1000+RMU!M36/1000</f>
        <v>0</v>
      </c>
      <c r="X36" s="209">
        <f>(SKM!N36+SUKB!N38+UCT!N36+SPSSN!N36+IBA!N36+CTT!N36+ÚVT!N36+CJV!N36+CZS!N36+RMU!N36)/1000</f>
        <v>3112.14698</v>
      </c>
      <c r="Y36" s="538"/>
      <c r="Z36" s="527"/>
      <c r="AA36" s="527"/>
    </row>
    <row r="37" spans="1:27" s="25" customFormat="1" ht="12">
      <c r="A37" s="21"/>
      <c r="B37" s="31" t="s">
        <v>56</v>
      </c>
      <c r="C37" s="31"/>
      <c r="D37" s="31"/>
      <c r="E37" s="214">
        <v>35</v>
      </c>
      <c r="F37" s="210">
        <f>SKM!F37/1000</f>
        <v>0</v>
      </c>
      <c r="G37" s="196">
        <f>SUKB!F39/1000</f>
        <v>0</v>
      </c>
      <c r="H37" s="196">
        <f>UCT!F37/1000</f>
        <v>0</v>
      </c>
      <c r="I37" s="196">
        <f>SPSSN!F37/1000</f>
        <v>500</v>
      </c>
      <c r="J37" s="196">
        <f>IBA!F37/1000</f>
        <v>0</v>
      </c>
      <c r="K37" s="196">
        <f>CTT!F37/1000</f>
        <v>0</v>
      </c>
      <c r="L37" s="196">
        <f>ÚVT!F37/1000</f>
        <v>0</v>
      </c>
      <c r="M37" s="196">
        <f>CJV!F37/1000</f>
        <v>68</v>
      </c>
      <c r="N37" s="196">
        <f>CZS!F37/1000</f>
        <v>33000</v>
      </c>
      <c r="O37" s="232">
        <f>RMU!F37/1000</f>
        <v>2085</v>
      </c>
      <c r="P37" s="105">
        <f t="shared" si="4"/>
        <v>35653</v>
      </c>
      <c r="Q37" s="102"/>
      <c r="R37" s="210">
        <f>SKM!H37/1000+SUKB!H39/1000+UCT!H37/1000+SPSSN!H37/1000+IBA!H37/1000+ÚVT!H37/1000+CJV!H37/1000+CZS!H37/1000+RMU!H37/1000</f>
        <v>25373</v>
      </c>
      <c r="S37" s="104">
        <f>SKM!I37/1000+SUKB!I39/1000+UCT!I37/1000+SPSSN!I37/1000+IBA!I37/1000+ÚVT!I37/1000+CJV!I37/1000+CZS!I37/1000+RMU!I37/1000</f>
        <v>0</v>
      </c>
      <c r="T37" s="104">
        <f>SKM!J37/1000+SUKB!J39/1000+UCT!J37/1000+SPSSN!J37/1000+IBA!J37/1000+ÚVT!J37/1000+CJV!J37/1000+CZS!J37/1000+RMU!J37/1000</f>
        <v>10280</v>
      </c>
      <c r="U37" s="104">
        <f>SKM!K37/1000+SUKB!K39/1000+UCT!K37/1000+SPSSN!K37/1000+IBA!K37/1000+ÚVT!K37/1000+CJV!K37/1000+CZS!K37/1000+RMU!K37/1000</f>
        <v>0</v>
      </c>
      <c r="V37" s="104">
        <f>SKM!L37/1000+SUKB!L39/1000+UCT!L37/1000+SPSSN!L37/1000+IBA!L37/1000+ÚVT!L37/1000+CJV!L37/1000+CZS!L37/1000+RMU!L37/1000</f>
        <v>0</v>
      </c>
      <c r="W37" s="104">
        <f>SKM!M37/1000+SUKB!M39/1000+UCT!M37/1000+SPSSN!M37/1000+IBA!M37/1000+ÚVT!M37/1000+CJV!M37/1000+CZS!M37/1000+RMU!M37/1000</f>
        <v>0</v>
      </c>
      <c r="X37" s="209">
        <f>(SKM!N37+SUKB!N39+UCT!N37+SPSSN!N37+IBA!N37+CTT!N37+ÚVT!N37+CJV!N37+CZS!N37+RMU!N37)/1000</f>
        <v>36321.24679999999</v>
      </c>
      <c r="Y37" s="538"/>
      <c r="Z37" s="527"/>
      <c r="AA37" s="527"/>
    </row>
    <row r="38" spans="1:27" s="25" customFormat="1" ht="12">
      <c r="A38" s="21"/>
      <c r="B38" s="31" t="s">
        <v>57</v>
      </c>
      <c r="C38" s="31"/>
      <c r="D38" s="31"/>
      <c r="E38" s="214">
        <v>36</v>
      </c>
      <c r="F38" s="210">
        <f>SKM!F38/1000</f>
        <v>0</v>
      </c>
      <c r="G38" s="196">
        <f>SUKB!F40/1000</f>
        <v>0</v>
      </c>
      <c r="H38" s="196">
        <f>UCT!F38/1000</f>
        <v>0</v>
      </c>
      <c r="I38" s="196">
        <f>SPSSN!F38/1000</f>
        <v>0</v>
      </c>
      <c r="J38" s="196">
        <f>IBA!F38/1000</f>
        <v>0</v>
      </c>
      <c r="K38" s="196">
        <f>CTT!F38/1000</f>
        <v>0</v>
      </c>
      <c r="L38" s="196">
        <f>ÚVT!F38/1000</f>
        <v>0</v>
      </c>
      <c r="M38" s="196">
        <f>CJV!F38/1000</f>
        <v>0</v>
      </c>
      <c r="N38" s="196">
        <f>CZS!F38/1000</f>
        <v>0</v>
      </c>
      <c r="O38" s="232">
        <f>RMU!F38/1000</f>
        <v>0</v>
      </c>
      <c r="P38" s="105">
        <f t="shared" si="4"/>
        <v>0</v>
      </c>
      <c r="Q38" s="102"/>
      <c r="R38" s="210">
        <f>SKM!H38/1000+SUKB!H40/1000+UCT!H38/1000+SPSSN!H38/1000+IBA!H38/1000+ÚVT!H38/1000+CJV!H38/1000+CZS!H38/1000+RMU!H38/1000</f>
        <v>0</v>
      </c>
      <c r="S38" s="104">
        <f>SKM!I38/1000+SUKB!I40/1000+UCT!I38/1000+SPSSN!I38/1000+IBA!I38/1000+ÚVT!I38/1000+CJV!I38/1000+CZS!I38/1000+RMU!I38/1000</f>
        <v>0</v>
      </c>
      <c r="T38" s="104">
        <f>SKM!J38/1000+SUKB!J40/1000+UCT!J38/1000+SPSSN!J38/1000+IBA!J38/1000+ÚVT!J38/1000+CJV!J38/1000+CZS!J38/1000+RMU!J38/1000</f>
        <v>0</v>
      </c>
      <c r="U38" s="104">
        <f>SKM!K38/1000+SUKB!K40/1000+UCT!K38/1000+SPSSN!K38/1000+IBA!K38/1000+ÚVT!K38/1000+CJV!K38/1000+CZS!K38/1000+RMU!K38/1000</f>
        <v>0</v>
      </c>
      <c r="V38" s="104">
        <f>SKM!L38/1000+SUKB!L40/1000+UCT!L38/1000+SPSSN!L38/1000+IBA!L38/1000+ÚVT!L38/1000+CJV!L38/1000+CZS!L38/1000+RMU!L38/1000</f>
        <v>0</v>
      </c>
      <c r="W38" s="104">
        <f>SKM!M38/1000+SUKB!M40/1000+UCT!M38/1000+SPSSN!M38/1000+IBA!M38/1000+ÚVT!M38/1000+CJV!M38/1000+CZS!M38/1000+RMU!M38/1000</f>
        <v>0</v>
      </c>
      <c r="X38" s="209">
        <f>(SKM!N38+SUKB!N40+UCT!N38+SPSSN!N38+IBA!N38+CTT!N38+ÚVT!N38+CJV!N38+CZS!N38+RMU!N38)/1000</f>
        <v>0</v>
      </c>
      <c r="Y38" s="538"/>
      <c r="Z38" s="527"/>
      <c r="AA38" s="527"/>
    </row>
    <row r="39" spans="1:27" s="25" customFormat="1" ht="12">
      <c r="A39" s="21"/>
      <c r="B39" s="31" t="s">
        <v>59</v>
      </c>
      <c r="C39" s="31"/>
      <c r="D39" s="31"/>
      <c r="E39" s="214">
        <v>37</v>
      </c>
      <c r="F39" s="210">
        <f>SKM!F39/1000</f>
        <v>0</v>
      </c>
      <c r="G39" s="196">
        <f>SUKB!F41/1000</f>
        <v>0</v>
      </c>
      <c r="H39" s="196">
        <f>UCT!F39/1000</f>
        <v>0</v>
      </c>
      <c r="I39" s="196">
        <f>SPSSN!F39/1000</f>
        <v>0</v>
      </c>
      <c r="J39" s="196">
        <f>IBA!F39/1000</f>
        <v>0</v>
      </c>
      <c r="K39" s="196">
        <f>CTT!F39/1000</f>
        <v>0</v>
      </c>
      <c r="L39" s="196">
        <f>ÚVT!F39/1000</f>
        <v>60</v>
      </c>
      <c r="M39" s="196">
        <f>CJV!F39/1000</f>
        <v>0</v>
      </c>
      <c r="N39" s="196">
        <f>CZS!F39/1000</f>
        <v>0</v>
      </c>
      <c r="O39" s="232">
        <f>RMU!F39/1000</f>
        <v>0</v>
      </c>
      <c r="P39" s="105">
        <f t="shared" si="4"/>
        <v>60</v>
      </c>
      <c r="Q39" s="102"/>
      <c r="R39" s="210">
        <f>SKM!H39/1000+SUKB!H41/1000+UCT!H39/1000+SPSSN!H39/1000+IBA!H39/1000+ÚVT!H39/1000+CJV!H39/1000+CZS!H39/1000+RMU!H39/1000</f>
        <v>0</v>
      </c>
      <c r="S39" s="104">
        <f>SKM!I39/1000+SUKB!I41/1000+UCT!I39/1000+SPSSN!I39/1000+IBA!I39/1000+ÚVT!I39/1000+CJV!I39/1000+CZS!I39/1000+RMU!I39/1000</f>
        <v>0</v>
      </c>
      <c r="T39" s="104">
        <f>SKM!J39/1000+SUKB!J41/1000+UCT!J39/1000+SPSSN!J39/1000+IBA!J39/1000+ÚVT!J39/1000+CJV!J39/1000+CZS!J39/1000+RMU!J39/1000</f>
        <v>60</v>
      </c>
      <c r="U39" s="104">
        <f>SKM!K39/1000+SUKB!K41/1000+UCT!K39/1000+SPSSN!K39/1000+IBA!K39/1000+ÚVT!K39/1000+CJV!K39/1000+CZS!K39/1000+RMU!K39/1000</f>
        <v>0</v>
      </c>
      <c r="V39" s="104">
        <f>SKM!L39/1000+SUKB!L41/1000+UCT!L39/1000+SPSSN!L39/1000+IBA!L39/1000+ÚVT!L39/1000+CJV!L39/1000+CZS!L39/1000+RMU!L39/1000</f>
        <v>0</v>
      </c>
      <c r="W39" s="104">
        <f>SKM!M39/1000+SUKB!M41/1000+UCT!M39/1000+SPSSN!M39/1000+IBA!M39/1000+ÚVT!M39/1000+CJV!M39/1000+CZS!M39/1000+RMU!M39/1000</f>
        <v>0</v>
      </c>
      <c r="X39" s="209">
        <f>(SKM!N39+SUKB!N41+UCT!N39+SPSSN!N39+IBA!N39+CTT!N39+ÚVT!N39+CJV!N39+CZS!N39+RMU!N39)/1000</f>
        <v>1346.5173300000001</v>
      </c>
      <c r="Y39" s="538"/>
      <c r="Z39" s="527"/>
      <c r="AA39" s="527"/>
    </row>
    <row r="40" spans="1:27" s="25" customFormat="1" ht="12">
      <c r="A40" s="21"/>
      <c r="B40" s="31" t="s">
        <v>60</v>
      </c>
      <c r="C40" s="31"/>
      <c r="D40" s="31"/>
      <c r="E40" s="214">
        <v>38</v>
      </c>
      <c r="F40" s="210">
        <f>SKM!F40/1000</f>
        <v>0</v>
      </c>
      <c r="G40" s="196">
        <f>SUKB!F42/1000</f>
        <v>0</v>
      </c>
      <c r="H40" s="196">
        <f>UCT!F40/1000</f>
        <v>0</v>
      </c>
      <c r="I40" s="196">
        <f>SPSSN!F40/1000</f>
        <v>96</v>
      </c>
      <c r="J40" s="196">
        <f>IBA!F40/1000</f>
        <v>2540</v>
      </c>
      <c r="K40" s="196">
        <f>CTT!F40/1000</f>
        <v>0</v>
      </c>
      <c r="L40" s="196">
        <f>ÚVT!F40/1000</f>
        <v>2326</v>
      </c>
      <c r="M40" s="196">
        <f>CJV!F40/1000</f>
        <v>0</v>
      </c>
      <c r="N40" s="196">
        <f>CZS!F40/1000</f>
        <v>0</v>
      </c>
      <c r="O40" s="232">
        <f>RMU!F40/1000</f>
        <v>15574</v>
      </c>
      <c r="P40" s="105">
        <f t="shared" si="4"/>
        <v>20536</v>
      </c>
      <c r="Q40" s="102"/>
      <c r="R40" s="210">
        <f>SKM!H40/1000+SUKB!H42/1000+UCT!H40/1000+SPSSN!H40/1000+IBA!H40/1000+ÚVT!H40/1000+CJV!H40/1000+CZS!H40/1000+RMU!H40/1000</f>
        <v>20536</v>
      </c>
      <c r="S40" s="104">
        <f>SKM!I40/1000+SUKB!I42/1000+UCT!I40/1000+SPSSN!I40/1000+IBA!I40/1000+ÚVT!I40/1000+CJV!I40/1000+CZS!I40/1000+RMU!I40/1000</f>
        <v>0</v>
      </c>
      <c r="T40" s="104">
        <f>SKM!J40/1000+SUKB!J42/1000+UCT!J40/1000+SPSSN!J40/1000+IBA!J40/1000+ÚVT!J40/1000+CJV!J40/1000+CZS!J40/1000+RMU!J40/1000</f>
        <v>0</v>
      </c>
      <c r="U40" s="104">
        <f>SKM!K40/1000+SUKB!K42/1000+UCT!K40/1000+SPSSN!K40/1000+IBA!K40/1000+ÚVT!K40/1000+CJV!K40/1000+CZS!K40/1000+RMU!K40/1000</f>
        <v>0</v>
      </c>
      <c r="V40" s="104">
        <f>SKM!L40/1000+SUKB!L42/1000+UCT!L40/1000+SPSSN!L40/1000+IBA!L40/1000+ÚVT!L40/1000+CJV!L40/1000+CZS!L40/1000+RMU!L40/1000</f>
        <v>0</v>
      </c>
      <c r="W40" s="104">
        <f>SKM!M40/1000+SUKB!M42/1000+UCT!M40/1000+SPSSN!M40/1000+IBA!M40/1000+ÚVT!M40/1000+CJV!M40/1000+CZS!M40/1000+RMU!M40/1000</f>
        <v>0</v>
      </c>
      <c r="X40" s="209">
        <f>(SKM!N40+SUKB!N42+UCT!N40+SPSSN!N40+IBA!N40+CTT!N40+ÚVT!N40+CJV!N40+CZS!N40+RMU!N40)/1000</f>
        <v>13668</v>
      </c>
      <c r="Y40" s="538"/>
      <c r="Z40" s="527"/>
      <c r="AA40" s="527"/>
    </row>
    <row r="41" spans="1:27" s="25" customFormat="1" ht="12">
      <c r="A41" s="21"/>
      <c r="B41" s="31" t="s">
        <v>45</v>
      </c>
      <c r="C41" s="31"/>
      <c r="D41" s="31"/>
      <c r="E41" s="214">
        <v>39</v>
      </c>
      <c r="F41" s="210">
        <f>SKM!F41/1000</f>
        <v>0</v>
      </c>
      <c r="G41" s="196">
        <f>SUKB!F43/1000</f>
        <v>0</v>
      </c>
      <c r="H41" s="196">
        <f>UCT!F41/1000</f>
        <v>0</v>
      </c>
      <c r="I41" s="196">
        <f>SPSSN!F41/1000</f>
        <v>0</v>
      </c>
      <c r="J41" s="196">
        <f>IBA!F41/1000</f>
        <v>0</v>
      </c>
      <c r="K41" s="196">
        <f>CTT!F41/1000</f>
        <v>0</v>
      </c>
      <c r="L41" s="196">
        <f>ÚVT!F41/1000</f>
        <v>359</v>
      </c>
      <c r="M41" s="196">
        <f>CJV!F41/1000</f>
        <v>0</v>
      </c>
      <c r="N41" s="196">
        <f>CZS!F41/1000</f>
        <v>0</v>
      </c>
      <c r="O41" s="232">
        <f>RMU!F41/1000</f>
        <v>975.333</v>
      </c>
      <c r="P41" s="105">
        <f t="shared" si="4"/>
        <v>1334.333</v>
      </c>
      <c r="Q41" s="102"/>
      <c r="R41" s="210">
        <f>SKM!H41/1000+SUKB!H43/1000+UCT!H41/1000+SPSSN!H41/1000+IBA!H41/1000+ÚVT!H41/1000+CJV!H41/1000+CZS!H41/1000+RMU!H41/1000</f>
        <v>1224.333</v>
      </c>
      <c r="S41" s="104">
        <f>SKM!I41/1000+SUKB!I43/1000+UCT!I41/1000+SPSSN!I41/1000+IBA!I41/1000+ÚVT!I41/1000+CJV!I41/1000+CZS!I41/1000+RMU!I41/1000</f>
        <v>0</v>
      </c>
      <c r="T41" s="104">
        <f>SKM!J41/1000+SUKB!J43/1000+UCT!J41/1000+SPSSN!J41/1000+IBA!J41/1000+ÚVT!J41/1000+CJV!J41/1000+CZS!J41/1000+RMU!J41/1000</f>
        <v>110</v>
      </c>
      <c r="U41" s="104">
        <f>SKM!K41/1000+SUKB!K43/1000+UCT!K41/1000+SPSSN!K41/1000+IBA!K41/1000+ÚVT!K41/1000+CJV!K41/1000+CZS!K41/1000+RMU!K41/1000</f>
        <v>0</v>
      </c>
      <c r="V41" s="104">
        <f>SKM!L41/1000+SUKB!L43/1000+UCT!L41/1000+SPSSN!L41/1000+IBA!L41/1000+ÚVT!L41/1000+CJV!L41/1000+CZS!L41/1000+RMU!L41/1000</f>
        <v>0</v>
      </c>
      <c r="W41" s="104">
        <f>SKM!M41/1000+SUKB!M43/1000+UCT!M41/1000+SPSSN!M41/1000+IBA!M41/1000+ÚVT!M41/1000+CJV!M41/1000+CZS!M41/1000+RMU!M41/1000</f>
        <v>0</v>
      </c>
      <c r="X41" s="209">
        <f>(SKM!N41+SUKB!N43+UCT!N41+SPSSN!N41+IBA!N41+CTT!N41+ÚVT!N41+CJV!N41+CZS!N41+RMU!N41)/1000</f>
        <v>3497.8137</v>
      </c>
      <c r="Y41" s="538"/>
      <c r="Z41" s="527"/>
      <c r="AA41" s="527"/>
    </row>
    <row r="42" spans="1:27" s="25" customFormat="1" ht="12">
      <c r="A42" s="21"/>
      <c r="B42" s="31" t="s">
        <v>61</v>
      </c>
      <c r="C42" s="31"/>
      <c r="D42" s="31"/>
      <c r="E42" s="214">
        <v>40</v>
      </c>
      <c r="F42" s="210">
        <f>SKM!F42/1000</f>
        <v>0</v>
      </c>
      <c r="G42" s="196">
        <f>SUKB!F44/1000</f>
        <v>0</v>
      </c>
      <c r="H42" s="196">
        <f>UCT!F42/1000</f>
        <v>0</v>
      </c>
      <c r="I42" s="196">
        <f>SPSSN!F42/1000</f>
        <v>0</v>
      </c>
      <c r="J42" s="196">
        <f>IBA!F42/1000</f>
        <v>0</v>
      </c>
      <c r="K42" s="196">
        <f>CTT!F42/1000</f>
        <v>0</v>
      </c>
      <c r="L42" s="196">
        <f>ÚVT!F42/1000</f>
        <v>0</v>
      </c>
      <c r="M42" s="196">
        <f>CJV!F42/1000</f>
        <v>0</v>
      </c>
      <c r="N42" s="196">
        <f>CZS!F42/1000</f>
        <v>0</v>
      </c>
      <c r="O42" s="232">
        <f>RMU!F42/1000</f>
        <v>0</v>
      </c>
      <c r="P42" s="105">
        <f t="shared" si="4"/>
        <v>0</v>
      </c>
      <c r="Q42" s="102"/>
      <c r="R42" s="210">
        <f>SKM!H42/1000+SUKB!H44/1000+UCT!H42/1000+SPSSN!H42/1000+IBA!H42/1000+ÚVT!H42/1000+CJV!H42/1000+CZS!H42/1000+RMU!H42/1000</f>
        <v>0</v>
      </c>
      <c r="S42" s="104">
        <f>SKM!I42/1000+SUKB!I44/1000+UCT!I42/1000+SPSSN!I42/1000+IBA!I42/1000+ÚVT!I42/1000+CJV!I42/1000+CZS!I42/1000+RMU!I42/1000</f>
        <v>0</v>
      </c>
      <c r="T42" s="104">
        <f>SKM!J42/1000+SUKB!J44/1000+UCT!J42/1000+SPSSN!J42/1000+IBA!J42/1000+ÚVT!J42/1000+CJV!J42/1000+CZS!J42/1000+RMU!J42/1000</f>
        <v>0</v>
      </c>
      <c r="U42" s="104">
        <f>SKM!K42/1000+SUKB!K44/1000+UCT!K42/1000+SPSSN!K42/1000+IBA!K42/1000+ÚVT!K42/1000+CJV!K42/1000+CZS!K42/1000+RMU!K42/1000</f>
        <v>0</v>
      </c>
      <c r="V42" s="104">
        <f>SKM!L42/1000+SUKB!L44/1000+UCT!L42/1000+SPSSN!L42/1000+IBA!L42/1000+ÚVT!L42/1000+CJV!L42/1000+CZS!L42/1000+RMU!L42/1000</f>
        <v>0</v>
      </c>
      <c r="W42" s="104">
        <f>SKM!M42/1000+SUKB!M44/1000+UCT!M42/1000+SPSSN!M42/1000+IBA!M42/1000+ÚVT!M42/1000+CJV!M42/1000+CZS!M42/1000+RMU!M42/1000</f>
        <v>0</v>
      </c>
      <c r="X42" s="209">
        <f>(SKM!N42+SUKB!N44+UCT!N42+SPSSN!N42+IBA!N42+CTT!N42+ÚVT!N42+CJV!N42+CZS!N42+RMU!N42)/1000</f>
        <v>335.232</v>
      </c>
      <c r="Y42" s="538"/>
      <c r="Z42" s="527"/>
      <c r="AA42" s="527"/>
    </row>
    <row r="43" spans="1:27" s="25" customFormat="1" ht="12">
      <c r="A43" s="21"/>
      <c r="B43" s="31" t="s">
        <v>62</v>
      </c>
      <c r="C43" s="31"/>
      <c r="D43" s="31"/>
      <c r="E43" s="214">
        <v>41</v>
      </c>
      <c r="F43" s="210">
        <f>SKM!F43/1000</f>
        <v>122519</v>
      </c>
      <c r="G43" s="196">
        <f>SUKB!F45/1000</f>
        <v>54192</v>
      </c>
      <c r="H43" s="196">
        <f>UCT!F43/1000</f>
        <v>900</v>
      </c>
      <c r="I43" s="196">
        <f>SPSSN!F43/1000</f>
        <v>770</v>
      </c>
      <c r="J43" s="196">
        <f>IBA!F43/1000</f>
        <v>0</v>
      </c>
      <c r="K43" s="196">
        <f>CTT!F43/1000</f>
        <v>0</v>
      </c>
      <c r="L43" s="196">
        <f>ÚVT!F43/1000</f>
        <v>47681</v>
      </c>
      <c r="M43" s="196">
        <f>CJV!F43/1000</f>
        <v>258</v>
      </c>
      <c r="N43" s="196">
        <f>CZS!F43/1000</f>
        <v>5520</v>
      </c>
      <c r="O43" s="232">
        <f>RMU!F43/1000</f>
        <v>34958.389</v>
      </c>
      <c r="P43" s="105">
        <f t="shared" si="4"/>
        <v>266798.389</v>
      </c>
      <c r="Q43" s="102"/>
      <c r="R43" s="210">
        <f>SKM!H43/1000+SUKB!H45/1000+UCT!H43/1000+SPSSN!H43/1000+IBA!H43/1000+ÚVT!H43/1000+CJV!H43/1000+CZS!H43/1000+RMU!H43/1000</f>
        <v>266544.389</v>
      </c>
      <c r="S43" s="104">
        <f>SKM!I43/1000+SUKB!I45/1000+UCT!I43/1000+SPSSN!I43/1000+IBA!I43/1000+ÚVT!I43/1000+CJV!I43/1000+CZS!I43/1000+RMU!I43/1000</f>
        <v>0</v>
      </c>
      <c r="T43" s="104">
        <f>SKM!J43/1000+SUKB!J45/1000+UCT!J43/1000+SPSSN!J43/1000+IBA!J43/1000+ÚVT!J43/1000+CJV!J43/1000+CZS!J43/1000+RMU!J43/1000</f>
        <v>254</v>
      </c>
      <c r="U43" s="104">
        <f>SKM!K43/1000+SUKB!K45/1000+UCT!K43/1000+SPSSN!K43/1000+IBA!K43/1000+ÚVT!K43/1000+CJV!K43/1000+CZS!K43/1000+RMU!K43/1000</f>
        <v>0</v>
      </c>
      <c r="V43" s="104">
        <f>SKM!L43/1000+SUKB!L45/1000+UCT!L43/1000+SPSSN!L43/1000+IBA!L43/1000+ÚVT!L43/1000+CJV!L43/1000+CZS!L43/1000+RMU!L43/1000</f>
        <v>0</v>
      </c>
      <c r="W43" s="104">
        <f>SKM!M43/1000+SUKB!M45/1000+UCT!M43/1000+SPSSN!M43/1000+IBA!M43/1000+ÚVT!M43/1000+CJV!M43/1000+CZS!M43/1000+RMU!M43/1000</f>
        <v>0</v>
      </c>
      <c r="X43" s="209">
        <f>(SKM!N43+SUKB!N45+UCT!N43+SPSSN!N43+IBA!N43+CTT!N43+ÚVT!N43+CJV!N43+CZS!N43+RMU!N43)/1000</f>
        <v>337111.54923</v>
      </c>
      <c r="Y43" s="538"/>
      <c r="Z43" s="527"/>
      <c r="AA43" s="527"/>
    </row>
    <row r="44" spans="1:27" s="25" customFormat="1" ht="12">
      <c r="A44" s="21"/>
      <c r="B44" s="31" t="s">
        <v>63</v>
      </c>
      <c r="C44" s="31"/>
      <c r="D44" s="31"/>
      <c r="E44" s="214">
        <v>42</v>
      </c>
      <c r="F44" s="210">
        <f>SKM!F44/1000</f>
        <v>888</v>
      </c>
      <c r="G44" s="196">
        <f>SUKB!F46/1000</f>
        <v>296</v>
      </c>
      <c r="H44" s="196">
        <f>UCT!F44/1000</f>
        <v>1335</v>
      </c>
      <c r="I44" s="196">
        <f>SPSSN!F44/1000</f>
        <v>90</v>
      </c>
      <c r="J44" s="196">
        <f>IBA!F44/1000</f>
        <v>26135</v>
      </c>
      <c r="K44" s="196">
        <f>CTT!F44/1000</f>
        <v>0</v>
      </c>
      <c r="L44" s="196">
        <f>ÚVT!F44/1000</f>
        <v>7337</v>
      </c>
      <c r="M44" s="196">
        <f>CJV!F44/1000</f>
        <v>320</v>
      </c>
      <c r="N44" s="196">
        <f>CZS!F44/1000</f>
        <v>96</v>
      </c>
      <c r="O44" s="232">
        <f>RMU!F44/1000</f>
        <v>99780.771</v>
      </c>
      <c r="P44" s="105">
        <f t="shared" si="4"/>
        <v>136277.771</v>
      </c>
      <c r="Q44" s="102"/>
      <c r="R44" s="413"/>
      <c r="S44" s="104">
        <f>SKM!I44/1000+SUKB!I46/1000+UCT!I44/1000+SPSSN!I44/1000+IBA!I44/1000+ÚVT!I44/1000+CJV!I44/1000+CZS!I44/1000+RMU!I44/1000</f>
        <v>100754.771</v>
      </c>
      <c r="T44" s="104">
        <f>SKM!J44/1000+SUKB!J46/1000+UCT!J44/1000+SPSSN!J44/1000+IBA!J44/1000+ÚVT!J44/1000+CJV!J44/1000+CZS!J44/1000+RMU!J44/1000</f>
        <v>26040</v>
      </c>
      <c r="U44" s="104">
        <f>SKM!K44/1000+SUKB!K46/1000+UCT!K44/1000+SPSSN!K44/1000+IBA!K44/1000+ÚVT!K44/1000+CJV!K44/1000+CZS!K44/1000+RMU!K44/1000</f>
        <v>5440</v>
      </c>
      <c r="V44" s="104">
        <f>SKM!L44/1000+SUKB!L46/1000+UCT!L44/1000+SPSSN!L44/1000+IBA!L44/1000+ÚVT!L44/1000+CJV!L44/1000+CZS!L44/1000+RMU!L44/1000</f>
        <v>4034</v>
      </c>
      <c r="W44" s="104">
        <f>SKM!M44/1000+SUKB!M46/1000+UCT!M44/1000+SPSSN!M44/1000+IBA!M44/1000+ÚVT!M44/1000+CJV!M44/1000+CZS!M44/1000+RMU!M44/1000</f>
        <v>9</v>
      </c>
      <c r="X44" s="209">
        <f>(SKM!N44+SUKB!N46+UCT!N44+SPSSN!N44+IBA!N44+CTT!N44+ÚVT!N44+CJV!N44+CZS!N44+RMU!N44)/1000</f>
        <v>20390.558729999997</v>
      </c>
      <c r="Y44" s="538"/>
      <c r="Z44" s="527"/>
      <c r="AA44" s="527"/>
    </row>
    <row r="45" spans="1:27" s="25" customFormat="1" ht="12">
      <c r="A45" s="40"/>
      <c r="B45" s="41" t="s">
        <v>49</v>
      </c>
      <c r="C45" s="41"/>
      <c r="D45" s="41"/>
      <c r="E45" s="215">
        <v>43</v>
      </c>
      <c r="F45" s="211">
        <f>SKM!F45/1000</f>
        <v>59108</v>
      </c>
      <c r="G45" s="241">
        <f>SUKB!F47/1000</f>
        <v>0</v>
      </c>
      <c r="H45" s="241">
        <f>UCT!F45/1000</f>
        <v>0</v>
      </c>
      <c r="I45" s="241">
        <f>SPSSN!F45/1000</f>
        <v>0</v>
      </c>
      <c r="J45" s="241">
        <f>IBA!F45/1000</f>
        <v>9350</v>
      </c>
      <c r="K45" s="241">
        <f>CTT!F45/1000</f>
        <v>0</v>
      </c>
      <c r="L45" s="241">
        <f>ÚVT!F45/1000</f>
        <v>9500</v>
      </c>
      <c r="M45" s="241">
        <f>CJV!F45/1000</f>
        <v>0</v>
      </c>
      <c r="N45" s="241">
        <f>CZS!F45/1000</f>
        <v>0</v>
      </c>
      <c r="O45" s="212">
        <f>RMU!F45/1000</f>
        <v>1350.68</v>
      </c>
      <c r="P45" s="111">
        <f t="shared" si="4"/>
        <v>79308.68</v>
      </c>
      <c r="Q45" s="108"/>
      <c r="R45" s="211">
        <f>SKM!H45/1000+SUKB!H47/1000+UCT!H45/1000+SPSSN!H45/1000+IBA!H45/1000+ÚVT!H45/1000+CJV!H45/1000+CZS!H45/1000+RMU!H45/1000</f>
        <v>79308.68</v>
      </c>
      <c r="S45" s="110">
        <f>SKM!I45/1000+SUKB!I47/1000+UCT!I45/1000+SPSSN!I45/1000+IBA!I45/1000+ÚVT!I45/1000+CJV!I45/1000+CZS!I45/1000+RMU!I45/1000</f>
        <v>0</v>
      </c>
      <c r="T45" s="110">
        <f>SKM!J45/1000+SUKB!J47/1000+UCT!J45/1000+SPSSN!J45/1000+IBA!J45/1000+ÚVT!J45/1000+CJV!J45/1000+CZS!J45/1000+RMU!J45/1000</f>
        <v>0</v>
      </c>
      <c r="U45" s="110">
        <f>SKM!K45/1000+SUKB!K47/1000+UCT!K45/1000+SPSSN!K45/1000+IBA!K45/1000+ÚVT!K45/1000+CJV!K45/1000+CZS!K45/1000+RMU!K45/1000</f>
        <v>0</v>
      </c>
      <c r="V45" s="110">
        <f>SKM!L45/1000+SUKB!L47/1000+UCT!L45/1000+SPSSN!L45/1000+IBA!L45/1000+ÚVT!L45/1000+CJV!L45/1000+CZS!L45/1000+RMU!L45/1000</f>
        <v>0</v>
      </c>
      <c r="W45" s="417">
        <f>SKM!M45/1000+SUKB!M47/1000+UCT!M45/1000+SPSSN!M45/1000+IBA!M45/1000+ÚVT!M45/1000+CJV!M45/1000+CZS!M45/1000+RMU!M45/1000</f>
        <v>0</v>
      </c>
      <c r="X45" s="410">
        <f>(SKM!N45+SUKB!N47+UCT!N45+SPSSN!N45+IBA!N45+CTT!N45+ÚVT!N45+CJV!N45+CZS!N45+RMU!N45)/1000</f>
        <v>85755.25548</v>
      </c>
      <c r="Y45" s="538"/>
      <c r="Z45" s="527"/>
      <c r="AA45" s="527"/>
    </row>
    <row r="46" spans="1:27" s="25" customFormat="1" ht="12.75" thickBot="1">
      <c r="A46" s="44" t="s">
        <v>65</v>
      </c>
      <c r="B46" s="45"/>
      <c r="C46" s="45"/>
      <c r="D46" s="45"/>
      <c r="E46" s="213">
        <v>44</v>
      </c>
      <c r="F46" s="226">
        <f aca="true" t="shared" si="6" ref="F46:P46">F29+F34+F38+F43+F44+F45-F4-F27</f>
        <v>22</v>
      </c>
      <c r="G46" s="242">
        <f t="shared" si="6"/>
        <v>0</v>
      </c>
      <c r="H46" s="242">
        <f t="shared" si="6"/>
        <v>100</v>
      </c>
      <c r="I46" s="242">
        <f t="shared" si="6"/>
        <v>71</v>
      </c>
      <c r="J46" s="242">
        <f t="shared" si="6"/>
        <v>467</v>
      </c>
      <c r="K46" s="242">
        <f>CTT!F46/1000</f>
        <v>0</v>
      </c>
      <c r="L46" s="242">
        <f t="shared" si="6"/>
        <v>600</v>
      </c>
      <c r="M46" s="242">
        <f t="shared" si="6"/>
        <v>88</v>
      </c>
      <c r="N46" s="242">
        <f t="shared" si="6"/>
        <v>579</v>
      </c>
      <c r="O46" s="234">
        <f t="shared" si="6"/>
        <v>16260.578000000014</v>
      </c>
      <c r="P46" s="114">
        <f t="shared" si="6"/>
        <v>18187.57799999984</v>
      </c>
      <c r="Q46" s="113">
        <f>Q29+Q34+Q38+Q43+Q44+Q45+-Q4-Q27</f>
        <v>0</v>
      </c>
      <c r="R46" s="414">
        <f>SKM!H46/1000+SUKB!H48/1000+UCT!H46/1000+SPSSN!H46/1000+IBA!H46/1000+ÚVT!H46/1000+CJV!H46/1000+CZS!H46/1000+RMU!H46/1000</f>
        <v>18187.578</v>
      </c>
      <c r="S46" s="99">
        <f>SKM!I46/1000+SUKB!I48/1000+UCT!I46/1000+SPSSN!I46/1000+IBA!I46/1000+ÚVT!I46/1000+CJV!I46/1000+CZS!I46/1000+RMU!I46/1000</f>
        <v>0</v>
      </c>
      <c r="T46" s="99">
        <f>SKM!J46/1000+SUKB!J48/1000+UCT!J46/1000+SPSSN!J46/1000+IBA!J46/1000+ÚVT!J46/1000+CJV!J46/1000+CZS!J46/1000+RMU!J46/1000</f>
        <v>0</v>
      </c>
      <c r="U46" s="99">
        <f>SKM!K46/1000+SUKB!K48/1000+UCT!K46/1000+SPSSN!K46/1000+IBA!K46/1000+ÚVT!K46/1000+CJV!K46/1000+CZS!K46/1000+RMU!K46/1000</f>
        <v>0</v>
      </c>
      <c r="V46" s="99">
        <f>SKM!L46/1000+SUKB!L48/1000+UCT!L46/1000+SPSSN!L46/1000+IBA!L46/1000+ÚVT!L46/1000+CJV!L46/1000+CZS!L46/1000+RMU!L46/1000</f>
        <v>0</v>
      </c>
      <c r="W46" s="99">
        <f>SKM!M46/1000+SUKB!M48/1000+UCT!M46/1000+SPSSN!M46/1000+IBA!M46/1000+ÚVT!M46/1000+CJV!M46/1000+CZS!M46/1000+RMU!M46/1000</f>
        <v>0</v>
      </c>
      <c r="X46" s="95">
        <f>(SKM!N46+SUKB!N48+UCT!N46+SPSSN!N46+IBA!N46+CTT!N46+ÚVT!N46+CJV!N46+CZS!N46+RMU!N46)/1000</f>
        <v>55104.51083999998</v>
      </c>
      <c r="Y46" s="527"/>
      <c r="Z46" s="527"/>
      <c r="AA46" s="527"/>
    </row>
    <row r="47" spans="1:24" ht="13.5" thickBot="1">
      <c r="A47" s="37" t="s">
        <v>66</v>
      </c>
      <c r="B47" s="38"/>
      <c r="C47" s="38"/>
      <c r="D47" s="38"/>
      <c r="E47" s="216">
        <v>45</v>
      </c>
      <c r="F47" s="223">
        <f aca="true" t="shared" si="7" ref="F47:P47">F28-F3</f>
        <v>22</v>
      </c>
      <c r="G47" s="237">
        <f t="shared" si="7"/>
        <v>0</v>
      </c>
      <c r="H47" s="237">
        <f t="shared" si="7"/>
        <v>100</v>
      </c>
      <c r="I47" s="237">
        <f t="shared" si="7"/>
        <v>71</v>
      </c>
      <c r="J47" s="237">
        <f t="shared" si="7"/>
        <v>467</v>
      </c>
      <c r="K47" s="237">
        <f t="shared" si="7"/>
        <v>0</v>
      </c>
      <c r="L47" s="237">
        <f t="shared" si="7"/>
        <v>600</v>
      </c>
      <c r="M47" s="237">
        <f t="shared" si="7"/>
        <v>88</v>
      </c>
      <c r="N47" s="237">
        <f t="shared" si="7"/>
        <v>579</v>
      </c>
      <c r="O47" s="229">
        <f t="shared" si="7"/>
        <v>16260.578000000096</v>
      </c>
      <c r="P47" s="127">
        <f t="shared" si="7"/>
        <v>18187.577999999747</v>
      </c>
      <c r="Q47" s="81">
        <f aca="true" t="shared" si="8" ref="Q47:X47">Q28-Q3</f>
        <v>0</v>
      </c>
      <c r="R47" s="82">
        <f t="shared" si="8"/>
        <v>18187.57799999998</v>
      </c>
      <c r="S47" s="83">
        <f t="shared" si="8"/>
        <v>0</v>
      </c>
      <c r="T47" s="83">
        <f t="shared" si="8"/>
        <v>0</v>
      </c>
      <c r="U47" s="83">
        <f t="shared" si="8"/>
        <v>0</v>
      </c>
      <c r="V47" s="83">
        <f>V28-V3</f>
        <v>0</v>
      </c>
      <c r="W47" s="82">
        <f t="shared" si="8"/>
        <v>0</v>
      </c>
      <c r="X47" s="84">
        <f t="shared" si="8"/>
        <v>55156.78515999997</v>
      </c>
    </row>
    <row r="48" spans="1:5" ht="9" customHeight="1">
      <c r="A48" s="47"/>
      <c r="B48" s="47"/>
      <c r="C48" s="47"/>
      <c r="D48" s="47"/>
      <c r="E48" s="48"/>
    </row>
    <row r="49" spans="1:27" s="47" customFormat="1" ht="11.25">
      <c r="A49" s="552" t="s">
        <v>98</v>
      </c>
      <c r="B49" s="553"/>
      <c r="C49" s="553"/>
      <c r="D49" s="553"/>
      <c r="E49" s="553"/>
      <c r="F49" s="59">
        <f>SKM!J50/1000</f>
        <v>0</v>
      </c>
      <c r="G49" s="59">
        <f>SUKB!J52/1000</f>
        <v>0</v>
      </c>
      <c r="H49" s="59">
        <f>UCT!J50/1000</f>
        <v>0</v>
      </c>
      <c r="I49" s="59">
        <f>SPSSN!J50/1000</f>
        <v>0</v>
      </c>
      <c r="J49" s="59">
        <f>IBA!J50/1000</f>
        <v>0</v>
      </c>
      <c r="K49" s="59"/>
      <c r="L49" s="59">
        <f>ÚVT!J50/1000</f>
        <v>0</v>
      </c>
      <c r="M49" s="59">
        <f>CJV!J50/1000</f>
        <v>0</v>
      </c>
      <c r="N49" s="59">
        <f>CZS!J50</f>
        <v>0</v>
      </c>
      <c r="O49" s="59">
        <f>RMU!J50/1000</f>
        <v>0</v>
      </c>
      <c r="P49" s="288">
        <f>ostatni!J50/1000</f>
        <v>0</v>
      </c>
      <c r="Q49" s="59"/>
      <c r="S49" s="59"/>
      <c r="U49" s="59"/>
      <c r="V49" s="59"/>
      <c r="W49" s="287"/>
      <c r="X49" s="287"/>
      <c r="Y49" s="530"/>
      <c r="Z49" s="530"/>
      <c r="AA49" s="530"/>
    </row>
    <row r="50" spans="1:27" s="47" customFormat="1" ht="11.25">
      <c r="A50" s="553"/>
      <c r="B50" s="553"/>
      <c r="C50" s="553"/>
      <c r="D50" s="553"/>
      <c r="E50" s="553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R50" s="59"/>
      <c r="S50" s="59"/>
      <c r="T50" s="59"/>
      <c r="U50" s="59"/>
      <c r="V50" s="59"/>
      <c r="W50" s="59"/>
      <c r="X50" s="59"/>
      <c r="Y50" s="530"/>
      <c r="Z50" s="530"/>
      <c r="AA50" s="530"/>
    </row>
    <row r="51" spans="1:27" s="47" customFormat="1" ht="11.25" hidden="1">
      <c r="A51" s="51" t="s">
        <v>69</v>
      </c>
      <c r="E51" s="4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R51" s="59"/>
      <c r="S51" s="59"/>
      <c r="T51" s="59"/>
      <c r="U51" s="59"/>
      <c r="V51" s="59"/>
      <c r="W51" s="59"/>
      <c r="X51" s="59"/>
      <c r="Y51" s="530"/>
      <c r="Z51" s="530"/>
      <c r="AA51" s="530"/>
    </row>
    <row r="52" spans="1:27" s="47" customFormat="1" ht="11.25" hidden="1">
      <c r="A52" s="51" t="s">
        <v>70</v>
      </c>
      <c r="E52" s="48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R52" s="59"/>
      <c r="S52" s="59"/>
      <c r="T52" s="59"/>
      <c r="U52" s="59"/>
      <c r="V52" s="59"/>
      <c r="W52" s="59"/>
      <c r="X52" s="59"/>
      <c r="Y52" s="530"/>
      <c r="Z52" s="530"/>
      <c r="AA52" s="530"/>
    </row>
    <row r="53" spans="1:27" s="51" customFormat="1" ht="11.25" hidden="1">
      <c r="A53" s="51" t="s">
        <v>72</v>
      </c>
      <c r="E53" s="53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R53" s="75"/>
      <c r="S53" s="75"/>
      <c r="T53" s="75"/>
      <c r="U53" s="75"/>
      <c r="V53" s="75"/>
      <c r="W53" s="75"/>
      <c r="X53" s="75"/>
      <c r="Y53" s="530"/>
      <c r="Z53" s="530"/>
      <c r="AA53" s="530"/>
    </row>
    <row r="54" spans="1:27" s="51" customFormat="1" ht="11.25" hidden="1">
      <c r="A54" s="51" t="s">
        <v>73</v>
      </c>
      <c r="E54" s="53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R54" s="75"/>
      <c r="S54" s="75"/>
      <c r="T54" s="75"/>
      <c r="U54" s="75"/>
      <c r="V54" s="75"/>
      <c r="W54" s="75"/>
      <c r="X54" s="75"/>
      <c r="Y54" s="530"/>
      <c r="Z54" s="530"/>
      <c r="AA54" s="530"/>
    </row>
    <row r="55" spans="1:27" s="51" customFormat="1" ht="11.25" hidden="1">
      <c r="A55" s="51" t="s">
        <v>74</v>
      </c>
      <c r="E55" s="53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R55" s="75"/>
      <c r="S55" s="75"/>
      <c r="T55" s="75"/>
      <c r="U55" s="75"/>
      <c r="V55" s="75"/>
      <c r="W55" s="75"/>
      <c r="X55" s="75"/>
      <c r="Y55" s="530"/>
      <c r="Z55" s="530"/>
      <c r="AA55" s="530"/>
    </row>
    <row r="56" spans="1:27" s="47" customFormat="1" ht="11.25">
      <c r="A56" s="51"/>
      <c r="B56" s="51"/>
      <c r="C56" s="51"/>
      <c r="D56" s="51"/>
      <c r="E56" s="4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R56" s="59"/>
      <c r="S56" s="59"/>
      <c r="T56" s="59"/>
      <c r="U56" s="59"/>
      <c r="V56" s="59"/>
      <c r="W56" s="59"/>
      <c r="X56" s="59"/>
      <c r="Y56" s="530"/>
      <c r="Z56" s="530"/>
      <c r="AA56" s="530"/>
    </row>
    <row r="57" spans="1:27" s="59" customFormat="1" ht="11.25">
      <c r="A57" s="51"/>
      <c r="B57" s="51"/>
      <c r="C57" s="51"/>
      <c r="D57" s="51"/>
      <c r="E57" s="57"/>
      <c r="Y57" s="530"/>
      <c r="Z57" s="530"/>
      <c r="AA57" s="530"/>
    </row>
    <row r="58" spans="1:27" s="59" customFormat="1" ht="11.25">
      <c r="A58" s="51"/>
      <c r="B58" s="51"/>
      <c r="C58" s="51"/>
      <c r="D58" s="51"/>
      <c r="E58" s="57"/>
      <c r="Y58" s="530"/>
      <c r="Z58" s="530"/>
      <c r="AA58" s="530"/>
    </row>
    <row r="59" spans="1:27" s="59" customFormat="1" ht="11.25">
      <c r="A59" s="51"/>
      <c r="B59" s="51"/>
      <c r="C59" s="51"/>
      <c r="D59" s="51"/>
      <c r="E59" s="57"/>
      <c r="Y59" s="530"/>
      <c r="Z59" s="530"/>
      <c r="AA59" s="530"/>
    </row>
  </sheetData>
  <mergeCells count="4">
    <mergeCell ref="A1:D1"/>
    <mergeCell ref="S1:W1"/>
    <mergeCell ref="C2:D2"/>
    <mergeCell ref="A49:E50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A1" sqref="A1:N52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125" style="25" customWidth="1"/>
    <col min="7" max="7" width="5.125" style="0" hidden="1" customWidth="1"/>
    <col min="8" max="8" width="10.875" style="59" customWidth="1"/>
    <col min="9" max="9" width="9.625" style="59" customWidth="1"/>
    <col min="10" max="12" width="8.00390625" style="59" customWidth="1"/>
    <col min="13" max="13" width="8.125" style="59" customWidth="1"/>
    <col min="14" max="14" width="10.00390625" style="59" customWidth="1"/>
    <col min="15" max="15" width="7.25390625" style="317" customWidth="1"/>
    <col min="16" max="16" width="7.00390625" style="0" customWidth="1"/>
    <col min="17" max="17" width="8.00390625" style="0" customWidth="1"/>
    <col min="18" max="18" width="7.00390625" style="0" customWidth="1"/>
    <col min="19" max="19" width="8.00390625" style="0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5" s="16" customFormat="1" ht="13.5" thickBot="1">
      <c r="A2" s="375" t="s">
        <v>149</v>
      </c>
      <c r="B2" s="7"/>
      <c r="C2" s="550" t="s">
        <v>79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318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603767000</v>
      </c>
      <c r="G3" s="81">
        <f aca="true" t="shared" si="0" ref="G3:N3">SUM(G5:G27)</f>
        <v>0</v>
      </c>
      <c r="H3" s="82">
        <f t="shared" si="0"/>
        <v>575602000</v>
      </c>
      <c r="I3" s="83">
        <f t="shared" si="0"/>
        <v>19994000</v>
      </c>
      <c r="J3" s="83">
        <f t="shared" si="0"/>
        <v>2606000</v>
      </c>
      <c r="K3" s="381">
        <f t="shared" si="0"/>
        <v>0</v>
      </c>
      <c r="L3" s="83">
        <f t="shared" si="0"/>
        <v>3065000</v>
      </c>
      <c r="M3" s="82">
        <f t="shared" si="0"/>
        <v>2500000</v>
      </c>
      <c r="N3" s="84">
        <f t="shared" si="0"/>
        <v>561033066.2499999</v>
      </c>
    </row>
    <row r="4" spans="1:15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433793000</v>
      </c>
      <c r="G4" s="86">
        <f aca="true" t="shared" si="1" ref="G4:N4">SUM(G5:G15)</f>
        <v>0</v>
      </c>
      <c r="H4" s="87">
        <f t="shared" si="1"/>
        <v>407050000</v>
      </c>
      <c r="I4" s="88">
        <f t="shared" si="1"/>
        <v>19994000</v>
      </c>
      <c r="J4" s="88">
        <f t="shared" si="1"/>
        <v>1184000</v>
      </c>
      <c r="K4" s="382">
        <f t="shared" si="1"/>
        <v>0</v>
      </c>
      <c r="L4" s="382">
        <f t="shared" si="1"/>
        <v>3065000</v>
      </c>
      <c r="M4" s="87">
        <f t="shared" si="1"/>
        <v>2500000</v>
      </c>
      <c r="N4" s="89">
        <f t="shared" si="1"/>
        <v>393308992.9</v>
      </c>
      <c r="O4" s="318"/>
    </row>
    <row r="5" spans="1:15" s="25" customFormat="1" ht="12">
      <c r="A5" s="21"/>
      <c r="B5" s="26"/>
      <c r="C5" s="26" t="s">
        <v>16</v>
      </c>
      <c r="D5" s="27" t="s">
        <v>17</v>
      </c>
      <c r="E5" s="28">
        <v>3</v>
      </c>
      <c r="F5" s="129">
        <f>SUM(H5:M5)</f>
        <v>210162000</v>
      </c>
      <c r="G5" s="91"/>
      <c r="H5" s="92">
        <v>208015000</v>
      </c>
      <c r="I5" s="92">
        <v>2147000</v>
      </c>
      <c r="J5" s="93"/>
      <c r="K5" s="383"/>
      <c r="L5" s="93"/>
      <c r="M5" s="94"/>
      <c r="N5" s="402">
        <v>190532610.64</v>
      </c>
      <c r="O5" s="318"/>
    </row>
    <row r="6" spans="1:15" s="25" customFormat="1" ht="12">
      <c r="A6" s="21"/>
      <c r="B6" s="26"/>
      <c r="C6" s="26"/>
      <c r="D6" s="27" t="s">
        <v>18</v>
      </c>
      <c r="E6" s="28">
        <v>4</v>
      </c>
      <c r="F6" s="129">
        <f aca="true" t="shared" si="2" ref="F6:F45">SUM(H6:M6)</f>
        <v>4600000</v>
      </c>
      <c r="G6" s="91"/>
      <c r="H6" s="92">
        <v>4600000</v>
      </c>
      <c r="I6" s="92"/>
      <c r="J6" s="93"/>
      <c r="K6" s="383"/>
      <c r="L6" s="93"/>
      <c r="M6" s="94"/>
      <c r="N6" s="402">
        <v>4100540</v>
      </c>
      <c r="O6" s="318"/>
    </row>
    <row r="7" spans="1:15" s="25" customFormat="1" ht="12">
      <c r="A7" s="21"/>
      <c r="B7" s="26"/>
      <c r="C7" s="26"/>
      <c r="D7" s="27" t="s">
        <v>19</v>
      </c>
      <c r="E7" s="28">
        <v>5</v>
      </c>
      <c r="F7" s="129">
        <f t="shared" si="2"/>
        <v>75658000</v>
      </c>
      <c r="G7" s="91"/>
      <c r="H7" s="92">
        <v>74885000</v>
      </c>
      <c r="I7" s="92">
        <v>773000</v>
      </c>
      <c r="J7" s="93"/>
      <c r="K7" s="383"/>
      <c r="L7" s="93"/>
      <c r="M7" s="94"/>
      <c r="N7" s="402">
        <v>70146562.45</v>
      </c>
      <c r="O7" s="318"/>
    </row>
    <row r="8" spans="1:15" s="25" customFormat="1" ht="12">
      <c r="A8" s="21"/>
      <c r="B8" s="26"/>
      <c r="C8" s="26"/>
      <c r="D8" s="27" t="s">
        <v>20</v>
      </c>
      <c r="E8" s="28">
        <v>6</v>
      </c>
      <c r="F8" s="129">
        <f t="shared" si="2"/>
        <v>20507000</v>
      </c>
      <c r="G8" s="91"/>
      <c r="H8" s="92">
        <v>11256000</v>
      </c>
      <c r="I8" s="92">
        <v>9251000</v>
      </c>
      <c r="J8" s="93"/>
      <c r="K8" s="383"/>
      <c r="L8" s="93"/>
      <c r="M8" s="94"/>
      <c r="N8" s="402">
        <v>11271075.31</v>
      </c>
      <c r="O8" s="318"/>
    </row>
    <row r="9" spans="1:15" s="25" customFormat="1" ht="12">
      <c r="A9" s="21"/>
      <c r="B9" s="26"/>
      <c r="C9" s="26"/>
      <c r="D9" s="27" t="s">
        <v>21</v>
      </c>
      <c r="E9" s="28">
        <v>7</v>
      </c>
      <c r="F9" s="129">
        <f t="shared" si="2"/>
        <v>6026000</v>
      </c>
      <c r="G9" s="91"/>
      <c r="H9" s="92">
        <v>4345000</v>
      </c>
      <c r="I9" s="92">
        <v>1681000</v>
      </c>
      <c r="J9" s="93"/>
      <c r="K9" s="383"/>
      <c r="L9" s="93"/>
      <c r="M9" s="94"/>
      <c r="N9" s="402">
        <v>4993749.08</v>
      </c>
      <c r="O9" s="318"/>
    </row>
    <row r="10" spans="1:15" s="25" customFormat="1" ht="12">
      <c r="A10" s="21"/>
      <c r="B10" s="26"/>
      <c r="C10" s="26"/>
      <c r="D10" s="27" t="s">
        <v>22</v>
      </c>
      <c r="E10" s="28">
        <v>8</v>
      </c>
      <c r="F10" s="129">
        <f t="shared" si="2"/>
        <v>17000000</v>
      </c>
      <c r="G10" s="91"/>
      <c r="H10" s="92">
        <v>16699000</v>
      </c>
      <c r="I10" s="92">
        <v>301000</v>
      </c>
      <c r="J10" s="93"/>
      <c r="K10" s="383"/>
      <c r="L10" s="93"/>
      <c r="M10" s="94"/>
      <c r="N10" s="402">
        <v>11665014.07</v>
      </c>
      <c r="O10" s="318"/>
    </row>
    <row r="11" spans="1:15" s="25" customFormat="1" ht="12">
      <c r="A11" s="21"/>
      <c r="B11" s="26"/>
      <c r="C11" s="26"/>
      <c r="D11" s="27" t="s">
        <v>23</v>
      </c>
      <c r="E11" s="28">
        <v>9</v>
      </c>
      <c r="F11" s="129">
        <f t="shared" si="2"/>
        <v>17000000</v>
      </c>
      <c r="G11" s="91"/>
      <c r="H11" s="92">
        <v>14143000</v>
      </c>
      <c r="I11" s="92">
        <v>2857000</v>
      </c>
      <c r="J11" s="93"/>
      <c r="K11" s="383"/>
      <c r="L11" s="93"/>
      <c r="M11" s="94"/>
      <c r="N11" s="402">
        <v>17799874.97</v>
      </c>
      <c r="O11" s="318"/>
    </row>
    <row r="12" spans="1:15" s="25" customFormat="1" ht="12">
      <c r="A12" s="21"/>
      <c r="B12" s="26"/>
      <c r="C12" s="26"/>
      <c r="D12" s="27" t="s">
        <v>24</v>
      </c>
      <c r="E12" s="28">
        <v>10</v>
      </c>
      <c r="F12" s="129">
        <f t="shared" si="2"/>
        <v>1000000</v>
      </c>
      <c r="G12" s="91"/>
      <c r="H12" s="92">
        <v>975000</v>
      </c>
      <c r="I12" s="92">
        <v>25000</v>
      </c>
      <c r="J12" s="93"/>
      <c r="K12" s="383"/>
      <c r="L12" s="93"/>
      <c r="M12" s="94"/>
      <c r="N12" s="402">
        <v>850265.11</v>
      </c>
      <c r="O12" s="318"/>
    </row>
    <row r="13" spans="1:15" s="25" customFormat="1" ht="12">
      <c r="A13" s="21"/>
      <c r="B13" s="26"/>
      <c r="C13" s="26"/>
      <c r="D13" s="27" t="s">
        <v>25</v>
      </c>
      <c r="E13" s="28">
        <v>11</v>
      </c>
      <c r="F13" s="129">
        <f t="shared" si="2"/>
        <v>48476000</v>
      </c>
      <c r="G13" s="91"/>
      <c r="H13" s="92">
        <v>45674000</v>
      </c>
      <c r="I13" s="92">
        <v>2802000</v>
      </c>
      <c r="J13" s="93"/>
      <c r="K13" s="383"/>
      <c r="L13" s="93"/>
      <c r="M13" s="94"/>
      <c r="N13" s="402">
        <v>46011067.89</v>
      </c>
      <c r="O13" s="318"/>
    </row>
    <row r="14" spans="1:15" s="25" customFormat="1" ht="12">
      <c r="A14" s="21"/>
      <c r="B14" s="26"/>
      <c r="C14" s="26"/>
      <c r="D14" s="27" t="s">
        <v>26</v>
      </c>
      <c r="E14" s="28">
        <v>12</v>
      </c>
      <c r="F14" s="129">
        <f t="shared" si="2"/>
        <v>3023000</v>
      </c>
      <c r="G14" s="91"/>
      <c r="H14" s="92">
        <v>500000</v>
      </c>
      <c r="I14" s="92"/>
      <c r="J14" s="93">
        <v>23000</v>
      </c>
      <c r="K14" s="383"/>
      <c r="L14" s="93"/>
      <c r="M14" s="94">
        <v>2500000</v>
      </c>
      <c r="N14" s="402">
        <v>1263139</v>
      </c>
      <c r="O14" s="318"/>
    </row>
    <row r="15" spans="1:15" s="25" customFormat="1" ht="12">
      <c r="A15" s="21"/>
      <c r="B15" s="26"/>
      <c r="C15" s="27"/>
      <c r="D15" s="27" t="s">
        <v>27</v>
      </c>
      <c r="E15" s="28">
        <v>13</v>
      </c>
      <c r="F15" s="129">
        <f t="shared" si="2"/>
        <v>30341000</v>
      </c>
      <c r="G15" s="91"/>
      <c r="H15" s="298">
        <f>29643000-3685000</f>
        <v>25958000</v>
      </c>
      <c r="I15" s="92">
        <v>157000</v>
      </c>
      <c r="J15" s="93">
        <v>1161000</v>
      </c>
      <c r="K15" s="383"/>
      <c r="L15" s="93">
        <v>3065000</v>
      </c>
      <c r="M15" s="94"/>
      <c r="N15" s="402">
        <v>34675094.38</v>
      </c>
      <c r="O15" s="318"/>
    </row>
    <row r="16" spans="1:15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20328000</v>
      </c>
      <c r="G16" s="97"/>
      <c r="H16" s="407">
        <f>20328000</f>
        <v>20328000</v>
      </c>
      <c r="I16" s="98"/>
      <c r="J16" s="99"/>
      <c r="K16" s="384"/>
      <c r="L16" s="99"/>
      <c r="M16" s="100"/>
      <c r="N16" s="202">
        <v>19330920</v>
      </c>
      <c r="O16" s="318"/>
    </row>
    <row r="17" spans="1:15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0</v>
      </c>
      <c r="G17" s="97"/>
      <c r="H17" s="98"/>
      <c r="I17" s="98"/>
      <c r="J17" s="99"/>
      <c r="K17" s="384"/>
      <c r="L17" s="99"/>
      <c r="M17" s="100"/>
      <c r="N17" s="202">
        <v>1134621</v>
      </c>
      <c r="O17" s="318"/>
    </row>
    <row r="18" spans="1:15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10186000</v>
      </c>
      <c r="G18" s="97"/>
      <c r="H18" s="98">
        <v>10186000</v>
      </c>
      <c r="I18" s="98"/>
      <c r="J18" s="99"/>
      <c r="K18" s="384"/>
      <c r="L18" s="99"/>
      <c r="M18" s="100"/>
      <c r="N18" s="202">
        <v>14386849.96</v>
      </c>
      <c r="O18" s="318"/>
    </row>
    <row r="19" spans="1:15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465000</v>
      </c>
      <c r="G19" s="97"/>
      <c r="H19" s="98">
        <v>465000</v>
      </c>
      <c r="I19" s="98"/>
      <c r="J19" s="99"/>
      <c r="K19" s="384"/>
      <c r="L19" s="99"/>
      <c r="M19" s="100"/>
      <c r="N19" s="202">
        <v>1108000</v>
      </c>
      <c r="O19" s="318"/>
    </row>
    <row r="20" spans="1:15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202">
        <v>421861</v>
      </c>
      <c r="O20" s="318"/>
    </row>
    <row r="21" spans="1:15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202"/>
      <c r="O21" s="318"/>
    </row>
    <row r="22" spans="1:15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0</v>
      </c>
      <c r="G22" s="97"/>
      <c r="H22" s="100"/>
      <c r="I22" s="99"/>
      <c r="J22" s="99"/>
      <c r="K22" s="384"/>
      <c r="L22" s="99"/>
      <c r="M22" s="100"/>
      <c r="N22" s="202">
        <v>314128.01</v>
      </c>
      <c r="O22" s="318"/>
    </row>
    <row r="23" spans="1:15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58803000</v>
      </c>
      <c r="G23" s="97"/>
      <c r="H23" s="100">
        <v>58605000</v>
      </c>
      <c r="I23" s="99"/>
      <c r="J23" s="99">
        <v>198000</v>
      </c>
      <c r="K23" s="384"/>
      <c r="L23" s="99"/>
      <c r="M23" s="100"/>
      <c r="N23" s="202">
        <v>50600206.98</v>
      </c>
      <c r="O23" s="318"/>
    </row>
    <row r="24" spans="1:15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65568000</v>
      </c>
      <c r="G24" s="97"/>
      <c r="H24" s="100">
        <v>65479000</v>
      </c>
      <c r="I24" s="99"/>
      <c r="J24" s="99">
        <v>89000</v>
      </c>
      <c r="K24" s="384"/>
      <c r="L24" s="99"/>
      <c r="M24" s="100"/>
      <c r="N24" s="202">
        <v>65222569.1</v>
      </c>
      <c r="O24" s="318"/>
    </row>
    <row r="25" spans="1:15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1235000</v>
      </c>
      <c r="G25" s="97"/>
      <c r="H25" s="100">
        <v>785000</v>
      </c>
      <c r="I25" s="99"/>
      <c r="J25" s="99">
        <v>450000</v>
      </c>
      <c r="K25" s="384"/>
      <c r="L25" s="99"/>
      <c r="M25" s="100"/>
      <c r="N25" s="202">
        <v>1482781.43</v>
      </c>
      <c r="O25" s="318"/>
    </row>
    <row r="26" spans="1:15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9867000</v>
      </c>
      <c r="G26" s="97"/>
      <c r="H26" s="100">
        <v>9182000</v>
      </c>
      <c r="I26" s="99"/>
      <c r="J26" s="99">
        <v>685000</v>
      </c>
      <c r="K26" s="384"/>
      <c r="L26" s="99"/>
      <c r="M26" s="100"/>
      <c r="N26" s="202">
        <v>10482060.19</v>
      </c>
      <c r="O26" s="318"/>
    </row>
    <row r="27" spans="1:15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3522000</v>
      </c>
      <c r="G27" s="97"/>
      <c r="H27" s="100">
        <v>3522000</v>
      </c>
      <c r="I27" s="99"/>
      <c r="J27" s="99"/>
      <c r="K27" s="384"/>
      <c r="L27" s="99"/>
      <c r="M27" s="100"/>
      <c r="N27" s="202">
        <v>3240075.68</v>
      </c>
      <c r="O27" s="318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606445000</v>
      </c>
      <c r="G28" s="81">
        <f aca="true" t="shared" si="3" ref="G28:N28">SUM(G29:G45)</f>
        <v>0</v>
      </c>
      <c r="H28" s="82">
        <f t="shared" si="3"/>
        <v>578280000</v>
      </c>
      <c r="I28" s="83">
        <f t="shared" si="3"/>
        <v>19994000</v>
      </c>
      <c r="J28" s="83">
        <f t="shared" si="3"/>
        <v>2606000</v>
      </c>
      <c r="K28" s="381">
        <f t="shared" si="3"/>
        <v>0</v>
      </c>
      <c r="L28" s="83">
        <f t="shared" si="3"/>
        <v>3065000</v>
      </c>
      <c r="M28" s="82">
        <f t="shared" si="3"/>
        <v>2500000</v>
      </c>
      <c r="N28" s="84">
        <f t="shared" si="3"/>
        <v>582510770.28</v>
      </c>
    </row>
    <row r="29" spans="1:19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269882000</v>
      </c>
      <c r="G29" s="86"/>
      <c r="H29" s="324">
        <f>273544000-3685000</f>
        <v>269859000</v>
      </c>
      <c r="I29" s="88"/>
      <c r="J29" s="88">
        <v>23000</v>
      </c>
      <c r="K29" s="382"/>
      <c r="L29" s="88"/>
      <c r="M29" s="87"/>
      <c r="N29" s="403">
        <v>264209794.94</v>
      </c>
      <c r="O29" s="523">
        <v>3685000</v>
      </c>
      <c r="P29" s="524">
        <f>H29/1000-Q29</f>
        <v>0</v>
      </c>
      <c r="Q29" s="524">
        <f>254291+15568</f>
        <v>269859</v>
      </c>
      <c r="R29" s="525"/>
      <c r="S29" s="525"/>
    </row>
    <row r="30" spans="1:19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20328000</v>
      </c>
      <c r="G30" s="102"/>
      <c r="H30" s="103">
        <v>20328000</v>
      </c>
      <c r="I30" s="104"/>
      <c r="J30" s="104"/>
      <c r="K30" s="385"/>
      <c r="L30" s="104"/>
      <c r="M30" s="103"/>
      <c r="N30" s="404">
        <v>19330920</v>
      </c>
      <c r="O30" s="523"/>
      <c r="P30" s="525"/>
      <c r="Q30" s="525"/>
      <c r="R30" s="525"/>
      <c r="S30" s="525"/>
    </row>
    <row r="31" spans="1:19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0</v>
      </c>
      <c r="G31" s="102"/>
      <c r="H31" s="103"/>
      <c r="I31" s="104"/>
      <c r="J31" s="104"/>
      <c r="K31" s="385"/>
      <c r="L31" s="104"/>
      <c r="M31" s="103"/>
      <c r="N31" s="404">
        <v>1134621</v>
      </c>
      <c r="O31" s="523"/>
      <c r="P31" s="525"/>
      <c r="Q31" s="525"/>
      <c r="R31" s="525"/>
      <c r="S31" s="525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10186000</v>
      </c>
      <c r="G32" s="102"/>
      <c r="H32" s="103">
        <v>10186000</v>
      </c>
      <c r="I32" s="104"/>
      <c r="J32" s="104"/>
      <c r="K32" s="385"/>
      <c r="L32" s="104"/>
      <c r="M32" s="103"/>
      <c r="N32" s="404">
        <v>14386849.96</v>
      </c>
      <c r="O32" s="523"/>
      <c r="P32" s="524">
        <f>H32/1000-Q32</f>
        <v>10186</v>
      </c>
      <c r="Q32" s="524">
        <v>0</v>
      </c>
      <c r="R32" s="524">
        <f>H32/1000-S32</f>
        <v>2094</v>
      </c>
      <c r="S32" s="524">
        <v>8092</v>
      </c>
    </row>
    <row r="33" spans="1:19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465000</v>
      </c>
      <c r="G33" s="102"/>
      <c r="H33" s="103">
        <v>465000</v>
      </c>
      <c r="I33" s="104"/>
      <c r="J33" s="104"/>
      <c r="K33" s="385"/>
      <c r="L33" s="104"/>
      <c r="M33" s="103"/>
      <c r="N33" s="404">
        <v>1108000</v>
      </c>
      <c r="O33" s="523"/>
      <c r="P33" s="524">
        <f>H33/1000-Q33</f>
        <v>1</v>
      </c>
      <c r="Q33" s="524">
        <v>464</v>
      </c>
      <c r="R33" s="525"/>
      <c r="S33" s="525"/>
    </row>
    <row r="34" spans="1:15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404"/>
      <c r="O34" s="318"/>
    </row>
    <row r="35" spans="1:15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404">
        <v>421861</v>
      </c>
      <c r="O35" s="318"/>
    </row>
    <row r="36" spans="1:15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404"/>
      <c r="O36" s="318"/>
    </row>
    <row r="37" spans="1:15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0</v>
      </c>
      <c r="G37" s="102"/>
      <c r="H37" s="103"/>
      <c r="I37" s="104"/>
      <c r="J37" s="104"/>
      <c r="K37" s="385"/>
      <c r="L37" s="104"/>
      <c r="M37" s="103"/>
      <c r="N37" s="404">
        <v>314128.01</v>
      </c>
      <c r="O37" s="318"/>
    </row>
    <row r="38" spans="1:15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28783000</v>
      </c>
      <c r="G38" s="102"/>
      <c r="H38" s="103">
        <v>28783000</v>
      </c>
      <c r="I38" s="104"/>
      <c r="J38" s="104"/>
      <c r="K38" s="385"/>
      <c r="L38" s="104"/>
      <c r="M38" s="103"/>
      <c r="N38" s="404">
        <v>28673000</v>
      </c>
      <c r="O38" s="316"/>
    </row>
    <row r="39" spans="1:15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58803000</v>
      </c>
      <c r="G39" s="102"/>
      <c r="H39" s="103">
        <f>H23</f>
        <v>58605000</v>
      </c>
      <c r="I39" s="104"/>
      <c r="J39" s="104">
        <f>J23</f>
        <v>198000</v>
      </c>
      <c r="K39" s="385"/>
      <c r="L39" s="104"/>
      <c r="M39" s="103"/>
      <c r="N39" s="404">
        <v>50600206.98</v>
      </c>
      <c r="O39" s="318"/>
    </row>
    <row r="40" spans="1:15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65568000</v>
      </c>
      <c r="G40" s="102"/>
      <c r="H40" s="103">
        <f>H24</f>
        <v>65479000</v>
      </c>
      <c r="I40" s="104"/>
      <c r="J40" s="104">
        <f>J24</f>
        <v>89000</v>
      </c>
      <c r="K40" s="385"/>
      <c r="L40" s="104"/>
      <c r="M40" s="103"/>
      <c r="N40" s="404">
        <v>65222569.1</v>
      </c>
      <c r="O40" s="318"/>
    </row>
    <row r="41" spans="1:15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1235000</v>
      </c>
      <c r="G41" s="102"/>
      <c r="H41" s="103">
        <f>H25</f>
        <v>785000</v>
      </c>
      <c r="I41" s="104"/>
      <c r="J41" s="104">
        <f>J25</f>
        <v>450000</v>
      </c>
      <c r="K41" s="385"/>
      <c r="L41" s="104"/>
      <c r="M41" s="103"/>
      <c r="N41" s="404">
        <v>1482781.43</v>
      </c>
      <c r="O41" s="318"/>
    </row>
    <row r="42" spans="1:15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9867000</v>
      </c>
      <c r="G42" s="102"/>
      <c r="H42" s="103">
        <f>H26</f>
        <v>9182000</v>
      </c>
      <c r="I42" s="104"/>
      <c r="J42" s="104">
        <f>J26</f>
        <v>685000</v>
      </c>
      <c r="K42" s="385"/>
      <c r="L42" s="104"/>
      <c r="M42" s="103"/>
      <c r="N42" s="404">
        <v>10482060.19</v>
      </c>
      <c r="O42" s="318"/>
    </row>
    <row r="43" spans="1:15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111569000</v>
      </c>
      <c r="G43" s="102"/>
      <c r="H43" s="103">
        <v>110408000</v>
      </c>
      <c r="I43" s="104"/>
      <c r="J43" s="104">
        <v>1161000</v>
      </c>
      <c r="K43" s="385"/>
      <c r="L43" s="104"/>
      <c r="M43" s="103"/>
      <c r="N43" s="404">
        <v>105328971.94</v>
      </c>
      <c r="O43" s="318"/>
    </row>
    <row r="44" spans="1:15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25559000</v>
      </c>
      <c r="G44" s="102"/>
      <c r="H44" s="106" t="s">
        <v>97</v>
      </c>
      <c r="I44" s="104">
        <f>I3</f>
        <v>19994000</v>
      </c>
      <c r="J44" s="104"/>
      <c r="K44" s="385">
        <f>K3</f>
        <v>0</v>
      </c>
      <c r="L44" s="104">
        <f>L15</f>
        <v>3065000</v>
      </c>
      <c r="M44" s="103">
        <f>M14</f>
        <v>2500000</v>
      </c>
      <c r="N44" s="404">
        <v>15614710.72</v>
      </c>
      <c r="O44" s="318"/>
    </row>
    <row r="45" spans="1:15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4200000</v>
      </c>
      <c r="G45" s="108"/>
      <c r="H45" s="109">
        <v>4200000</v>
      </c>
      <c r="I45" s="110"/>
      <c r="J45" s="110"/>
      <c r="K45" s="386"/>
      <c r="L45" s="110"/>
      <c r="M45" s="109"/>
      <c r="N45" s="405">
        <v>4200295.01</v>
      </c>
      <c r="O45" s="318"/>
    </row>
    <row r="46" spans="1:15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2678000</v>
      </c>
      <c r="G46" s="113">
        <f>G29+G34+G38+G43+G44+G45+-G4-G27</f>
        <v>0</v>
      </c>
      <c r="H46" s="113">
        <f>H29+H34+H38+H43+H45-H4-H27</f>
        <v>2678000</v>
      </c>
      <c r="I46" s="113">
        <f aca="true" t="shared" si="4" ref="I46:N46">I29+I34+I38+I43+I44+I45-I4-I27</f>
        <v>0</v>
      </c>
      <c r="J46" s="113">
        <f t="shared" si="4"/>
        <v>0</v>
      </c>
      <c r="K46" s="113">
        <f t="shared" si="4"/>
        <v>0</v>
      </c>
      <c r="L46" s="113">
        <f t="shared" si="4"/>
        <v>0</v>
      </c>
      <c r="M46" s="113">
        <f t="shared" si="4"/>
        <v>0</v>
      </c>
      <c r="N46" s="406">
        <f t="shared" si="4"/>
        <v>21477704.03000004</v>
      </c>
      <c r="O46" s="318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2678000</v>
      </c>
      <c r="G47" s="81">
        <f aca="true" t="shared" si="5" ref="G47:N47">G28-G3</f>
        <v>0</v>
      </c>
      <c r="H47" s="82">
        <f t="shared" si="5"/>
        <v>2678000</v>
      </c>
      <c r="I47" s="83">
        <f t="shared" si="5"/>
        <v>0</v>
      </c>
      <c r="J47" s="83">
        <f t="shared" si="5"/>
        <v>0</v>
      </c>
      <c r="K47" s="381">
        <f t="shared" si="5"/>
        <v>0</v>
      </c>
      <c r="L47" s="83">
        <f t="shared" si="5"/>
        <v>0</v>
      </c>
      <c r="M47" s="82">
        <f t="shared" si="5"/>
        <v>0</v>
      </c>
      <c r="N47" s="84">
        <f t="shared" si="5"/>
        <v>21477704.03000009</v>
      </c>
    </row>
    <row r="48" spans="1:5" ht="12.75">
      <c r="A48" s="47" t="s">
        <v>67</v>
      </c>
      <c r="B48" s="47"/>
      <c r="C48" s="47"/>
      <c r="D48" s="151">
        <v>39882</v>
      </c>
      <c r="E48" s="48"/>
    </row>
    <row r="49" spans="5:15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318"/>
    </row>
    <row r="50" spans="1:15" s="47" customFormat="1" ht="12" hidden="1">
      <c r="A50" s="51" t="s">
        <v>69</v>
      </c>
      <c r="E50" s="48"/>
      <c r="F50" s="25"/>
      <c r="H50" s="59"/>
      <c r="I50" s="59"/>
      <c r="J50" s="59"/>
      <c r="K50" s="59"/>
      <c r="L50" s="59"/>
      <c r="M50" s="59"/>
      <c r="N50" s="59"/>
      <c r="O50" s="318"/>
    </row>
    <row r="51" spans="1:15" s="47" customFormat="1" ht="12" hidden="1">
      <c r="A51" s="51" t="s">
        <v>70</v>
      </c>
      <c r="E51" s="48"/>
      <c r="F51" s="25"/>
      <c r="H51" s="59"/>
      <c r="I51" s="59"/>
      <c r="J51" s="59"/>
      <c r="K51" s="59"/>
      <c r="L51" s="59"/>
      <c r="M51" s="59"/>
      <c r="N51" s="59"/>
      <c r="O51" s="318"/>
    </row>
    <row r="52" spans="1:15" s="47" customFormat="1" ht="12">
      <c r="A52" s="51" t="s">
        <v>98</v>
      </c>
      <c r="E52" s="48"/>
      <c r="F52" s="133"/>
      <c r="H52" s="59"/>
      <c r="J52" s="200"/>
      <c r="M52" s="59"/>
      <c r="N52" s="59"/>
      <c r="O52" s="318"/>
    </row>
    <row r="53" spans="1:15" s="51" customFormat="1" ht="12" hidden="1">
      <c r="A53" s="51" t="s">
        <v>72</v>
      </c>
      <c r="E53" s="53"/>
      <c r="F53" s="134"/>
      <c r="H53" s="75"/>
      <c r="I53" s="75"/>
      <c r="J53" s="75"/>
      <c r="K53" s="75"/>
      <c r="L53" s="75"/>
      <c r="M53" s="75"/>
      <c r="N53" s="75"/>
      <c r="O53" s="318"/>
    </row>
    <row r="54" spans="1:15" s="51" customFormat="1" ht="12" hidden="1">
      <c r="A54" s="51" t="s">
        <v>73</v>
      </c>
      <c r="E54" s="53"/>
      <c r="F54" s="134"/>
      <c r="H54" s="75"/>
      <c r="I54" s="75"/>
      <c r="J54" s="75"/>
      <c r="K54" s="75"/>
      <c r="L54" s="75"/>
      <c r="M54" s="75"/>
      <c r="N54" s="75"/>
      <c r="O54" s="318"/>
    </row>
    <row r="55" spans="1:15" s="51" customFormat="1" ht="12" hidden="1">
      <c r="A55" s="51" t="s">
        <v>74</v>
      </c>
      <c r="E55" s="53"/>
      <c r="F55" s="134"/>
      <c r="H55" s="75"/>
      <c r="I55" s="75"/>
      <c r="J55" s="75"/>
      <c r="K55" s="75"/>
      <c r="L55" s="75"/>
      <c r="M55" s="75"/>
      <c r="N55" s="75"/>
      <c r="O55" s="318"/>
    </row>
    <row r="56" spans="1:15" s="47" customFormat="1" ht="12">
      <c r="A56" s="51"/>
      <c r="B56" s="51"/>
      <c r="C56" s="51"/>
      <c r="D56" s="51"/>
      <c r="E56" s="48"/>
      <c r="F56" s="25"/>
      <c r="H56" s="59"/>
      <c r="I56" s="59"/>
      <c r="J56" s="59"/>
      <c r="K56" s="59"/>
      <c r="L56" s="59"/>
      <c r="M56" s="59"/>
      <c r="N56" s="59"/>
      <c r="O56" s="318"/>
    </row>
    <row r="57" spans="1:15" s="59" customFormat="1" ht="12">
      <c r="A57" s="51"/>
      <c r="B57" s="51"/>
      <c r="C57" s="51"/>
      <c r="D57" s="51"/>
      <c r="E57" s="57"/>
      <c r="F57" s="25"/>
      <c r="O57" s="317"/>
    </row>
    <row r="58" spans="1:15" s="59" customFormat="1" ht="12">
      <c r="A58" s="51"/>
      <c r="B58" s="51"/>
      <c r="C58" s="51"/>
      <c r="D58" s="51"/>
      <c r="E58" s="57"/>
      <c r="F58" s="25"/>
      <c r="O58" s="317"/>
    </row>
    <row r="59" spans="1:15" s="59" customFormat="1" ht="12">
      <c r="A59" s="51"/>
      <c r="B59" s="51"/>
      <c r="C59" s="51"/>
      <c r="D59" s="51"/>
      <c r="E59" s="57"/>
      <c r="F59" s="25"/>
      <c r="O59" s="317"/>
    </row>
  </sheetData>
  <mergeCells count="3">
    <mergeCell ref="A1:D1"/>
    <mergeCell ref="I1:M1"/>
    <mergeCell ref="C2:D2"/>
  </mergeCells>
  <printOptions horizontalCentered="1" verticalCentered="1"/>
  <pageMargins left="0.4330708661417323" right="0.2755905511811024" top="0.4330708661417323" bottom="0.35433070866141736" header="0.196850393700787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D4" sqref="D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25390625" style="25" customWidth="1"/>
    <col min="7" max="7" width="5.125" style="0" hidden="1" customWidth="1"/>
    <col min="8" max="8" width="10.875" style="59" customWidth="1"/>
    <col min="9" max="12" width="8.00390625" style="59" customWidth="1"/>
    <col min="13" max="13" width="8.875" style="59" customWidth="1"/>
    <col min="14" max="14" width="9.625" style="59" customWidth="1"/>
    <col min="15" max="15" width="8.25390625" style="522" customWidth="1"/>
    <col min="16" max="16" width="6.75390625" style="526" customWidth="1"/>
    <col min="17" max="17" width="7.75390625" style="526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292" t="s">
        <v>2</v>
      </c>
      <c r="I1" s="548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375" t="s">
        <v>149</v>
      </c>
      <c r="B2" s="7"/>
      <c r="C2" s="550" t="s">
        <v>80</v>
      </c>
      <c r="D2" s="551"/>
      <c r="E2" s="9" t="s">
        <v>5</v>
      </c>
      <c r="F2" s="126">
        <v>2009</v>
      </c>
      <c r="G2" s="12" t="s">
        <v>7</v>
      </c>
      <c r="H2" s="293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6"/>
      <c r="Q2" s="526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394967000</v>
      </c>
      <c r="G3" s="81">
        <f aca="true" t="shared" si="0" ref="G3:N3">SUM(G5:G27)</f>
        <v>0</v>
      </c>
      <c r="H3" s="294">
        <f t="shared" si="0"/>
        <v>383185000</v>
      </c>
      <c r="I3" s="156">
        <f t="shared" si="0"/>
        <v>642000</v>
      </c>
      <c r="J3" s="83">
        <f t="shared" si="0"/>
        <v>590000</v>
      </c>
      <c r="K3" s="381">
        <f t="shared" si="0"/>
        <v>0</v>
      </c>
      <c r="L3" s="83">
        <f t="shared" si="0"/>
        <v>2900000</v>
      </c>
      <c r="M3" s="82">
        <f t="shared" si="0"/>
        <v>7650000</v>
      </c>
      <c r="N3" s="84">
        <f t="shared" si="0"/>
        <v>377109729.38000005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305093000</v>
      </c>
      <c r="G4" s="86">
        <f aca="true" t="shared" si="1" ref="G4:N4">SUM(G5:G15)</f>
        <v>0</v>
      </c>
      <c r="H4" s="295">
        <f t="shared" si="1"/>
        <v>293867000</v>
      </c>
      <c r="I4" s="137">
        <f t="shared" si="1"/>
        <v>642000</v>
      </c>
      <c r="J4" s="88">
        <f t="shared" si="1"/>
        <v>34000</v>
      </c>
      <c r="K4" s="382">
        <f t="shared" si="1"/>
        <v>0</v>
      </c>
      <c r="L4" s="382">
        <f t="shared" si="1"/>
        <v>2900000</v>
      </c>
      <c r="M4" s="87">
        <f t="shared" si="1"/>
        <v>7650000</v>
      </c>
      <c r="N4" s="89">
        <f t="shared" si="1"/>
        <v>285393612.73</v>
      </c>
      <c r="O4" s="522"/>
      <c r="P4" s="527"/>
      <c r="Q4" s="527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161500000</v>
      </c>
      <c r="G5" s="91"/>
      <c r="H5" s="163">
        <v>161500000</v>
      </c>
      <c r="I5" s="164"/>
      <c r="J5" s="79"/>
      <c r="K5" s="394"/>
      <c r="L5" s="79"/>
      <c r="M5" s="165"/>
      <c r="N5" s="165">
        <v>156157567</v>
      </c>
      <c r="O5" s="528"/>
      <c r="P5" s="529"/>
      <c r="Q5" s="529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6950000</v>
      </c>
      <c r="G6" s="91"/>
      <c r="H6" s="163">
        <v>6950000</v>
      </c>
      <c r="I6" s="164"/>
      <c r="J6" s="79"/>
      <c r="K6" s="394"/>
      <c r="L6" s="79"/>
      <c r="M6" s="165"/>
      <c r="N6" s="165">
        <v>6651093</v>
      </c>
      <c r="O6" s="528"/>
      <c r="P6" s="529"/>
      <c r="Q6" s="529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58302000</v>
      </c>
      <c r="G7" s="91"/>
      <c r="H7" s="163">
        <v>58302000</v>
      </c>
      <c r="I7" s="164"/>
      <c r="J7" s="79"/>
      <c r="K7" s="394"/>
      <c r="L7" s="79"/>
      <c r="M7" s="165"/>
      <c r="N7" s="165">
        <v>56972870.95</v>
      </c>
      <c r="O7" s="528"/>
      <c r="P7" s="529"/>
      <c r="Q7" s="529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6650000</v>
      </c>
      <c r="G8" s="91"/>
      <c r="H8" s="163">
        <v>6650000</v>
      </c>
      <c r="I8" s="164"/>
      <c r="J8" s="79"/>
      <c r="K8" s="394"/>
      <c r="L8" s="79"/>
      <c r="M8" s="165"/>
      <c r="N8" s="165">
        <v>5556061.16</v>
      </c>
      <c r="O8" s="528"/>
      <c r="P8" s="529"/>
      <c r="Q8" s="529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2200000</v>
      </c>
      <c r="G9" s="91"/>
      <c r="H9" s="163">
        <v>2200000</v>
      </c>
      <c r="I9" s="164"/>
      <c r="J9" s="79"/>
      <c r="K9" s="394"/>
      <c r="L9" s="79"/>
      <c r="M9" s="165"/>
      <c r="N9" s="165">
        <v>1807033.05</v>
      </c>
      <c r="O9" s="528"/>
      <c r="P9" s="529"/>
      <c r="Q9" s="529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13342000</v>
      </c>
      <c r="G10" s="91"/>
      <c r="H10" s="163">
        <v>12700000</v>
      </c>
      <c r="I10" s="164">
        <v>642000</v>
      </c>
      <c r="J10" s="79"/>
      <c r="K10" s="394"/>
      <c r="L10" s="79"/>
      <c r="M10" s="165"/>
      <c r="N10" s="165">
        <v>11976724.19</v>
      </c>
      <c r="O10" s="528"/>
      <c r="P10" s="529"/>
      <c r="Q10" s="529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11900000</v>
      </c>
      <c r="G11" s="91"/>
      <c r="H11" s="163">
        <v>11900000</v>
      </c>
      <c r="I11" s="164"/>
      <c r="J11" s="79"/>
      <c r="K11" s="394"/>
      <c r="L11" s="79"/>
      <c r="M11" s="165"/>
      <c r="N11" s="165">
        <v>10634413.65</v>
      </c>
      <c r="O11" s="528"/>
      <c r="P11" s="529"/>
      <c r="Q11" s="529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2400000</v>
      </c>
      <c r="G12" s="91"/>
      <c r="H12" s="163">
        <v>2400000</v>
      </c>
      <c r="I12" s="164"/>
      <c r="J12" s="79"/>
      <c r="K12" s="394"/>
      <c r="L12" s="79"/>
      <c r="M12" s="165"/>
      <c r="N12" s="165">
        <v>2094234.16</v>
      </c>
      <c r="O12" s="528"/>
      <c r="P12" s="529"/>
      <c r="Q12" s="529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6990000</v>
      </c>
      <c r="G13" s="91"/>
      <c r="H13" s="163">
        <v>6990000</v>
      </c>
      <c r="I13" s="164"/>
      <c r="J13" s="79"/>
      <c r="K13" s="394"/>
      <c r="L13" s="79"/>
      <c r="M13" s="165"/>
      <c r="N13" s="165">
        <v>6935244.24</v>
      </c>
      <c r="O13" s="528">
        <v>7179</v>
      </c>
      <c r="P13" s="529"/>
      <c r="Q13" s="529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7650000</v>
      </c>
      <c r="G14" s="91"/>
      <c r="H14" s="163"/>
      <c r="I14" s="164"/>
      <c r="J14" s="79"/>
      <c r="K14" s="394"/>
      <c r="L14" s="421"/>
      <c r="M14" s="422">
        <v>7650000</v>
      </c>
      <c r="N14" s="165">
        <v>7347043</v>
      </c>
      <c r="O14" s="528"/>
      <c r="P14" s="529"/>
      <c r="Q14" s="529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27209000</v>
      </c>
      <c r="G15" s="91"/>
      <c r="H15" s="433">
        <f>21444000+2832000-1000</f>
        <v>24275000</v>
      </c>
      <c r="I15" s="164"/>
      <c r="J15" s="79">
        <v>34000</v>
      </c>
      <c r="K15" s="394"/>
      <c r="L15" s="421">
        <v>2900000</v>
      </c>
      <c r="M15" s="422"/>
      <c r="N15" s="165">
        <v>19261328.33</v>
      </c>
      <c r="O15" s="528"/>
      <c r="P15" s="529"/>
      <c r="Q15" s="529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19500000</v>
      </c>
      <c r="G16" s="97"/>
      <c r="H16" s="163">
        <v>19500000</v>
      </c>
      <c r="I16" s="164"/>
      <c r="J16" s="79"/>
      <c r="K16" s="394"/>
      <c r="L16" s="79"/>
      <c r="M16" s="165"/>
      <c r="N16" s="165">
        <v>19486260</v>
      </c>
      <c r="O16" s="522"/>
      <c r="P16" s="527"/>
      <c r="Q16" s="527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3900000</v>
      </c>
      <c r="G17" s="97"/>
      <c r="H17" s="163">
        <v>3900000</v>
      </c>
      <c r="I17" s="164"/>
      <c r="J17" s="79"/>
      <c r="K17" s="394"/>
      <c r="L17" s="79"/>
      <c r="M17" s="165"/>
      <c r="N17" s="165">
        <v>4434684</v>
      </c>
      <c r="O17" s="522"/>
      <c r="P17" s="527"/>
      <c r="Q17" s="527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4500000</v>
      </c>
      <c r="G18" s="97"/>
      <c r="H18" s="163">
        <v>4500000</v>
      </c>
      <c r="I18" s="164"/>
      <c r="J18" s="79"/>
      <c r="K18" s="394"/>
      <c r="L18" s="79"/>
      <c r="M18" s="165"/>
      <c r="N18" s="165">
        <v>4419640</v>
      </c>
      <c r="O18" s="522"/>
      <c r="P18" s="527"/>
      <c r="Q18" s="527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1550000</v>
      </c>
      <c r="G19" s="97"/>
      <c r="H19" s="163">
        <v>1550000</v>
      </c>
      <c r="I19" s="164"/>
      <c r="J19" s="79"/>
      <c r="K19" s="394"/>
      <c r="L19" s="79"/>
      <c r="M19" s="165"/>
      <c r="N19" s="165">
        <v>1567000</v>
      </c>
      <c r="O19" s="522"/>
      <c r="P19" s="527"/>
      <c r="Q19" s="527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500000</v>
      </c>
      <c r="G20" s="97"/>
      <c r="H20" s="163">
        <v>500000</v>
      </c>
      <c r="I20" s="164"/>
      <c r="J20" s="79"/>
      <c r="K20" s="394"/>
      <c r="L20" s="79"/>
      <c r="M20" s="165"/>
      <c r="N20" s="165">
        <v>653253.49</v>
      </c>
      <c r="O20" s="522"/>
      <c r="P20" s="527"/>
      <c r="Q20" s="527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3500000</v>
      </c>
      <c r="G21" s="97"/>
      <c r="H21" s="163">
        <v>3500000</v>
      </c>
      <c r="I21" s="164"/>
      <c r="J21" s="79"/>
      <c r="K21" s="394"/>
      <c r="L21" s="79"/>
      <c r="M21" s="165"/>
      <c r="N21" s="165">
        <v>1563347.43</v>
      </c>
      <c r="O21" s="522"/>
      <c r="P21" s="527"/>
      <c r="Q21" s="527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4639000</v>
      </c>
      <c r="G22" s="97"/>
      <c r="H22" s="163">
        <v>4200000</v>
      </c>
      <c r="I22" s="164"/>
      <c r="J22" s="79">
        <v>439000</v>
      </c>
      <c r="K22" s="394"/>
      <c r="L22" s="79"/>
      <c r="M22" s="165"/>
      <c r="N22" s="165">
        <v>3461861.1</v>
      </c>
      <c r="O22" s="522"/>
      <c r="P22" s="527"/>
      <c r="Q22" s="527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34238000</v>
      </c>
      <c r="G23" s="97"/>
      <c r="H23" s="163">
        <v>34238000</v>
      </c>
      <c r="I23" s="164"/>
      <c r="J23" s="79"/>
      <c r="K23" s="394"/>
      <c r="L23" s="79"/>
      <c r="M23" s="165"/>
      <c r="N23" s="165">
        <v>30925300</v>
      </c>
      <c r="O23" s="522"/>
      <c r="P23" s="527"/>
      <c r="Q23" s="527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16014000</v>
      </c>
      <c r="G24" s="97"/>
      <c r="H24" s="163">
        <v>15980000</v>
      </c>
      <c r="I24" s="164"/>
      <c r="J24" s="79">
        <v>34000</v>
      </c>
      <c r="K24" s="394"/>
      <c r="L24" s="79"/>
      <c r="M24" s="165"/>
      <c r="N24" s="165">
        <v>23781758.98</v>
      </c>
      <c r="O24" s="522"/>
      <c r="P24" s="527"/>
      <c r="Q24" s="527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433000</v>
      </c>
      <c r="G25" s="97"/>
      <c r="H25" s="163">
        <v>350000</v>
      </c>
      <c r="I25" s="164"/>
      <c r="J25" s="79">
        <v>83000</v>
      </c>
      <c r="K25" s="394"/>
      <c r="L25" s="79"/>
      <c r="M25" s="165"/>
      <c r="N25" s="165">
        <v>333914.12</v>
      </c>
      <c r="O25" s="522"/>
      <c r="P25" s="527"/>
      <c r="Q25" s="527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650000</v>
      </c>
      <c r="G26" s="97"/>
      <c r="H26" s="163">
        <v>650000</v>
      </c>
      <c r="I26" s="164"/>
      <c r="J26" s="79"/>
      <c r="K26" s="394"/>
      <c r="L26" s="79"/>
      <c r="M26" s="165"/>
      <c r="N26" s="165">
        <v>662000</v>
      </c>
      <c r="O26" s="522"/>
      <c r="P26" s="527"/>
      <c r="Q26" s="527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450000</v>
      </c>
      <c r="G27" s="97"/>
      <c r="H27" s="166">
        <v>450000</v>
      </c>
      <c r="I27" s="167"/>
      <c r="J27" s="168"/>
      <c r="K27" s="395"/>
      <c r="L27" s="168"/>
      <c r="M27" s="169"/>
      <c r="N27" s="169">
        <v>427097.53</v>
      </c>
      <c r="O27" s="522"/>
      <c r="P27" s="527"/>
      <c r="Q27" s="52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397136000</v>
      </c>
      <c r="G28" s="81">
        <f aca="true" t="shared" si="3" ref="G28:N28">SUM(G29:G45)</f>
        <v>0</v>
      </c>
      <c r="H28" s="294">
        <f t="shared" si="3"/>
        <v>385354000</v>
      </c>
      <c r="I28" s="156">
        <f t="shared" si="3"/>
        <v>642000</v>
      </c>
      <c r="J28" s="83">
        <f t="shared" si="3"/>
        <v>590000</v>
      </c>
      <c r="K28" s="381">
        <f t="shared" si="3"/>
        <v>0</v>
      </c>
      <c r="L28" s="83">
        <f t="shared" si="3"/>
        <v>2900000</v>
      </c>
      <c r="M28" s="82">
        <f t="shared" si="3"/>
        <v>7650000</v>
      </c>
      <c r="N28" s="84">
        <f t="shared" si="3"/>
        <v>383131860.8600001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252911000</v>
      </c>
      <c r="G29" s="86"/>
      <c r="H29" s="433">
        <f>250079000+2832000</f>
        <v>252911000</v>
      </c>
      <c r="I29" s="164"/>
      <c r="J29" s="79"/>
      <c r="K29" s="394"/>
      <c r="L29" s="79"/>
      <c r="M29" s="164"/>
      <c r="N29" s="118">
        <v>238940000</v>
      </c>
      <c r="O29" s="522">
        <v>252911</v>
      </c>
      <c r="P29" s="522">
        <f>H29/1000-Q29</f>
        <v>0</v>
      </c>
      <c r="Q29" s="522">
        <f>250079+2832</f>
        <v>252911</v>
      </c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19500000</v>
      </c>
      <c r="G30" s="102"/>
      <c r="H30" s="170">
        <f>H16</f>
        <v>19500000</v>
      </c>
      <c r="I30" s="121"/>
      <c r="J30" s="120"/>
      <c r="K30" s="322"/>
      <c r="L30" s="120"/>
      <c r="M30" s="121"/>
      <c r="N30" s="119">
        <v>19486260</v>
      </c>
      <c r="O30" s="522"/>
      <c r="P30" s="530"/>
      <c r="Q30" s="527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3900000</v>
      </c>
      <c r="G31" s="102"/>
      <c r="H31" s="170">
        <f>H17</f>
        <v>3900000</v>
      </c>
      <c r="I31" s="121"/>
      <c r="J31" s="120"/>
      <c r="K31" s="322"/>
      <c r="L31" s="120"/>
      <c r="M31" s="121"/>
      <c r="N31" s="119">
        <v>4434684</v>
      </c>
      <c r="O31" s="522"/>
      <c r="P31" s="527"/>
      <c r="Q31" s="527"/>
    </row>
    <row r="32" spans="1:19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4500000</v>
      </c>
      <c r="G32" s="102"/>
      <c r="H32" s="170">
        <f>H18</f>
        <v>4500000</v>
      </c>
      <c r="I32" s="121"/>
      <c r="J32" s="120"/>
      <c r="K32" s="322"/>
      <c r="L32" s="120"/>
      <c r="M32" s="121"/>
      <c r="N32" s="119">
        <v>4419640</v>
      </c>
      <c r="O32" s="522"/>
      <c r="P32" s="522">
        <f>H32/1000-Q32</f>
        <v>-2617</v>
      </c>
      <c r="Q32" s="522">
        <v>7117</v>
      </c>
      <c r="R32" s="316"/>
      <c r="S32" s="318"/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1550000</v>
      </c>
      <c r="G33" s="102"/>
      <c r="H33" s="170">
        <f>H19</f>
        <v>1550000</v>
      </c>
      <c r="I33" s="121"/>
      <c r="J33" s="120"/>
      <c r="K33" s="322"/>
      <c r="L33" s="120"/>
      <c r="M33" s="121"/>
      <c r="N33" s="119">
        <v>1567000</v>
      </c>
      <c r="O33" s="522"/>
      <c r="P33" s="522">
        <f>H33/1000-Q33</f>
        <v>-5</v>
      </c>
      <c r="Q33" s="522">
        <f>845+710</f>
        <v>1555</v>
      </c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70">
        <v>0</v>
      </c>
      <c r="I34" s="121"/>
      <c r="J34" s="120"/>
      <c r="K34" s="322"/>
      <c r="L34" s="120"/>
      <c r="M34" s="121"/>
      <c r="N34" s="119"/>
      <c r="O34" s="522"/>
      <c r="P34" s="527"/>
      <c r="Q34" s="527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500000</v>
      </c>
      <c r="G35" s="102"/>
      <c r="H35" s="170">
        <f>H20</f>
        <v>500000</v>
      </c>
      <c r="I35" s="121"/>
      <c r="J35" s="120"/>
      <c r="K35" s="322"/>
      <c r="L35" s="120"/>
      <c r="M35" s="121"/>
      <c r="N35" s="115">
        <v>653253.49</v>
      </c>
      <c r="O35" s="522"/>
      <c r="P35" s="527"/>
      <c r="Q35" s="527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3939000</v>
      </c>
      <c r="G36" s="102"/>
      <c r="H36" s="170">
        <f>H21</f>
        <v>3500000</v>
      </c>
      <c r="I36" s="121"/>
      <c r="J36" s="120">
        <v>439000</v>
      </c>
      <c r="K36" s="322"/>
      <c r="L36" s="120"/>
      <c r="M36" s="121"/>
      <c r="N36" s="115">
        <v>1563347.43</v>
      </c>
      <c r="O36" s="522"/>
      <c r="P36" s="527"/>
      <c r="Q36" s="527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4200000</v>
      </c>
      <c r="G37" s="102"/>
      <c r="H37" s="170">
        <f>H22</f>
        <v>4200000</v>
      </c>
      <c r="I37" s="121"/>
      <c r="J37" s="120"/>
      <c r="K37" s="322"/>
      <c r="L37" s="120"/>
      <c r="M37" s="121"/>
      <c r="N37" s="115">
        <v>3461861.1</v>
      </c>
      <c r="O37" s="522"/>
      <c r="P37" s="527"/>
      <c r="Q37" s="527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13905000</v>
      </c>
      <c r="G38" s="102"/>
      <c r="H38" s="170">
        <v>13905000</v>
      </c>
      <c r="I38" s="121"/>
      <c r="J38" s="120"/>
      <c r="K38" s="322"/>
      <c r="L38" s="120"/>
      <c r="M38" s="121"/>
      <c r="N38" s="119">
        <v>13730000</v>
      </c>
      <c r="O38" s="522"/>
      <c r="P38" s="527"/>
      <c r="Q38" s="527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34238000</v>
      </c>
      <c r="G39" s="102"/>
      <c r="H39" s="170">
        <f>H23</f>
        <v>34238000</v>
      </c>
      <c r="I39" s="121"/>
      <c r="J39" s="120"/>
      <c r="K39" s="322"/>
      <c r="L39" s="120"/>
      <c r="M39" s="121"/>
      <c r="N39" s="115">
        <v>30925300</v>
      </c>
      <c r="O39" s="522"/>
      <c r="P39" s="527"/>
      <c r="Q39" s="527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16014000</v>
      </c>
      <c r="G40" s="102"/>
      <c r="H40" s="170">
        <f>H24</f>
        <v>15980000</v>
      </c>
      <c r="I40" s="121"/>
      <c r="J40" s="120">
        <v>34000</v>
      </c>
      <c r="K40" s="322"/>
      <c r="L40" s="120"/>
      <c r="M40" s="121"/>
      <c r="N40" s="115">
        <v>23781758.98</v>
      </c>
      <c r="O40" s="522"/>
      <c r="P40" s="527"/>
      <c r="Q40" s="527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433000</v>
      </c>
      <c r="G41" s="102"/>
      <c r="H41" s="170">
        <f>H25</f>
        <v>350000</v>
      </c>
      <c r="I41" s="121"/>
      <c r="J41" s="120">
        <v>83000</v>
      </c>
      <c r="K41" s="322"/>
      <c r="L41" s="120"/>
      <c r="M41" s="121"/>
      <c r="N41" s="115">
        <v>333914.12</v>
      </c>
      <c r="O41" s="522"/>
      <c r="P41" s="527"/>
      <c r="Q41" s="527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650000</v>
      </c>
      <c r="G42" s="102"/>
      <c r="H42" s="170">
        <f>H26</f>
        <v>650000</v>
      </c>
      <c r="I42" s="121"/>
      <c r="J42" s="120"/>
      <c r="K42" s="322"/>
      <c r="L42" s="120"/>
      <c r="M42" s="121"/>
      <c r="N42" s="115">
        <v>662000</v>
      </c>
      <c r="O42" s="522"/>
      <c r="P42" s="527"/>
      <c r="Q42" s="527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29184000</v>
      </c>
      <c r="G43" s="102"/>
      <c r="H43" s="170">
        <v>29150000</v>
      </c>
      <c r="I43" s="121"/>
      <c r="J43" s="120">
        <v>34000</v>
      </c>
      <c r="K43" s="322"/>
      <c r="L43" s="120"/>
      <c r="M43" s="121"/>
      <c r="N43" s="119">
        <v>32237180.29</v>
      </c>
      <c r="O43" s="522"/>
      <c r="P43" s="527"/>
      <c r="Q43" s="527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11192000</v>
      </c>
      <c r="G44" s="102"/>
      <c r="H44" s="321" t="s">
        <v>97</v>
      </c>
      <c r="I44" s="121">
        <f>I3</f>
        <v>642000</v>
      </c>
      <c r="J44" s="120"/>
      <c r="K44" s="322">
        <f>K3</f>
        <v>0</v>
      </c>
      <c r="L44" s="120">
        <f>L15</f>
        <v>2900000</v>
      </c>
      <c r="M44" s="121">
        <f>M3</f>
        <v>7650000</v>
      </c>
      <c r="N44" s="119">
        <v>6433140.45</v>
      </c>
      <c r="O44" s="522"/>
      <c r="P44" s="527"/>
      <c r="Q44" s="527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520000</v>
      </c>
      <c r="G45" s="108"/>
      <c r="H45" s="171">
        <v>520000</v>
      </c>
      <c r="I45" s="172"/>
      <c r="J45" s="173"/>
      <c r="K45" s="396"/>
      <c r="L45" s="173"/>
      <c r="M45" s="172"/>
      <c r="N45" s="323">
        <v>502521</v>
      </c>
      <c r="O45" s="522"/>
      <c r="P45" s="527"/>
      <c r="Q45" s="527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2169000</v>
      </c>
      <c r="G46" s="113">
        <f>G29+G34+G38+G43+G44+G45+-G4-G27</f>
        <v>0</v>
      </c>
      <c r="H46" s="423">
        <f>H29+H34+H38+H43+H45-H4-H27</f>
        <v>2169000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6022131.47999999</v>
      </c>
      <c r="O46" s="522"/>
      <c r="P46" s="527"/>
      <c r="Q46" s="52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2169000</v>
      </c>
      <c r="G47" s="81">
        <f aca="true" t="shared" si="4" ref="G47:N47">G28-G3</f>
        <v>0</v>
      </c>
      <c r="H47" s="294">
        <f t="shared" si="4"/>
        <v>2169000</v>
      </c>
      <c r="I47" s="156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6022131.480000019</v>
      </c>
    </row>
    <row r="48" spans="1:5" ht="12.75">
      <c r="A48" s="47" t="s">
        <v>67</v>
      </c>
      <c r="B48" s="47"/>
      <c r="C48" s="47"/>
      <c r="D48" s="151">
        <v>39882</v>
      </c>
      <c r="E48" s="48"/>
    </row>
    <row r="49" spans="4:17" s="47" customFormat="1" ht="9" customHeight="1">
      <c r="D49" s="51"/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30"/>
      <c r="Q49" s="530"/>
    </row>
    <row r="50" spans="1:17" s="47" customFormat="1" ht="12">
      <c r="A50" s="51" t="s">
        <v>98</v>
      </c>
      <c r="D50" s="51"/>
      <c r="E50" s="48"/>
      <c r="F50" s="133"/>
      <c r="H50" s="59"/>
      <c r="J50" s="428"/>
      <c r="M50" s="59"/>
      <c r="N50" s="59"/>
      <c r="O50" s="522"/>
      <c r="P50" s="530"/>
      <c r="Q50" s="530"/>
    </row>
    <row r="51" spans="5:17" s="51" customFormat="1" ht="12">
      <c r="E51" s="53"/>
      <c r="F51" s="134"/>
      <c r="H51" s="75"/>
      <c r="I51" s="75"/>
      <c r="J51" s="75"/>
      <c r="K51" s="75"/>
      <c r="L51" s="75"/>
      <c r="M51" s="75"/>
      <c r="N51" s="75"/>
      <c r="O51" s="522"/>
      <c r="P51" s="530"/>
      <c r="Q51" s="530"/>
    </row>
    <row r="52" spans="5:17" s="51" customFormat="1" ht="12">
      <c r="E52" s="53"/>
      <c r="F52" s="134"/>
      <c r="H52" s="75"/>
      <c r="I52" s="75"/>
      <c r="J52" s="75"/>
      <c r="K52" s="75"/>
      <c r="L52" s="75"/>
      <c r="M52" s="75"/>
      <c r="N52" s="75"/>
      <c r="O52" s="522"/>
      <c r="P52" s="530"/>
      <c r="Q52" s="530"/>
    </row>
    <row r="53" spans="5:17" s="51" customFormat="1" ht="12">
      <c r="E53" s="53"/>
      <c r="F53" s="134"/>
      <c r="H53" s="75"/>
      <c r="I53" s="75"/>
      <c r="J53" s="75"/>
      <c r="K53" s="75"/>
      <c r="L53" s="75"/>
      <c r="M53" s="75"/>
      <c r="N53" s="75"/>
      <c r="O53" s="522"/>
      <c r="P53" s="530"/>
      <c r="Q53" s="530"/>
    </row>
    <row r="54" spans="1:17" s="47" customFormat="1" ht="12">
      <c r="A54" s="51"/>
      <c r="B54" s="51"/>
      <c r="C54" s="51"/>
      <c r="D54" s="51"/>
      <c r="E54" s="48"/>
      <c r="F54" s="25"/>
      <c r="H54" s="59"/>
      <c r="I54" s="59"/>
      <c r="J54" s="59"/>
      <c r="K54" s="59"/>
      <c r="L54" s="59"/>
      <c r="M54" s="59"/>
      <c r="N54" s="59"/>
      <c r="O54" s="522"/>
      <c r="P54" s="530"/>
      <c r="Q54" s="530"/>
    </row>
    <row r="55" spans="1:17" s="59" customFormat="1" ht="12">
      <c r="A55" s="51"/>
      <c r="B55" s="51"/>
      <c r="C55" s="51"/>
      <c r="D55" s="51"/>
      <c r="E55" s="57"/>
      <c r="F55" s="25"/>
      <c r="O55" s="522"/>
      <c r="P55" s="530"/>
      <c r="Q55" s="530"/>
    </row>
    <row r="56" spans="1:17" s="59" customFormat="1" ht="12">
      <c r="A56" s="51"/>
      <c r="B56" s="51"/>
      <c r="C56" s="51"/>
      <c r="D56" s="51"/>
      <c r="E56" s="57"/>
      <c r="F56" s="25"/>
      <c r="O56" s="522"/>
      <c r="P56" s="530"/>
      <c r="Q56" s="530"/>
    </row>
    <row r="57" spans="1:17" s="59" customFormat="1" ht="12">
      <c r="A57" s="51"/>
      <c r="B57" s="51"/>
      <c r="C57" s="51"/>
      <c r="D57" s="51"/>
      <c r="E57" s="57"/>
      <c r="F57" s="25"/>
      <c r="O57" s="522"/>
      <c r="P57" s="530"/>
      <c r="Q57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:N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375" style="25" customWidth="1"/>
    <col min="7" max="7" width="5.125" style="0" hidden="1" customWidth="1"/>
    <col min="8" max="8" width="11.125" style="59" customWidth="1"/>
    <col min="9" max="12" width="8.00390625" style="59" customWidth="1"/>
    <col min="13" max="13" width="8.125" style="59" customWidth="1"/>
    <col min="14" max="14" width="10.375" style="59" customWidth="1"/>
    <col min="15" max="15" width="7.375" style="522" customWidth="1"/>
    <col min="16" max="16" width="7.00390625" style="526" customWidth="1"/>
    <col min="17" max="17" width="7.375" style="526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375" t="s">
        <v>149</v>
      </c>
      <c r="B2" s="7"/>
      <c r="C2" s="550" t="s">
        <v>81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6"/>
      <c r="Q2" s="526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136656000</v>
      </c>
      <c r="G3" s="81">
        <f aca="true" t="shared" si="0" ref="G3:N3">SUM(G5:G27)</f>
        <v>0</v>
      </c>
      <c r="H3" s="82">
        <f t="shared" si="0"/>
        <v>132918000</v>
      </c>
      <c r="I3" s="83">
        <f t="shared" si="0"/>
        <v>15000</v>
      </c>
      <c r="J3" s="83">
        <f t="shared" si="0"/>
        <v>473000</v>
      </c>
      <c r="K3" s="381">
        <f t="shared" si="0"/>
        <v>0</v>
      </c>
      <c r="L3" s="83">
        <f t="shared" si="0"/>
        <v>1250000</v>
      </c>
      <c r="M3" s="82">
        <f t="shared" si="0"/>
        <v>2000000</v>
      </c>
      <c r="N3" s="84">
        <f t="shared" si="0"/>
        <v>139379818.57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122512000</v>
      </c>
      <c r="G4" s="86">
        <f aca="true" t="shared" si="1" ref="G4:N4">SUM(G5:G15)</f>
        <v>0</v>
      </c>
      <c r="H4" s="87">
        <f t="shared" si="1"/>
        <v>119247000</v>
      </c>
      <c r="I4" s="88">
        <f t="shared" si="1"/>
        <v>15000</v>
      </c>
      <c r="J4" s="88">
        <f t="shared" si="1"/>
        <v>0</v>
      </c>
      <c r="K4" s="382">
        <f t="shared" si="1"/>
        <v>0</v>
      </c>
      <c r="L4" s="382">
        <f t="shared" si="1"/>
        <v>1250000</v>
      </c>
      <c r="M4" s="87">
        <f t="shared" si="1"/>
        <v>2000000</v>
      </c>
      <c r="N4" s="89">
        <f t="shared" si="1"/>
        <v>125897085.78999999</v>
      </c>
      <c r="O4" s="522"/>
      <c r="P4" s="527"/>
      <c r="Q4" s="527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62000000</v>
      </c>
      <c r="G5" s="91"/>
      <c r="H5" s="92">
        <v>62000000</v>
      </c>
      <c r="I5" s="92"/>
      <c r="J5" s="93"/>
      <c r="K5" s="383"/>
      <c r="L5" s="93"/>
      <c r="M5" s="94"/>
      <c r="N5" s="95">
        <v>64041713.37</v>
      </c>
      <c r="O5" s="528"/>
      <c r="P5" s="529"/>
      <c r="Q5" s="529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2100000</v>
      </c>
      <c r="G6" s="91"/>
      <c r="H6" s="92">
        <v>2100000</v>
      </c>
      <c r="I6" s="92"/>
      <c r="J6" s="93"/>
      <c r="K6" s="383"/>
      <c r="L6" s="93"/>
      <c r="M6" s="94"/>
      <c r="N6" s="95">
        <v>2108605</v>
      </c>
      <c r="O6" s="528"/>
      <c r="P6" s="529"/>
      <c r="Q6" s="529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21050000</v>
      </c>
      <c r="G7" s="91"/>
      <c r="H7" s="92">
        <v>21050000</v>
      </c>
      <c r="I7" s="92"/>
      <c r="J7" s="93"/>
      <c r="K7" s="383"/>
      <c r="L7" s="93"/>
      <c r="M7" s="94"/>
      <c r="N7" s="95">
        <v>23637901.69</v>
      </c>
      <c r="O7" s="528"/>
      <c r="P7" s="529"/>
      <c r="Q7" s="529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4000000</v>
      </c>
      <c r="G8" s="91"/>
      <c r="H8" s="92">
        <v>4000000</v>
      </c>
      <c r="I8" s="92"/>
      <c r="J8" s="93"/>
      <c r="K8" s="383"/>
      <c r="L8" s="93"/>
      <c r="M8" s="94"/>
      <c r="N8" s="95">
        <v>3314060.41</v>
      </c>
      <c r="O8" s="528"/>
      <c r="P8" s="529"/>
      <c r="Q8" s="529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1500000</v>
      </c>
      <c r="G9" s="91"/>
      <c r="H9" s="92">
        <v>1500000</v>
      </c>
      <c r="I9" s="92"/>
      <c r="J9" s="93"/>
      <c r="K9" s="383"/>
      <c r="L9" s="93"/>
      <c r="M9" s="94"/>
      <c r="N9" s="95">
        <v>1512762.1</v>
      </c>
      <c r="O9" s="528"/>
      <c r="P9" s="529"/>
      <c r="Q9" s="529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10000000</v>
      </c>
      <c r="G10" s="91"/>
      <c r="H10" s="92">
        <v>10000000</v>
      </c>
      <c r="I10" s="92"/>
      <c r="J10" s="93"/>
      <c r="K10" s="383"/>
      <c r="L10" s="93"/>
      <c r="M10" s="94"/>
      <c r="N10" s="95">
        <v>10145921.69</v>
      </c>
      <c r="O10" s="528"/>
      <c r="P10" s="529"/>
      <c r="Q10" s="529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9000000</v>
      </c>
      <c r="G11" s="91"/>
      <c r="H11" s="92">
        <v>9000000</v>
      </c>
      <c r="I11" s="92"/>
      <c r="J11" s="93"/>
      <c r="K11" s="383"/>
      <c r="L11" s="93"/>
      <c r="M11" s="94"/>
      <c r="N11" s="95">
        <v>9418099.05</v>
      </c>
      <c r="O11" s="528"/>
      <c r="P11" s="529"/>
      <c r="Q11" s="529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800000</v>
      </c>
      <c r="G12" s="91"/>
      <c r="H12" s="92">
        <v>800000</v>
      </c>
      <c r="I12" s="92"/>
      <c r="J12" s="93"/>
      <c r="K12" s="383"/>
      <c r="L12" s="93"/>
      <c r="M12" s="94"/>
      <c r="N12" s="95">
        <v>809526.16</v>
      </c>
      <c r="O12" s="528"/>
      <c r="P12" s="529"/>
      <c r="Q12" s="529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2797000</v>
      </c>
      <c r="G13" s="91"/>
      <c r="H13" s="92">
        <v>2797000</v>
      </c>
      <c r="I13" s="92"/>
      <c r="J13" s="93"/>
      <c r="K13" s="383"/>
      <c r="L13" s="93"/>
      <c r="M13" s="94"/>
      <c r="N13" s="95">
        <v>2763236</v>
      </c>
      <c r="O13" s="528"/>
      <c r="P13" s="529"/>
      <c r="Q13" s="529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2015000</v>
      </c>
      <c r="G14" s="91"/>
      <c r="H14" s="92"/>
      <c r="I14" s="92">
        <v>15000</v>
      </c>
      <c r="J14" s="93"/>
      <c r="K14" s="383"/>
      <c r="L14" s="93"/>
      <c r="M14" s="94">
        <v>2000000</v>
      </c>
      <c r="N14" s="95">
        <v>1829857</v>
      </c>
      <c r="O14" s="528"/>
      <c r="P14" s="529"/>
      <c r="Q14" s="529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7250000</v>
      </c>
      <c r="G15" s="91"/>
      <c r="H15" s="92">
        <v>6000000</v>
      </c>
      <c r="I15" s="92"/>
      <c r="J15" s="93"/>
      <c r="K15" s="383"/>
      <c r="L15" s="93">
        <v>1250000</v>
      </c>
      <c r="M15" s="94"/>
      <c r="N15" s="95">
        <v>6315403.32</v>
      </c>
      <c r="O15" s="528"/>
      <c r="P15" s="529"/>
      <c r="Q15" s="529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4085000</v>
      </c>
      <c r="G16" s="97"/>
      <c r="H16" s="98">
        <v>4085000</v>
      </c>
      <c r="I16" s="98"/>
      <c r="J16" s="99"/>
      <c r="K16" s="384"/>
      <c r="L16" s="99"/>
      <c r="M16" s="100"/>
      <c r="N16" s="101">
        <v>3617600</v>
      </c>
      <c r="O16" s="522"/>
      <c r="P16" s="527"/>
      <c r="Q16" s="527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50000</v>
      </c>
      <c r="G17" s="97"/>
      <c r="H17" s="98">
        <v>50000</v>
      </c>
      <c r="I17" s="98"/>
      <c r="J17" s="99"/>
      <c r="K17" s="384"/>
      <c r="L17" s="99"/>
      <c r="M17" s="100"/>
      <c r="N17" s="101"/>
      <c r="O17" s="522"/>
      <c r="P17" s="527"/>
      <c r="Q17" s="527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2010000</v>
      </c>
      <c r="G18" s="97"/>
      <c r="H18" s="98">
        <v>2010000</v>
      </c>
      <c r="I18" s="98"/>
      <c r="J18" s="99"/>
      <c r="K18" s="384"/>
      <c r="L18" s="99"/>
      <c r="M18" s="100"/>
      <c r="N18" s="101">
        <v>1852999.97</v>
      </c>
      <c r="O18" s="522"/>
      <c r="P18" s="527"/>
      <c r="Q18" s="527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90000</v>
      </c>
      <c r="G19" s="97"/>
      <c r="H19" s="98">
        <v>90000</v>
      </c>
      <c r="I19" s="98"/>
      <c r="J19" s="99"/>
      <c r="K19" s="384"/>
      <c r="L19" s="99"/>
      <c r="M19" s="100"/>
      <c r="N19" s="101"/>
      <c r="O19" s="522"/>
      <c r="P19" s="527"/>
      <c r="Q19" s="527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98"/>
      <c r="I20" s="98"/>
      <c r="J20" s="99"/>
      <c r="K20" s="384"/>
      <c r="L20" s="99"/>
      <c r="M20" s="100"/>
      <c r="N20" s="101"/>
      <c r="O20" s="522"/>
      <c r="P20" s="527"/>
      <c r="Q20" s="527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2"/>
        <v>0</v>
      </c>
      <c r="G21" s="97"/>
      <c r="H21" s="98"/>
      <c r="I21" s="98"/>
      <c r="J21" s="99"/>
      <c r="K21" s="384"/>
      <c r="L21" s="99"/>
      <c r="M21" s="100"/>
      <c r="N21" s="101"/>
      <c r="O21" s="522"/>
      <c r="P21" s="527"/>
      <c r="Q21" s="527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2"/>
        <v>150000</v>
      </c>
      <c r="G22" s="97"/>
      <c r="H22" s="100">
        <v>150000</v>
      </c>
      <c r="I22" s="99"/>
      <c r="J22" s="99"/>
      <c r="K22" s="384"/>
      <c r="L22" s="99"/>
      <c r="M22" s="100"/>
      <c r="N22" s="101">
        <v>164285.4</v>
      </c>
      <c r="O22" s="522"/>
      <c r="P22" s="527"/>
      <c r="Q22" s="527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2"/>
        <v>6920000</v>
      </c>
      <c r="G23" s="97"/>
      <c r="H23" s="100">
        <v>6452000</v>
      </c>
      <c r="I23" s="99"/>
      <c r="J23" s="99">
        <v>468000</v>
      </c>
      <c r="K23" s="384"/>
      <c r="L23" s="99"/>
      <c r="M23" s="100"/>
      <c r="N23" s="101">
        <v>6600483.2</v>
      </c>
      <c r="O23" s="522"/>
      <c r="P23" s="527"/>
      <c r="Q23" s="527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2"/>
        <v>569000</v>
      </c>
      <c r="G24" s="97"/>
      <c r="H24" s="100">
        <v>564000</v>
      </c>
      <c r="I24" s="99"/>
      <c r="J24" s="99">
        <v>5000</v>
      </c>
      <c r="K24" s="384"/>
      <c r="L24" s="99"/>
      <c r="M24" s="100"/>
      <c r="N24" s="101">
        <v>1021538.49</v>
      </c>
      <c r="O24" s="522"/>
      <c r="P24" s="527"/>
      <c r="Q24" s="527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2"/>
        <v>0</v>
      </c>
      <c r="G25" s="97"/>
      <c r="H25" s="100"/>
      <c r="I25" s="99"/>
      <c r="J25" s="99"/>
      <c r="K25" s="384"/>
      <c r="L25" s="99"/>
      <c r="M25" s="100"/>
      <c r="N25" s="101"/>
      <c r="O25" s="522"/>
      <c r="P25" s="527"/>
      <c r="Q25" s="527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2"/>
        <v>0</v>
      </c>
      <c r="G26" s="97"/>
      <c r="H26" s="100"/>
      <c r="I26" s="99"/>
      <c r="J26" s="99"/>
      <c r="K26" s="384"/>
      <c r="L26" s="99"/>
      <c r="M26" s="100"/>
      <c r="N26" s="101"/>
      <c r="O26" s="522"/>
      <c r="P26" s="527"/>
      <c r="Q26" s="527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270000</v>
      </c>
      <c r="G27" s="97"/>
      <c r="H27" s="100">
        <v>270000</v>
      </c>
      <c r="I27" s="99"/>
      <c r="J27" s="99"/>
      <c r="K27" s="384"/>
      <c r="L27" s="99"/>
      <c r="M27" s="100"/>
      <c r="N27" s="101">
        <v>225825.72</v>
      </c>
      <c r="O27" s="522"/>
      <c r="P27" s="527"/>
      <c r="Q27" s="527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139390000</v>
      </c>
      <c r="G28" s="81">
        <f aca="true" t="shared" si="3" ref="G28:N28">SUM(G29:G45)</f>
        <v>0</v>
      </c>
      <c r="H28" s="82">
        <f t="shared" si="3"/>
        <v>135652000</v>
      </c>
      <c r="I28" s="83">
        <f t="shared" si="3"/>
        <v>15000</v>
      </c>
      <c r="J28" s="83">
        <f t="shared" si="3"/>
        <v>473000</v>
      </c>
      <c r="K28" s="381">
        <f t="shared" si="3"/>
        <v>0</v>
      </c>
      <c r="L28" s="83">
        <f t="shared" si="3"/>
        <v>1250000</v>
      </c>
      <c r="M28" s="82">
        <f t="shared" si="3"/>
        <v>2000000</v>
      </c>
      <c r="N28" s="84">
        <f t="shared" si="3"/>
        <v>143748847.74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83593000</v>
      </c>
      <c r="G29" s="86"/>
      <c r="H29" s="87">
        <v>83593000</v>
      </c>
      <c r="I29" s="88"/>
      <c r="J29" s="88"/>
      <c r="K29" s="382"/>
      <c r="L29" s="88"/>
      <c r="M29" s="87"/>
      <c r="N29" s="89">
        <v>83194000</v>
      </c>
      <c r="O29" s="522">
        <v>83593</v>
      </c>
      <c r="P29" s="522">
        <f>H29/1000-Q29</f>
        <v>0</v>
      </c>
      <c r="Q29" s="522">
        <v>83593</v>
      </c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4085000</v>
      </c>
      <c r="G30" s="102"/>
      <c r="H30" s="103">
        <f>H16</f>
        <v>4085000</v>
      </c>
      <c r="I30" s="104"/>
      <c r="J30" s="104"/>
      <c r="K30" s="385"/>
      <c r="L30" s="104"/>
      <c r="M30" s="103"/>
      <c r="N30" s="105">
        <v>3617600</v>
      </c>
      <c r="O30" s="522"/>
      <c r="P30" s="522"/>
      <c r="Q30" s="522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50000</v>
      </c>
      <c r="G31" s="102"/>
      <c r="H31" s="103">
        <f>H17</f>
        <v>50000</v>
      </c>
      <c r="I31" s="104"/>
      <c r="J31" s="104"/>
      <c r="K31" s="385"/>
      <c r="L31" s="104"/>
      <c r="M31" s="103"/>
      <c r="N31" s="105"/>
      <c r="O31" s="522"/>
      <c r="P31" s="522"/>
      <c r="Q31" s="522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2010000</v>
      </c>
      <c r="G32" s="102"/>
      <c r="H32" s="103">
        <f>H18</f>
        <v>2010000</v>
      </c>
      <c r="I32" s="104"/>
      <c r="J32" s="104"/>
      <c r="K32" s="385"/>
      <c r="L32" s="104"/>
      <c r="M32" s="103"/>
      <c r="N32" s="105">
        <v>1852999.97</v>
      </c>
      <c r="O32" s="522"/>
      <c r="P32" s="522">
        <f>H32/1000-Q32</f>
        <v>0</v>
      </c>
      <c r="Q32" s="522">
        <v>2010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90000</v>
      </c>
      <c r="G33" s="102"/>
      <c r="H33" s="103">
        <f>H19</f>
        <v>90000</v>
      </c>
      <c r="I33" s="104"/>
      <c r="J33" s="104"/>
      <c r="K33" s="385"/>
      <c r="L33" s="104"/>
      <c r="M33" s="103"/>
      <c r="N33" s="105"/>
      <c r="O33" s="522"/>
      <c r="P33" s="522">
        <f>H33/1000-Q33</f>
        <v>0</v>
      </c>
      <c r="Q33" s="522">
        <v>90</v>
      </c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27"/>
      <c r="Q34" s="527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/>
      <c r="O35" s="522"/>
      <c r="P35" s="527"/>
      <c r="Q35" s="527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2"/>
        <v>0</v>
      </c>
      <c r="G36" s="102"/>
      <c r="H36" s="103"/>
      <c r="I36" s="104"/>
      <c r="J36" s="104"/>
      <c r="K36" s="385"/>
      <c r="L36" s="104"/>
      <c r="M36" s="103"/>
      <c r="N36" s="105"/>
      <c r="O36" s="522"/>
      <c r="P36" s="527"/>
      <c r="Q36" s="527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2"/>
        <v>150000</v>
      </c>
      <c r="G37" s="102"/>
      <c r="H37" s="103">
        <f>H22</f>
        <v>150000</v>
      </c>
      <c r="I37" s="104"/>
      <c r="J37" s="104"/>
      <c r="K37" s="385"/>
      <c r="L37" s="104"/>
      <c r="M37" s="103"/>
      <c r="N37" s="105">
        <v>180000</v>
      </c>
      <c r="O37" s="522"/>
      <c r="P37" s="527"/>
      <c r="Q37" s="527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2378000</v>
      </c>
      <c r="G38" s="102"/>
      <c r="H38" s="103">
        <v>2378000</v>
      </c>
      <c r="I38" s="104"/>
      <c r="J38" s="104"/>
      <c r="K38" s="385"/>
      <c r="L38" s="104"/>
      <c r="M38" s="103"/>
      <c r="N38" s="105">
        <v>2269000</v>
      </c>
      <c r="O38" s="522"/>
      <c r="P38" s="527"/>
      <c r="Q38" s="527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6920000</v>
      </c>
      <c r="G39" s="102"/>
      <c r="H39" s="103">
        <f>H23</f>
        <v>6452000</v>
      </c>
      <c r="I39" s="104"/>
      <c r="J39" s="104">
        <f>J23</f>
        <v>468000</v>
      </c>
      <c r="K39" s="385"/>
      <c r="L39" s="104"/>
      <c r="M39" s="103"/>
      <c r="N39" s="105">
        <v>6600483.2</v>
      </c>
      <c r="O39" s="522"/>
      <c r="P39" s="527"/>
      <c r="Q39" s="527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569000</v>
      </c>
      <c r="G40" s="102"/>
      <c r="H40" s="103">
        <f>H24</f>
        <v>564000</v>
      </c>
      <c r="I40" s="104"/>
      <c r="J40" s="104">
        <f>J24</f>
        <v>5000</v>
      </c>
      <c r="K40" s="385"/>
      <c r="L40" s="104"/>
      <c r="M40" s="103"/>
      <c r="N40" s="105">
        <v>1021538.49</v>
      </c>
      <c r="O40" s="522"/>
      <c r="P40" s="527"/>
      <c r="Q40" s="527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2"/>
        <v>0</v>
      </c>
      <c r="G41" s="102"/>
      <c r="H41" s="103"/>
      <c r="I41" s="104"/>
      <c r="J41" s="104"/>
      <c r="K41" s="385"/>
      <c r="L41" s="104"/>
      <c r="M41" s="103"/>
      <c r="N41" s="105"/>
      <c r="O41" s="522"/>
      <c r="P41" s="527"/>
      <c r="Q41" s="527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2"/>
        <v>0</v>
      </c>
      <c r="G42" s="102"/>
      <c r="H42" s="103"/>
      <c r="I42" s="104"/>
      <c r="J42" s="104"/>
      <c r="K42" s="385"/>
      <c r="L42" s="104"/>
      <c r="M42" s="103"/>
      <c r="N42" s="105"/>
      <c r="O42" s="522"/>
      <c r="P42" s="527"/>
      <c r="Q42" s="527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36000000</v>
      </c>
      <c r="G43" s="102"/>
      <c r="H43" s="103">
        <v>36000000</v>
      </c>
      <c r="I43" s="104"/>
      <c r="J43" s="204"/>
      <c r="K43" s="385"/>
      <c r="L43" s="104"/>
      <c r="M43" s="103"/>
      <c r="N43" s="105">
        <v>38924283.22</v>
      </c>
      <c r="O43" s="522"/>
      <c r="P43" s="527"/>
      <c r="Q43" s="527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3265000</v>
      </c>
      <c r="G44" s="102"/>
      <c r="H44" s="106" t="s">
        <v>97</v>
      </c>
      <c r="I44" s="104">
        <f>I3</f>
        <v>15000</v>
      </c>
      <c r="J44" s="204"/>
      <c r="K44" s="385"/>
      <c r="L44" s="104">
        <f>L15</f>
        <v>1250000</v>
      </c>
      <c r="M44" s="103">
        <f>M3</f>
        <v>2000000</v>
      </c>
      <c r="N44" s="105">
        <v>5833709.36</v>
      </c>
      <c r="O44" s="522"/>
      <c r="P44" s="527"/>
      <c r="Q44" s="527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280000</v>
      </c>
      <c r="G45" s="108"/>
      <c r="H45" s="109">
        <v>280000</v>
      </c>
      <c r="I45" s="110"/>
      <c r="J45" s="110"/>
      <c r="K45" s="386"/>
      <c r="L45" s="110"/>
      <c r="M45" s="109"/>
      <c r="N45" s="111">
        <v>255233.5</v>
      </c>
      <c r="O45" s="522"/>
      <c r="P45" s="527"/>
      <c r="Q45" s="527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2734000</v>
      </c>
      <c r="G46" s="113">
        <f>G29+G34+G38+G43+G44+G45+-G4-G27</f>
        <v>0</v>
      </c>
      <c r="H46" s="113">
        <f>H29+H34+H38+H43+H45-H4-H27</f>
        <v>2734000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4353314.570000007</v>
      </c>
      <c r="O46" s="522"/>
      <c r="P46" s="527"/>
      <c r="Q46" s="527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2734000</v>
      </c>
      <c r="G47" s="81">
        <f aca="true" t="shared" si="4" ref="G47:N47">G28-G3</f>
        <v>0</v>
      </c>
      <c r="H47" s="82">
        <f t="shared" si="4"/>
        <v>2734000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4369029.170000017</v>
      </c>
    </row>
    <row r="48" spans="1:5" ht="12.75">
      <c r="A48" s="47" t="s">
        <v>67</v>
      </c>
      <c r="B48" s="47"/>
      <c r="C48" s="47"/>
      <c r="D48" s="151">
        <v>39882</v>
      </c>
      <c r="E48" s="48"/>
    </row>
    <row r="49" spans="5:17" s="47" customFormat="1" ht="9.75" customHeight="1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30"/>
      <c r="Q49" s="530"/>
    </row>
    <row r="50" spans="1:17" s="47" customFormat="1" ht="12">
      <c r="A50" s="51" t="s">
        <v>98</v>
      </c>
      <c r="D50" s="51"/>
      <c r="E50" s="48"/>
      <c r="F50" s="133"/>
      <c r="H50" s="59"/>
      <c r="J50" s="428"/>
      <c r="K50" s="59"/>
      <c r="L50" s="59"/>
      <c r="M50" s="59"/>
      <c r="N50" s="59"/>
      <c r="O50" s="522"/>
      <c r="P50" s="530"/>
      <c r="Q50" s="530"/>
    </row>
    <row r="51" spans="1:17" s="47" customFormat="1" ht="12">
      <c r="A51" s="51"/>
      <c r="B51" s="51"/>
      <c r="C51" s="51"/>
      <c r="D51" s="51"/>
      <c r="E51" s="48"/>
      <c r="F51" s="25"/>
      <c r="H51" s="59"/>
      <c r="I51" s="59"/>
      <c r="J51" s="59"/>
      <c r="K51" s="59"/>
      <c r="L51" s="59"/>
      <c r="M51" s="59"/>
      <c r="N51" s="59"/>
      <c r="O51" s="522"/>
      <c r="P51" s="530"/>
      <c r="Q51" s="530"/>
    </row>
    <row r="52" spans="1:17" s="59" customFormat="1" ht="12">
      <c r="A52" s="51"/>
      <c r="B52" s="51"/>
      <c r="C52" s="51"/>
      <c r="D52" s="51"/>
      <c r="E52" s="57"/>
      <c r="F52" s="25"/>
      <c r="O52" s="522"/>
      <c r="P52" s="530"/>
      <c r="Q52" s="530"/>
    </row>
    <row r="53" spans="1:17" s="59" customFormat="1" ht="12">
      <c r="A53" s="51"/>
      <c r="B53" s="51"/>
      <c r="C53" s="51"/>
      <c r="D53" s="51"/>
      <c r="E53" s="57"/>
      <c r="F53" s="25"/>
      <c r="O53" s="522"/>
      <c r="P53" s="530"/>
      <c r="Q53" s="530"/>
    </row>
    <row r="54" spans="1:17" s="59" customFormat="1" ht="12">
      <c r="A54" s="51"/>
      <c r="B54" s="51"/>
      <c r="C54" s="51"/>
      <c r="D54" s="51"/>
      <c r="E54" s="57"/>
      <c r="F54" s="25"/>
      <c r="O54" s="522"/>
      <c r="P54" s="530"/>
      <c r="Q54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D8" sqref="D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00390625" style="25" customWidth="1"/>
    <col min="7" max="7" width="5.125" style="0" hidden="1" customWidth="1"/>
    <col min="8" max="8" width="11.00390625" style="59" customWidth="1"/>
    <col min="9" max="12" width="8.00390625" style="59" customWidth="1"/>
    <col min="13" max="13" width="8.125" style="59" customWidth="1"/>
    <col min="14" max="14" width="9.875" style="59" customWidth="1"/>
    <col min="15" max="15" width="8.625" style="522" customWidth="1"/>
    <col min="16" max="16" width="7.75390625" style="530" customWidth="1"/>
    <col min="17" max="17" width="7.625" style="530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375" t="s">
        <v>149</v>
      </c>
      <c r="B2" s="7"/>
      <c r="C2" s="550" t="s">
        <v>82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30"/>
      <c r="Q2" s="530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 aca="true" t="shared" si="0" ref="F3:N3">SUM(F5:F27)</f>
        <v>209549000</v>
      </c>
      <c r="G3" s="81">
        <f t="shared" si="0"/>
        <v>0</v>
      </c>
      <c r="H3" s="82">
        <f t="shared" si="0"/>
        <v>198094000</v>
      </c>
      <c r="I3" s="83">
        <f t="shared" si="0"/>
        <v>3500000</v>
      </c>
      <c r="J3" s="83">
        <f t="shared" si="0"/>
        <v>2093000</v>
      </c>
      <c r="K3" s="381">
        <f t="shared" si="0"/>
        <v>0</v>
      </c>
      <c r="L3" s="83">
        <f t="shared" si="0"/>
        <v>1807000</v>
      </c>
      <c r="M3" s="82">
        <f t="shared" si="0"/>
        <v>4055000</v>
      </c>
      <c r="N3" s="84">
        <f t="shared" si="0"/>
        <v>199953997.67000002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133875000</v>
      </c>
      <c r="G4" s="86">
        <f aca="true" t="shared" si="1" ref="G4:N4">SUM(G5:G15)</f>
        <v>0</v>
      </c>
      <c r="H4" s="87">
        <f t="shared" si="1"/>
        <v>124347000</v>
      </c>
      <c r="I4" s="88">
        <f t="shared" si="1"/>
        <v>3500000</v>
      </c>
      <c r="J4" s="88">
        <f t="shared" si="1"/>
        <v>166000</v>
      </c>
      <c r="K4" s="382">
        <f t="shared" si="1"/>
        <v>0</v>
      </c>
      <c r="L4" s="382">
        <f t="shared" si="1"/>
        <v>1807000</v>
      </c>
      <c r="M4" s="87">
        <f t="shared" si="1"/>
        <v>4055000</v>
      </c>
      <c r="N4" s="89">
        <f t="shared" si="1"/>
        <v>129913932.3</v>
      </c>
      <c r="O4" s="522"/>
      <c r="P4" s="530"/>
      <c r="Q4" s="530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68915000</v>
      </c>
      <c r="G5" s="91"/>
      <c r="H5" s="201">
        <v>68915000</v>
      </c>
      <c r="I5" s="204"/>
      <c r="J5" s="204"/>
      <c r="K5" s="391"/>
      <c r="L5" s="205"/>
      <c r="M5" s="201"/>
      <c r="N5" s="101">
        <v>68784609.76</v>
      </c>
      <c r="O5" s="528"/>
      <c r="P5" s="531"/>
      <c r="Q5" s="531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2" ref="F6:F45">SUM(H6:M6)</f>
        <v>3112000</v>
      </c>
      <c r="G6" s="91"/>
      <c r="H6" s="201">
        <v>3112000</v>
      </c>
      <c r="I6" s="205"/>
      <c r="J6" s="205"/>
      <c r="K6" s="392"/>
      <c r="L6" s="205"/>
      <c r="M6" s="201"/>
      <c r="N6" s="101">
        <v>3281463</v>
      </c>
      <c r="O6" s="528"/>
      <c r="P6" s="531"/>
      <c r="Q6" s="531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2"/>
        <v>24809000</v>
      </c>
      <c r="G7" s="91"/>
      <c r="H7" s="201">
        <v>24809000</v>
      </c>
      <c r="I7" s="205"/>
      <c r="J7" s="205"/>
      <c r="K7" s="392"/>
      <c r="L7" s="205"/>
      <c r="M7" s="201"/>
      <c r="N7" s="101">
        <v>24543319.92</v>
      </c>
      <c r="O7" s="528"/>
      <c r="P7" s="531"/>
      <c r="Q7" s="531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2"/>
        <v>2475000</v>
      </c>
      <c r="G8" s="91"/>
      <c r="H8" s="201">
        <v>2475000</v>
      </c>
      <c r="I8" s="205"/>
      <c r="J8" s="205"/>
      <c r="K8" s="392"/>
      <c r="L8" s="205"/>
      <c r="M8" s="201"/>
      <c r="N8" s="101">
        <v>1993210.33</v>
      </c>
      <c r="O8" s="528"/>
      <c r="P8" s="531"/>
      <c r="Q8" s="531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2"/>
        <v>1007000</v>
      </c>
      <c r="G9" s="91"/>
      <c r="H9" s="201">
        <v>1007000</v>
      </c>
      <c r="I9" s="205"/>
      <c r="J9" s="205"/>
      <c r="K9" s="392"/>
      <c r="L9" s="205"/>
      <c r="M9" s="201"/>
      <c r="N9" s="101">
        <v>871242.59</v>
      </c>
      <c r="O9" s="528"/>
      <c r="P9" s="531"/>
      <c r="Q9" s="531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2"/>
        <v>5724000</v>
      </c>
      <c r="G10" s="91"/>
      <c r="H10" s="201">
        <v>2117000</v>
      </c>
      <c r="I10" s="205">
        <v>3500000</v>
      </c>
      <c r="J10" s="205">
        <v>107000</v>
      </c>
      <c r="K10" s="392"/>
      <c r="L10" s="205"/>
      <c r="M10" s="201"/>
      <c r="N10" s="101">
        <v>5454244.44</v>
      </c>
      <c r="O10" s="528"/>
      <c r="P10" s="531"/>
      <c r="Q10" s="531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2"/>
        <v>4571000</v>
      </c>
      <c r="G11" s="91"/>
      <c r="H11" s="201">
        <v>4512000</v>
      </c>
      <c r="I11" s="205"/>
      <c r="J11" s="205">
        <v>59000</v>
      </c>
      <c r="K11" s="392"/>
      <c r="L11" s="205"/>
      <c r="M11" s="201"/>
      <c r="N11" s="101">
        <v>4573931.28</v>
      </c>
      <c r="O11" s="528"/>
      <c r="P11" s="531"/>
      <c r="Q11" s="531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2"/>
        <v>600000</v>
      </c>
      <c r="G12" s="91"/>
      <c r="H12" s="201">
        <v>600000</v>
      </c>
      <c r="I12" s="205"/>
      <c r="J12" s="205"/>
      <c r="K12" s="392"/>
      <c r="L12" s="205"/>
      <c r="M12" s="201"/>
      <c r="N12" s="101">
        <v>433714.41</v>
      </c>
      <c r="O12" s="528"/>
      <c r="P12" s="531"/>
      <c r="Q12" s="531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2"/>
        <v>6800000</v>
      </c>
      <c r="G13" s="91"/>
      <c r="H13" s="201">
        <v>6800000</v>
      </c>
      <c r="I13" s="205"/>
      <c r="J13" s="205"/>
      <c r="K13" s="392"/>
      <c r="L13" s="205"/>
      <c r="M13" s="201"/>
      <c r="N13" s="101">
        <v>6892240.1</v>
      </c>
      <c r="O13" s="528"/>
      <c r="P13" s="531"/>
      <c r="Q13" s="531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2"/>
        <v>4055000</v>
      </c>
      <c r="G14" s="91"/>
      <c r="H14" s="201">
        <v>0</v>
      </c>
      <c r="I14" s="205"/>
      <c r="J14" s="205"/>
      <c r="K14" s="392"/>
      <c r="L14" s="205"/>
      <c r="M14" s="201">
        <v>4055000</v>
      </c>
      <c r="N14" s="101">
        <v>2122649</v>
      </c>
      <c r="O14" s="528"/>
      <c r="P14" s="531"/>
      <c r="Q14" s="531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2"/>
        <v>11807000</v>
      </c>
      <c r="G15" s="91"/>
      <c r="H15" s="201">
        <v>10000000</v>
      </c>
      <c r="I15" s="205"/>
      <c r="J15" s="205"/>
      <c r="K15" s="392"/>
      <c r="L15" s="205">
        <v>1807000</v>
      </c>
      <c r="M15" s="201"/>
      <c r="N15" s="101">
        <v>10963307.47</v>
      </c>
      <c r="O15" s="528"/>
      <c r="P15" s="531"/>
      <c r="Q15" s="531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2"/>
        <v>11500000</v>
      </c>
      <c r="G16" s="97"/>
      <c r="H16" s="201">
        <v>11500000</v>
      </c>
      <c r="I16" s="205"/>
      <c r="J16" s="205"/>
      <c r="K16" s="392"/>
      <c r="L16" s="205"/>
      <c r="M16" s="201"/>
      <c r="N16" s="202">
        <v>11252310</v>
      </c>
      <c r="O16" s="522"/>
      <c r="P16" s="530"/>
      <c r="Q16" s="530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2"/>
        <v>1200000</v>
      </c>
      <c r="G17" s="97"/>
      <c r="H17" s="201">
        <v>1200000</v>
      </c>
      <c r="I17" s="205"/>
      <c r="J17" s="205"/>
      <c r="K17" s="392"/>
      <c r="L17" s="205"/>
      <c r="M17" s="201"/>
      <c r="N17" s="101">
        <v>1192681</v>
      </c>
      <c r="O17" s="522"/>
      <c r="P17" s="530"/>
      <c r="Q17" s="530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2"/>
        <v>6000000</v>
      </c>
      <c r="G18" s="97"/>
      <c r="H18" s="201">
        <v>6000000</v>
      </c>
      <c r="I18" s="205"/>
      <c r="J18" s="205"/>
      <c r="K18" s="392"/>
      <c r="L18" s="205"/>
      <c r="M18" s="201"/>
      <c r="N18" s="202">
        <v>4838356.84</v>
      </c>
      <c r="O18" s="522"/>
      <c r="P18" s="530"/>
      <c r="Q18" s="530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2"/>
        <v>234000</v>
      </c>
      <c r="G19" s="97"/>
      <c r="H19" s="201">
        <v>234000</v>
      </c>
      <c r="I19" s="205"/>
      <c r="J19" s="205"/>
      <c r="K19" s="392"/>
      <c r="L19" s="205"/>
      <c r="M19" s="201"/>
      <c r="N19" s="202">
        <v>260000</v>
      </c>
      <c r="O19" s="522"/>
      <c r="P19" s="530"/>
      <c r="Q19" s="530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2"/>
        <v>0</v>
      </c>
      <c r="G20" s="97"/>
      <c r="H20" s="201"/>
      <c r="I20" s="205"/>
      <c r="J20" s="205"/>
      <c r="K20" s="392"/>
      <c r="L20" s="205"/>
      <c r="M20" s="201"/>
      <c r="N20" s="202"/>
      <c r="O20" s="522"/>
      <c r="P20" s="530"/>
      <c r="Q20" s="530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5">
        <f t="shared" si="2"/>
        <v>9000000</v>
      </c>
      <c r="G21" s="284"/>
      <c r="H21" s="201">
        <v>9000000</v>
      </c>
      <c r="I21" s="205"/>
      <c r="J21" s="205"/>
      <c r="K21" s="392"/>
      <c r="L21" s="205"/>
      <c r="M21" s="201"/>
      <c r="N21" s="202">
        <v>1026433.33</v>
      </c>
      <c r="O21" s="522"/>
      <c r="P21" s="530"/>
      <c r="Q21" s="530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5">
        <f t="shared" si="2"/>
        <v>1490000</v>
      </c>
      <c r="G22" s="284"/>
      <c r="H22" s="282">
        <v>1400000</v>
      </c>
      <c r="I22" s="204"/>
      <c r="J22" s="204">
        <v>90000</v>
      </c>
      <c r="K22" s="391"/>
      <c r="L22" s="204"/>
      <c r="M22" s="282"/>
      <c r="N22" s="202">
        <v>1317810.26</v>
      </c>
      <c r="O22" s="522"/>
      <c r="P22" s="530"/>
      <c r="Q22" s="530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5">
        <f t="shared" si="2"/>
        <v>32111000</v>
      </c>
      <c r="G23" s="284"/>
      <c r="H23" s="201">
        <v>31263000</v>
      </c>
      <c r="I23" s="205"/>
      <c r="J23" s="205">
        <v>848000</v>
      </c>
      <c r="K23" s="392"/>
      <c r="L23" s="205"/>
      <c r="M23" s="201"/>
      <c r="N23" s="202">
        <v>32469065.35</v>
      </c>
      <c r="O23" s="522"/>
      <c r="P23" s="530"/>
      <c r="Q23" s="530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5">
        <f t="shared" si="2"/>
        <v>10267000</v>
      </c>
      <c r="G24" s="284"/>
      <c r="H24" s="201">
        <v>10000000</v>
      </c>
      <c r="I24" s="205"/>
      <c r="J24" s="205">
        <v>267000</v>
      </c>
      <c r="K24" s="392"/>
      <c r="L24" s="205"/>
      <c r="M24" s="201"/>
      <c r="N24" s="202">
        <v>12563403.83</v>
      </c>
      <c r="O24" s="522"/>
      <c r="P24" s="530"/>
      <c r="Q24" s="530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5">
        <f t="shared" si="2"/>
        <v>2322000</v>
      </c>
      <c r="G25" s="284"/>
      <c r="H25" s="201">
        <v>1600000</v>
      </c>
      <c r="I25" s="205"/>
      <c r="J25" s="205">
        <v>722000</v>
      </c>
      <c r="K25" s="392"/>
      <c r="L25" s="205"/>
      <c r="M25" s="201"/>
      <c r="N25" s="202">
        <v>1647285.45</v>
      </c>
      <c r="O25" s="522"/>
      <c r="P25" s="530"/>
      <c r="Q25" s="530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5">
        <f t="shared" si="2"/>
        <v>1100000</v>
      </c>
      <c r="G26" s="284"/>
      <c r="H26" s="282">
        <v>1100000</v>
      </c>
      <c r="I26" s="204"/>
      <c r="J26" s="204"/>
      <c r="K26" s="391"/>
      <c r="L26" s="204"/>
      <c r="M26" s="282"/>
      <c r="N26" s="202">
        <v>1446300</v>
      </c>
      <c r="O26" s="522"/>
      <c r="P26" s="530"/>
      <c r="Q26" s="530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2"/>
        <v>450000</v>
      </c>
      <c r="G27" s="97"/>
      <c r="H27" s="203">
        <v>450000</v>
      </c>
      <c r="I27" s="206"/>
      <c r="J27" s="206"/>
      <c r="K27" s="393"/>
      <c r="L27" s="206"/>
      <c r="M27" s="203"/>
      <c r="N27" s="114">
        <v>2026419.31</v>
      </c>
      <c r="O27" s="522"/>
      <c r="P27" s="530"/>
      <c r="Q27" s="530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210464000</v>
      </c>
      <c r="G28" s="81">
        <f aca="true" t="shared" si="3" ref="G28:N28">SUM(G29:G45)</f>
        <v>0</v>
      </c>
      <c r="H28" s="82">
        <f t="shared" si="3"/>
        <v>199009000</v>
      </c>
      <c r="I28" s="83">
        <f t="shared" si="3"/>
        <v>3500000</v>
      </c>
      <c r="J28" s="83">
        <f t="shared" si="3"/>
        <v>2093000</v>
      </c>
      <c r="K28" s="381">
        <f t="shared" si="3"/>
        <v>0</v>
      </c>
      <c r="L28" s="83">
        <f t="shared" si="3"/>
        <v>1807000</v>
      </c>
      <c r="M28" s="82">
        <f t="shared" si="3"/>
        <v>4055000</v>
      </c>
      <c r="N28" s="84">
        <f t="shared" si="3"/>
        <v>202237529.88000003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2"/>
        <v>99021000</v>
      </c>
      <c r="G29" s="86"/>
      <c r="H29" s="324">
        <v>99021000</v>
      </c>
      <c r="I29" s="88"/>
      <c r="J29" s="88"/>
      <c r="K29" s="382"/>
      <c r="L29" s="88"/>
      <c r="M29" s="87"/>
      <c r="N29" s="89">
        <v>94988000</v>
      </c>
      <c r="O29" s="522">
        <v>99021</v>
      </c>
      <c r="P29" s="522">
        <f>H29/1000-Q29</f>
        <v>0</v>
      </c>
      <c r="Q29" s="522">
        <v>99021</v>
      </c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2"/>
        <v>11500000</v>
      </c>
      <c r="G30" s="102"/>
      <c r="H30" s="103">
        <f>H16</f>
        <v>11500000</v>
      </c>
      <c r="I30" s="104"/>
      <c r="J30" s="104"/>
      <c r="K30" s="385"/>
      <c r="L30" s="104"/>
      <c r="M30" s="103"/>
      <c r="N30" s="105">
        <v>11252310</v>
      </c>
      <c r="O30" s="522"/>
      <c r="P30" s="522"/>
      <c r="Q30" s="530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2"/>
        <v>1200000</v>
      </c>
      <c r="G31" s="102"/>
      <c r="H31" s="103">
        <f>H17</f>
        <v>1200000</v>
      </c>
      <c r="I31" s="104"/>
      <c r="J31" s="104"/>
      <c r="K31" s="385"/>
      <c r="L31" s="104"/>
      <c r="M31" s="103"/>
      <c r="N31" s="105">
        <v>1192681</v>
      </c>
      <c r="O31" s="522"/>
      <c r="P31" s="522"/>
      <c r="Q31" s="530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2"/>
        <v>6000000</v>
      </c>
      <c r="G32" s="102"/>
      <c r="H32" s="103">
        <f>H18</f>
        <v>6000000</v>
      </c>
      <c r="I32" s="104"/>
      <c r="J32" s="104"/>
      <c r="K32" s="385"/>
      <c r="L32" s="104"/>
      <c r="M32" s="103"/>
      <c r="N32" s="105">
        <v>4838356.84</v>
      </c>
      <c r="O32" s="522"/>
      <c r="P32" s="522">
        <f>H32/1000-Q32</f>
        <v>6000</v>
      </c>
      <c r="Q32" s="530">
        <v>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2"/>
        <v>234000</v>
      </c>
      <c r="G33" s="102"/>
      <c r="H33" s="103">
        <f>H19</f>
        <v>234000</v>
      </c>
      <c r="I33" s="104"/>
      <c r="J33" s="104"/>
      <c r="K33" s="385"/>
      <c r="L33" s="104"/>
      <c r="M33" s="103"/>
      <c r="N33" s="105">
        <v>260000</v>
      </c>
      <c r="O33" s="522"/>
      <c r="P33" s="522">
        <f>H33/1000-Q33</f>
        <v>0</v>
      </c>
      <c r="Q33" s="530">
        <v>234</v>
      </c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2"/>
        <v>0</v>
      </c>
      <c r="G34" s="102"/>
      <c r="H34" s="103"/>
      <c r="I34" s="104"/>
      <c r="J34" s="104"/>
      <c r="K34" s="385"/>
      <c r="L34" s="104"/>
      <c r="M34" s="103"/>
      <c r="N34" s="105"/>
      <c r="O34" s="522"/>
      <c r="P34" s="530"/>
      <c r="Q34" s="530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2"/>
        <v>0</v>
      </c>
      <c r="G35" s="102"/>
      <c r="H35" s="103"/>
      <c r="I35" s="104"/>
      <c r="J35" s="104"/>
      <c r="K35" s="385"/>
      <c r="L35" s="104"/>
      <c r="M35" s="103"/>
      <c r="N35" s="105"/>
      <c r="O35" s="522"/>
      <c r="P35" s="530"/>
      <c r="Q35" s="530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5">
        <f t="shared" si="2"/>
        <v>9000000</v>
      </c>
      <c r="G36" s="281"/>
      <c r="H36" s="282">
        <f>H21</f>
        <v>9000000</v>
      </c>
      <c r="I36" s="204"/>
      <c r="J36" s="204"/>
      <c r="K36" s="391"/>
      <c r="L36" s="204"/>
      <c r="M36" s="282"/>
      <c r="N36" s="283">
        <v>1026433.33</v>
      </c>
      <c r="O36" s="522"/>
      <c r="P36" s="530"/>
      <c r="Q36" s="530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5">
        <f t="shared" si="2"/>
        <v>1490000</v>
      </c>
      <c r="G37" s="281"/>
      <c r="H37" s="282">
        <f>H22</f>
        <v>1400000</v>
      </c>
      <c r="I37" s="204"/>
      <c r="J37" s="204">
        <f>J22</f>
        <v>90000</v>
      </c>
      <c r="K37" s="391"/>
      <c r="L37" s="204"/>
      <c r="M37" s="282"/>
      <c r="N37" s="283">
        <v>1317810.26</v>
      </c>
      <c r="O37" s="522"/>
      <c r="P37" s="530"/>
      <c r="Q37" s="530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2"/>
        <v>9191000</v>
      </c>
      <c r="G38" s="102"/>
      <c r="H38" s="282">
        <v>9191000</v>
      </c>
      <c r="I38" s="104"/>
      <c r="J38" s="104"/>
      <c r="K38" s="385"/>
      <c r="L38" s="104"/>
      <c r="M38" s="103"/>
      <c r="N38" s="105">
        <v>9326000</v>
      </c>
      <c r="O38" s="522"/>
      <c r="P38" s="530"/>
      <c r="Q38" s="530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2"/>
        <v>32111000</v>
      </c>
      <c r="G39" s="102"/>
      <c r="H39" s="282">
        <f>H23</f>
        <v>31263000</v>
      </c>
      <c r="I39" s="104"/>
      <c r="J39" s="104">
        <f>J23</f>
        <v>848000</v>
      </c>
      <c r="K39" s="385"/>
      <c r="L39" s="104"/>
      <c r="M39" s="103"/>
      <c r="N39" s="105">
        <v>32469065.35</v>
      </c>
      <c r="O39" s="522"/>
      <c r="P39" s="530"/>
      <c r="Q39" s="530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2"/>
        <v>10267000</v>
      </c>
      <c r="G40" s="102"/>
      <c r="H40" s="282">
        <f>H24</f>
        <v>10000000</v>
      </c>
      <c r="I40" s="104"/>
      <c r="J40" s="104">
        <f>J24</f>
        <v>267000</v>
      </c>
      <c r="K40" s="385"/>
      <c r="L40" s="104"/>
      <c r="M40" s="103"/>
      <c r="N40" s="105">
        <v>12563403.83</v>
      </c>
      <c r="O40" s="522"/>
      <c r="P40" s="530"/>
      <c r="Q40" s="530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5">
        <f t="shared" si="2"/>
        <v>2322000</v>
      </c>
      <c r="G41" s="281"/>
      <c r="H41" s="282">
        <f>H25</f>
        <v>1600000</v>
      </c>
      <c r="I41" s="204"/>
      <c r="J41" s="104">
        <f>J25</f>
        <v>722000</v>
      </c>
      <c r="K41" s="391"/>
      <c r="L41" s="204"/>
      <c r="M41" s="282"/>
      <c r="N41" s="283">
        <v>1647285.45</v>
      </c>
      <c r="O41" s="522"/>
      <c r="P41" s="530"/>
      <c r="Q41" s="530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5">
        <f t="shared" si="2"/>
        <v>1100000</v>
      </c>
      <c r="G42" s="281"/>
      <c r="H42" s="282">
        <f>H26</f>
        <v>1100000</v>
      </c>
      <c r="I42" s="204"/>
      <c r="J42" s="204"/>
      <c r="K42" s="391"/>
      <c r="L42" s="204"/>
      <c r="M42" s="282"/>
      <c r="N42" s="283">
        <v>1446300</v>
      </c>
      <c r="O42" s="522"/>
      <c r="P42" s="530"/>
      <c r="Q42" s="530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0">
        <f t="shared" si="2"/>
        <v>17166000</v>
      </c>
      <c r="G43" s="102"/>
      <c r="H43" s="103">
        <v>17000000</v>
      </c>
      <c r="I43" s="104"/>
      <c r="J43" s="204">
        <v>166000</v>
      </c>
      <c r="K43" s="385"/>
      <c r="L43" s="104"/>
      <c r="M43" s="103"/>
      <c r="N43" s="105">
        <v>20634254.62</v>
      </c>
      <c r="O43" s="522"/>
      <c r="P43" s="530"/>
      <c r="Q43" s="530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2"/>
        <v>9362000</v>
      </c>
      <c r="G44" s="102"/>
      <c r="H44" s="106" t="s">
        <v>97</v>
      </c>
      <c r="I44" s="104">
        <f>I3</f>
        <v>3500000</v>
      </c>
      <c r="J44" s="204"/>
      <c r="K44" s="385"/>
      <c r="L44" s="104">
        <f>L15</f>
        <v>1807000</v>
      </c>
      <c r="M44" s="103">
        <f>M14</f>
        <v>4055000</v>
      </c>
      <c r="N44" s="105">
        <v>7220023.4</v>
      </c>
      <c r="O44" s="522"/>
      <c r="P44" s="530"/>
      <c r="Q44" s="530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2"/>
        <v>500000</v>
      </c>
      <c r="G45" s="108"/>
      <c r="H45" s="109">
        <v>500000</v>
      </c>
      <c r="I45" s="110"/>
      <c r="J45" s="110"/>
      <c r="K45" s="386"/>
      <c r="L45" s="110"/>
      <c r="M45" s="109"/>
      <c r="N45" s="111">
        <v>2055605.8</v>
      </c>
      <c r="O45" s="522"/>
      <c r="P45" s="530"/>
      <c r="Q45" s="530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915000</v>
      </c>
      <c r="G46" s="113">
        <f>G29+G34+G38+G43+G44+G45+-G4-G27</f>
        <v>0</v>
      </c>
      <c r="H46" s="113">
        <f>H29+H34+H38+H43+H45-H4-H27</f>
        <v>915000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2283532.2100000256</v>
      </c>
      <c r="O46" s="522"/>
      <c r="P46" s="530"/>
      <c r="Q46" s="530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915000</v>
      </c>
      <c r="G47" s="81">
        <f aca="true" t="shared" si="4" ref="G47:N47">G28-G3</f>
        <v>0</v>
      </c>
      <c r="H47" s="82">
        <f t="shared" si="4"/>
        <v>915000</v>
      </c>
      <c r="I47" s="83">
        <f t="shared" si="4"/>
        <v>0</v>
      </c>
      <c r="J47" s="83">
        <f t="shared" si="4"/>
        <v>0</v>
      </c>
      <c r="K47" s="381">
        <f t="shared" si="4"/>
        <v>0</v>
      </c>
      <c r="L47" s="83">
        <f t="shared" si="4"/>
        <v>0</v>
      </c>
      <c r="M47" s="82">
        <f t="shared" si="4"/>
        <v>0</v>
      </c>
      <c r="N47" s="84">
        <f t="shared" si="4"/>
        <v>2283532.2100000083</v>
      </c>
    </row>
    <row r="48" spans="1:5" ht="12.75">
      <c r="A48" s="47" t="s">
        <v>67</v>
      </c>
      <c r="B48" s="47"/>
      <c r="C48" s="47"/>
      <c r="D48" s="285">
        <v>39884</v>
      </c>
      <c r="E48" s="48"/>
    </row>
    <row r="49" spans="5:17" s="47" customFormat="1" ht="9.75" customHeight="1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30"/>
      <c r="Q49" s="530"/>
    </row>
    <row r="50" spans="1:17" s="47" customFormat="1" ht="12">
      <c r="A50" s="51" t="s">
        <v>98</v>
      </c>
      <c r="E50" s="48"/>
      <c r="F50" s="133"/>
      <c r="H50" s="59"/>
      <c r="I50" s="59"/>
      <c r="J50" s="428"/>
      <c r="K50" s="59"/>
      <c r="L50" s="59"/>
      <c r="M50" s="59"/>
      <c r="N50" s="59"/>
      <c r="O50" s="522"/>
      <c r="P50" s="530"/>
      <c r="Q50" s="530"/>
    </row>
    <row r="51" spans="1:17" s="47" customFormat="1" ht="12">
      <c r="A51" s="51"/>
      <c r="B51" s="51"/>
      <c r="C51" s="51"/>
      <c r="D51" s="51"/>
      <c r="E51" s="48"/>
      <c r="F51" s="25"/>
      <c r="H51" s="59"/>
      <c r="I51" s="59"/>
      <c r="J51" s="59"/>
      <c r="K51" s="59"/>
      <c r="L51" s="59"/>
      <c r="M51" s="59"/>
      <c r="N51" s="59"/>
      <c r="O51" s="522"/>
      <c r="P51" s="530"/>
      <c r="Q51" s="530"/>
    </row>
    <row r="52" spans="1:17" s="59" customFormat="1" ht="12">
      <c r="A52" s="51"/>
      <c r="B52" s="51"/>
      <c r="C52" s="51"/>
      <c r="D52" s="51"/>
      <c r="E52" s="57"/>
      <c r="F52" s="25"/>
      <c r="O52" s="522"/>
      <c r="P52" s="530"/>
      <c r="Q52" s="530"/>
    </row>
    <row r="53" spans="1:17" s="59" customFormat="1" ht="12">
      <c r="A53" s="51"/>
      <c r="B53" s="51"/>
      <c r="C53" s="51"/>
      <c r="D53" s="51"/>
      <c r="E53" s="57"/>
      <c r="F53" s="25"/>
      <c r="O53" s="522"/>
      <c r="P53" s="530"/>
      <c r="Q53" s="530"/>
    </row>
    <row r="54" spans="1:17" s="59" customFormat="1" ht="12">
      <c r="A54" s="51"/>
      <c r="B54" s="51"/>
      <c r="C54" s="51"/>
      <c r="D54" s="51"/>
      <c r="E54" s="57"/>
      <c r="F54" s="25"/>
      <c r="O54" s="522"/>
      <c r="P54" s="530"/>
      <c r="Q54" s="530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D6" sqref="D5:D6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60" bestFit="1" customWidth="1"/>
    <col min="6" max="6" width="12.625" style="25" customWidth="1"/>
    <col min="7" max="7" width="5.125" style="0" hidden="1" customWidth="1"/>
    <col min="8" max="8" width="10.875" style="59" customWidth="1"/>
    <col min="9" max="10" width="8.75390625" style="59" customWidth="1"/>
    <col min="11" max="13" width="9.25390625" style="59" customWidth="1"/>
    <col min="14" max="14" width="9.625" style="59" customWidth="1"/>
    <col min="15" max="15" width="7.875" style="522" customWidth="1"/>
    <col min="16" max="16" width="8.00390625" style="522" customWidth="1"/>
    <col min="17" max="17" width="7.00390625" style="522" customWidth="1"/>
  </cols>
  <sheetData>
    <row r="1" spans="1:14" ht="15.75" customHeight="1">
      <c r="A1" s="544" t="s">
        <v>146</v>
      </c>
      <c r="B1" s="545"/>
      <c r="C1" s="545"/>
      <c r="D1" s="546"/>
      <c r="E1" s="1"/>
      <c r="F1" s="125" t="s">
        <v>0</v>
      </c>
      <c r="G1" s="4" t="s">
        <v>1</v>
      </c>
      <c r="H1" s="68" t="s">
        <v>2</v>
      </c>
      <c r="I1" s="547" t="s">
        <v>3</v>
      </c>
      <c r="J1" s="548"/>
      <c r="K1" s="548"/>
      <c r="L1" s="548"/>
      <c r="M1" s="549"/>
      <c r="N1" s="69" t="s">
        <v>4</v>
      </c>
    </row>
    <row r="2" spans="1:17" s="16" customFormat="1" ht="13.5" thickBot="1">
      <c r="A2" s="375" t="s">
        <v>149</v>
      </c>
      <c r="B2" s="7"/>
      <c r="C2" s="550" t="s">
        <v>83</v>
      </c>
      <c r="D2" s="551"/>
      <c r="E2" s="9" t="s">
        <v>5</v>
      </c>
      <c r="F2" s="126">
        <v>2009</v>
      </c>
      <c r="G2" s="12" t="s">
        <v>7</v>
      </c>
      <c r="H2" s="70" t="s">
        <v>8</v>
      </c>
      <c r="I2" s="71" t="s">
        <v>9</v>
      </c>
      <c r="J2" s="72" t="s">
        <v>10</v>
      </c>
      <c r="K2" s="380" t="s">
        <v>11</v>
      </c>
      <c r="L2" s="308" t="s">
        <v>147</v>
      </c>
      <c r="M2" s="70" t="s">
        <v>12</v>
      </c>
      <c r="N2" s="73">
        <v>2008</v>
      </c>
      <c r="O2" s="522"/>
      <c r="P2" s="522"/>
      <c r="Q2" s="522"/>
    </row>
    <row r="3" spans="1:14" ht="13.5" thickBot="1">
      <c r="A3" s="17" t="s">
        <v>13</v>
      </c>
      <c r="B3" s="18"/>
      <c r="C3" s="18"/>
      <c r="D3" s="18"/>
      <c r="E3" s="19">
        <v>1</v>
      </c>
      <c r="F3" s="127">
        <f>SUM(F5:F27)</f>
        <v>776229000</v>
      </c>
      <c r="G3" s="81">
        <f aca="true" t="shared" si="0" ref="G3:N3">SUM(G5:G27)</f>
        <v>0</v>
      </c>
      <c r="H3" s="82">
        <f t="shared" si="0"/>
        <v>733412000</v>
      </c>
      <c r="I3" s="83">
        <f t="shared" si="0"/>
        <v>18231000</v>
      </c>
      <c r="J3" s="83">
        <f t="shared" si="0"/>
        <v>23086000</v>
      </c>
      <c r="K3" s="381">
        <f t="shared" si="0"/>
        <v>0</v>
      </c>
      <c r="L3" s="83">
        <f t="shared" si="0"/>
        <v>0</v>
      </c>
      <c r="M3" s="82">
        <f t="shared" si="0"/>
        <v>1500000</v>
      </c>
      <c r="N3" s="84">
        <f t="shared" si="0"/>
        <v>749555905.51</v>
      </c>
    </row>
    <row r="4" spans="1:17" s="25" customFormat="1" ht="12">
      <c r="A4" s="21" t="s">
        <v>14</v>
      </c>
      <c r="B4" s="22" t="s">
        <v>15</v>
      </c>
      <c r="C4" s="22"/>
      <c r="D4" s="22"/>
      <c r="E4" s="23">
        <v>2</v>
      </c>
      <c r="F4" s="128">
        <f>SUM(F5:F15)</f>
        <v>327744000</v>
      </c>
      <c r="G4" s="86">
        <f aca="true" t="shared" si="1" ref="G4:N4">SUM(G5:G15)</f>
        <v>0</v>
      </c>
      <c r="H4" s="87">
        <f t="shared" si="1"/>
        <v>307640000</v>
      </c>
      <c r="I4" s="88">
        <f t="shared" si="1"/>
        <v>18231000</v>
      </c>
      <c r="J4" s="88">
        <f t="shared" si="1"/>
        <v>373000</v>
      </c>
      <c r="K4" s="382">
        <f t="shared" si="1"/>
        <v>0</v>
      </c>
      <c r="L4" s="382">
        <f t="shared" si="1"/>
        <v>0</v>
      </c>
      <c r="M4" s="87">
        <f t="shared" si="1"/>
        <v>1500000</v>
      </c>
      <c r="N4" s="89">
        <f t="shared" si="1"/>
        <v>321544242.02</v>
      </c>
      <c r="O4" s="522"/>
      <c r="P4" s="522"/>
      <c r="Q4" s="522"/>
    </row>
    <row r="5" spans="1:17" s="65" customFormat="1" ht="12">
      <c r="A5" s="61"/>
      <c r="B5" s="62"/>
      <c r="C5" s="62" t="s">
        <v>16</v>
      </c>
      <c r="D5" s="63" t="s">
        <v>17</v>
      </c>
      <c r="E5" s="64">
        <v>3</v>
      </c>
      <c r="F5" s="129">
        <f>SUM(H5:M5)</f>
        <v>114525000</v>
      </c>
      <c r="G5" s="91"/>
      <c r="H5" s="149">
        <v>105525000</v>
      </c>
      <c r="I5" s="150">
        <v>9000000</v>
      </c>
      <c r="J5" s="150">
        <f aca="true" t="shared" si="2" ref="J5:J14">P5/1000</f>
        <v>0</v>
      </c>
      <c r="K5" s="377"/>
      <c r="L5" s="150"/>
      <c r="M5" s="231">
        <f aca="true" t="shared" si="3" ref="M5:M20">R5/1000</f>
        <v>0</v>
      </c>
      <c r="N5" s="95">
        <v>113725200</v>
      </c>
      <c r="O5" s="528"/>
      <c r="P5" s="528"/>
      <c r="Q5" s="528"/>
    </row>
    <row r="6" spans="1:17" s="65" customFormat="1" ht="12">
      <c r="A6" s="61"/>
      <c r="B6" s="62"/>
      <c r="C6" s="62"/>
      <c r="D6" s="63" t="s">
        <v>18</v>
      </c>
      <c r="E6" s="64">
        <v>4</v>
      </c>
      <c r="F6" s="129">
        <f aca="true" t="shared" si="4" ref="F6:F45">SUM(H6:M6)</f>
        <v>2900000</v>
      </c>
      <c r="G6" s="91"/>
      <c r="H6" s="149">
        <v>2900000</v>
      </c>
      <c r="I6" s="150"/>
      <c r="J6" s="150">
        <f t="shared" si="2"/>
        <v>0</v>
      </c>
      <c r="K6" s="377">
        <f>Q6/1000</f>
        <v>0</v>
      </c>
      <c r="L6" s="150"/>
      <c r="M6" s="231">
        <f t="shared" si="3"/>
        <v>0</v>
      </c>
      <c r="N6" s="95">
        <v>2853330</v>
      </c>
      <c r="O6" s="528"/>
      <c r="P6" s="528"/>
      <c r="Q6" s="528"/>
    </row>
    <row r="7" spans="1:17" s="65" customFormat="1" ht="12">
      <c r="A7" s="61"/>
      <c r="B7" s="62"/>
      <c r="C7" s="62"/>
      <c r="D7" s="63" t="s">
        <v>19</v>
      </c>
      <c r="E7" s="64">
        <v>5</v>
      </c>
      <c r="F7" s="129">
        <f t="shared" si="4"/>
        <v>41500000</v>
      </c>
      <c r="G7" s="91"/>
      <c r="H7" s="149">
        <v>41500000</v>
      </c>
      <c r="I7" s="336"/>
      <c r="J7" s="150">
        <f t="shared" si="2"/>
        <v>0</v>
      </c>
      <c r="K7" s="377"/>
      <c r="L7" s="150"/>
      <c r="M7" s="231">
        <f t="shared" si="3"/>
        <v>0</v>
      </c>
      <c r="N7" s="95">
        <v>41730942.23</v>
      </c>
      <c r="O7" s="528"/>
      <c r="P7" s="528"/>
      <c r="Q7" s="528"/>
    </row>
    <row r="8" spans="1:17" s="65" customFormat="1" ht="12">
      <c r="A8" s="61"/>
      <c r="B8" s="62"/>
      <c r="C8" s="62"/>
      <c r="D8" s="63" t="s">
        <v>20</v>
      </c>
      <c r="E8" s="64">
        <v>6</v>
      </c>
      <c r="F8" s="129">
        <f t="shared" si="4"/>
        <v>29000000</v>
      </c>
      <c r="G8" s="91"/>
      <c r="H8" s="149">
        <v>29000000</v>
      </c>
      <c r="I8" s="150"/>
      <c r="J8" s="150">
        <f t="shared" si="2"/>
        <v>0</v>
      </c>
      <c r="K8" s="377">
        <f aca="true" t="shared" si="5" ref="K8:K21">Q8/1000</f>
        <v>0</v>
      </c>
      <c r="L8" s="150"/>
      <c r="M8" s="231">
        <f t="shared" si="3"/>
        <v>0</v>
      </c>
      <c r="N8" s="95">
        <v>16977980.25</v>
      </c>
      <c r="O8" s="528"/>
      <c r="P8" s="528"/>
      <c r="Q8" s="528"/>
    </row>
    <row r="9" spans="1:17" s="65" customFormat="1" ht="12">
      <c r="A9" s="61"/>
      <c r="B9" s="62"/>
      <c r="C9" s="62"/>
      <c r="D9" s="63" t="s">
        <v>21</v>
      </c>
      <c r="E9" s="64">
        <v>7</v>
      </c>
      <c r="F9" s="129">
        <f t="shared" si="4"/>
        <v>2500000</v>
      </c>
      <c r="G9" s="91"/>
      <c r="H9" s="149">
        <v>2500000</v>
      </c>
      <c r="I9" s="150"/>
      <c r="J9" s="150">
        <f t="shared" si="2"/>
        <v>0</v>
      </c>
      <c r="K9" s="377">
        <f t="shared" si="5"/>
        <v>0</v>
      </c>
      <c r="L9" s="150"/>
      <c r="M9" s="231">
        <f t="shared" si="3"/>
        <v>0</v>
      </c>
      <c r="N9" s="95">
        <v>3995531.53</v>
      </c>
      <c r="O9" s="528"/>
      <c r="P9" s="528"/>
      <c r="Q9" s="528"/>
    </row>
    <row r="10" spans="1:17" s="65" customFormat="1" ht="12">
      <c r="A10" s="61"/>
      <c r="B10" s="62"/>
      <c r="C10" s="62"/>
      <c r="D10" s="63" t="s">
        <v>22</v>
      </c>
      <c r="E10" s="64">
        <v>8</v>
      </c>
      <c r="F10" s="129">
        <f t="shared" si="4"/>
        <v>9000000</v>
      </c>
      <c r="G10" s="91"/>
      <c r="H10" s="149">
        <v>9000000</v>
      </c>
      <c r="I10" s="150"/>
      <c r="J10" s="150">
        <f t="shared" si="2"/>
        <v>0</v>
      </c>
      <c r="K10" s="377">
        <f t="shared" si="5"/>
        <v>0</v>
      </c>
      <c r="L10" s="150"/>
      <c r="M10" s="231">
        <f t="shared" si="3"/>
        <v>0</v>
      </c>
      <c r="N10" s="95">
        <v>10343914.93</v>
      </c>
      <c r="O10" s="528"/>
      <c r="P10" s="528"/>
      <c r="Q10" s="528"/>
    </row>
    <row r="11" spans="1:17" s="65" customFormat="1" ht="12">
      <c r="A11" s="61"/>
      <c r="B11" s="62"/>
      <c r="C11" s="62"/>
      <c r="D11" s="63" t="s">
        <v>23</v>
      </c>
      <c r="E11" s="64">
        <v>9</v>
      </c>
      <c r="F11" s="129">
        <f t="shared" si="4"/>
        <v>13000000</v>
      </c>
      <c r="G11" s="91"/>
      <c r="H11" s="419">
        <v>12000000</v>
      </c>
      <c r="I11" s="150">
        <v>1000000</v>
      </c>
      <c r="J11" s="150">
        <f t="shared" si="2"/>
        <v>0</v>
      </c>
      <c r="K11" s="377">
        <f t="shared" si="5"/>
        <v>0</v>
      </c>
      <c r="L11" s="150"/>
      <c r="M11" s="231">
        <f t="shared" si="3"/>
        <v>0</v>
      </c>
      <c r="N11" s="95">
        <v>11083968.21</v>
      </c>
      <c r="O11" s="528"/>
      <c r="P11" s="528"/>
      <c r="Q11" s="528"/>
    </row>
    <row r="12" spans="1:17" s="65" customFormat="1" ht="12">
      <c r="A12" s="61"/>
      <c r="B12" s="62"/>
      <c r="C12" s="62"/>
      <c r="D12" s="63" t="s">
        <v>24</v>
      </c>
      <c r="E12" s="64">
        <v>10</v>
      </c>
      <c r="F12" s="129">
        <f t="shared" si="4"/>
        <v>2000000</v>
      </c>
      <c r="G12" s="91"/>
      <c r="H12" s="149">
        <v>2000000</v>
      </c>
      <c r="I12" s="150"/>
      <c r="J12" s="150">
        <f t="shared" si="2"/>
        <v>0</v>
      </c>
      <c r="K12" s="377">
        <f t="shared" si="5"/>
        <v>0</v>
      </c>
      <c r="L12" s="150"/>
      <c r="M12" s="231">
        <f t="shared" si="3"/>
        <v>0</v>
      </c>
      <c r="N12" s="95">
        <v>1343084.77</v>
      </c>
      <c r="O12" s="528"/>
      <c r="P12" s="528"/>
      <c r="Q12" s="528"/>
    </row>
    <row r="13" spans="1:17" s="65" customFormat="1" ht="12">
      <c r="A13" s="61"/>
      <c r="B13" s="62"/>
      <c r="C13" s="62"/>
      <c r="D13" s="63" t="s">
        <v>25</v>
      </c>
      <c r="E13" s="64">
        <v>11</v>
      </c>
      <c r="F13" s="129">
        <f t="shared" si="4"/>
        <v>85000000</v>
      </c>
      <c r="G13" s="91"/>
      <c r="H13" s="149">
        <v>85000000</v>
      </c>
      <c r="I13" s="150"/>
      <c r="J13" s="150">
        <f t="shared" si="2"/>
        <v>0</v>
      </c>
      <c r="K13" s="420">
        <f t="shared" si="5"/>
        <v>0</v>
      </c>
      <c r="L13" s="150"/>
      <c r="M13" s="231">
        <f t="shared" si="3"/>
        <v>0</v>
      </c>
      <c r="N13" s="95">
        <v>82844545.2</v>
      </c>
      <c r="O13" s="528"/>
      <c r="P13" s="528"/>
      <c r="Q13" s="528"/>
    </row>
    <row r="14" spans="1:17" s="65" customFormat="1" ht="12">
      <c r="A14" s="61"/>
      <c r="B14" s="62"/>
      <c r="C14" s="62"/>
      <c r="D14" s="63" t="s">
        <v>26</v>
      </c>
      <c r="E14" s="64">
        <v>12</v>
      </c>
      <c r="F14" s="129">
        <f t="shared" si="4"/>
        <v>3231000</v>
      </c>
      <c r="G14" s="91"/>
      <c r="H14" s="149">
        <v>1500000</v>
      </c>
      <c r="I14" s="336">
        <v>231000</v>
      </c>
      <c r="J14" s="150">
        <f t="shared" si="2"/>
        <v>0</v>
      </c>
      <c r="K14" s="377">
        <f t="shared" si="5"/>
        <v>0</v>
      </c>
      <c r="L14" s="150"/>
      <c r="M14" s="231">
        <v>1500000</v>
      </c>
      <c r="N14" s="95">
        <v>3327201</v>
      </c>
      <c r="O14" s="528"/>
      <c r="P14" s="528"/>
      <c r="Q14" s="528"/>
    </row>
    <row r="15" spans="1:17" s="65" customFormat="1" ht="12">
      <c r="A15" s="61"/>
      <c r="B15" s="62"/>
      <c r="C15" s="63"/>
      <c r="D15" s="63" t="s">
        <v>27</v>
      </c>
      <c r="E15" s="64">
        <v>13</v>
      </c>
      <c r="F15" s="129">
        <f t="shared" si="4"/>
        <v>25088000</v>
      </c>
      <c r="G15" s="91"/>
      <c r="H15" s="149">
        <v>16715000</v>
      </c>
      <c r="I15" s="150">
        <v>8000000</v>
      </c>
      <c r="J15" s="150">
        <v>373000</v>
      </c>
      <c r="K15" s="377">
        <f t="shared" si="5"/>
        <v>0</v>
      </c>
      <c r="L15" s="427"/>
      <c r="M15" s="231">
        <f t="shared" si="3"/>
        <v>0</v>
      </c>
      <c r="N15" s="95">
        <v>33318543.9</v>
      </c>
      <c r="O15" s="528"/>
      <c r="P15" s="528"/>
      <c r="Q15" s="528"/>
    </row>
    <row r="16" spans="1:17" s="25" customFormat="1" ht="12">
      <c r="A16" s="21"/>
      <c r="B16" s="30" t="s">
        <v>28</v>
      </c>
      <c r="C16" s="27"/>
      <c r="D16" s="27"/>
      <c r="E16" s="28">
        <v>14</v>
      </c>
      <c r="F16" s="130">
        <f t="shared" si="4"/>
        <v>43000000</v>
      </c>
      <c r="G16" s="97"/>
      <c r="H16" s="144">
        <v>43000000</v>
      </c>
      <c r="I16" s="145"/>
      <c r="J16" s="145">
        <f aca="true" t="shared" si="6" ref="J16:J21">P16/1000</f>
        <v>0</v>
      </c>
      <c r="K16" s="378">
        <f t="shared" si="5"/>
        <v>0</v>
      </c>
      <c r="L16" s="145"/>
      <c r="M16" s="397">
        <f t="shared" si="3"/>
        <v>0</v>
      </c>
      <c r="N16" s="146">
        <v>42323810</v>
      </c>
      <c r="O16" s="522"/>
      <c r="P16" s="522"/>
      <c r="Q16" s="522"/>
    </row>
    <row r="17" spans="1:17" s="25" customFormat="1" ht="12">
      <c r="A17" s="21"/>
      <c r="B17" s="30" t="s">
        <v>30</v>
      </c>
      <c r="C17" s="27"/>
      <c r="D17" s="27"/>
      <c r="E17" s="28">
        <v>15</v>
      </c>
      <c r="F17" s="130">
        <f t="shared" si="4"/>
        <v>1000000</v>
      </c>
      <c r="G17" s="97"/>
      <c r="H17" s="144">
        <v>1000000</v>
      </c>
      <c r="I17" s="145"/>
      <c r="J17" s="145">
        <f t="shared" si="6"/>
        <v>0</v>
      </c>
      <c r="K17" s="378">
        <f t="shared" si="5"/>
        <v>0</v>
      </c>
      <c r="L17" s="145"/>
      <c r="M17" s="397">
        <f t="shared" si="3"/>
        <v>0</v>
      </c>
      <c r="N17" s="146">
        <v>995661</v>
      </c>
      <c r="O17" s="522"/>
      <c r="P17" s="522"/>
      <c r="Q17" s="522"/>
    </row>
    <row r="18" spans="1:17" s="25" customFormat="1" ht="12">
      <c r="A18" s="21"/>
      <c r="B18" s="31" t="s">
        <v>32</v>
      </c>
      <c r="C18" s="32"/>
      <c r="D18" s="32"/>
      <c r="E18" s="33">
        <v>16</v>
      </c>
      <c r="F18" s="130">
        <f t="shared" si="4"/>
        <v>5000000</v>
      </c>
      <c r="G18" s="97"/>
      <c r="H18" s="144">
        <v>5000000</v>
      </c>
      <c r="I18" s="145"/>
      <c r="J18" s="145">
        <f t="shared" si="6"/>
        <v>0</v>
      </c>
      <c r="K18" s="378">
        <f t="shared" si="5"/>
        <v>0</v>
      </c>
      <c r="L18" s="145"/>
      <c r="M18" s="397">
        <f t="shared" si="3"/>
        <v>0</v>
      </c>
      <c r="N18" s="146">
        <v>9721000</v>
      </c>
      <c r="O18" s="522"/>
      <c r="P18" s="522"/>
      <c r="Q18" s="522"/>
    </row>
    <row r="19" spans="1:17" s="25" customFormat="1" ht="12">
      <c r="A19" s="21"/>
      <c r="B19" s="31" t="s">
        <v>34</v>
      </c>
      <c r="C19" s="32"/>
      <c r="D19" s="32"/>
      <c r="E19" s="33">
        <v>17</v>
      </c>
      <c r="F19" s="130">
        <f t="shared" si="4"/>
        <v>2626000</v>
      </c>
      <c r="G19" s="97"/>
      <c r="H19" s="144">
        <v>2626000</v>
      </c>
      <c r="I19" s="145"/>
      <c r="J19" s="145">
        <f t="shared" si="6"/>
        <v>0</v>
      </c>
      <c r="K19" s="378">
        <f t="shared" si="5"/>
        <v>0</v>
      </c>
      <c r="L19" s="145"/>
      <c r="M19" s="397">
        <f t="shared" si="3"/>
        <v>0</v>
      </c>
      <c r="N19" s="146">
        <v>3618613.05</v>
      </c>
      <c r="O19" s="522"/>
      <c r="P19" s="522"/>
      <c r="Q19" s="522"/>
    </row>
    <row r="20" spans="1:17" s="25" customFormat="1" ht="12">
      <c r="A20" s="21"/>
      <c r="B20" s="31" t="s">
        <v>36</v>
      </c>
      <c r="C20" s="31"/>
      <c r="D20" s="31"/>
      <c r="E20" s="33">
        <v>18</v>
      </c>
      <c r="F20" s="130">
        <f t="shared" si="4"/>
        <v>3000000</v>
      </c>
      <c r="G20" s="97"/>
      <c r="H20" s="144">
        <v>3000000</v>
      </c>
      <c r="I20" s="145"/>
      <c r="J20" s="145">
        <f t="shared" si="6"/>
        <v>0</v>
      </c>
      <c r="K20" s="378">
        <f t="shared" si="5"/>
        <v>0</v>
      </c>
      <c r="L20" s="145"/>
      <c r="M20" s="397">
        <f t="shared" si="3"/>
        <v>0</v>
      </c>
      <c r="N20" s="146">
        <v>585832.44</v>
      </c>
      <c r="O20" s="522"/>
      <c r="P20" s="522"/>
      <c r="Q20" s="522"/>
    </row>
    <row r="21" spans="1:17" s="25" customFormat="1" ht="12">
      <c r="A21" s="21"/>
      <c r="B21" s="31" t="s">
        <v>38</v>
      </c>
      <c r="C21" s="31"/>
      <c r="D21" s="31"/>
      <c r="E21" s="33">
        <v>19</v>
      </c>
      <c r="F21" s="130">
        <f t="shared" si="4"/>
        <v>0</v>
      </c>
      <c r="G21" s="97"/>
      <c r="H21" s="144"/>
      <c r="I21" s="145"/>
      <c r="J21" s="145">
        <f t="shared" si="6"/>
        <v>0</v>
      </c>
      <c r="K21" s="378">
        <f t="shared" si="5"/>
        <v>0</v>
      </c>
      <c r="L21" s="145"/>
      <c r="M21" s="397">
        <f aca="true" t="shared" si="7" ref="M21:M27">R21/1000</f>
        <v>0</v>
      </c>
      <c r="N21" s="146"/>
      <c r="O21" s="522"/>
      <c r="P21" s="522"/>
      <c r="Q21" s="522"/>
    </row>
    <row r="22" spans="1:17" s="25" customFormat="1" ht="12">
      <c r="A22" s="21"/>
      <c r="B22" s="31" t="s">
        <v>40</v>
      </c>
      <c r="C22" s="31"/>
      <c r="D22" s="31"/>
      <c r="E22" s="33">
        <v>20</v>
      </c>
      <c r="F22" s="130">
        <f t="shared" si="4"/>
        <v>5298000</v>
      </c>
      <c r="G22" s="97"/>
      <c r="H22" s="144">
        <v>4500000</v>
      </c>
      <c r="I22" s="145"/>
      <c r="J22" s="104">
        <v>798000</v>
      </c>
      <c r="K22" s="378"/>
      <c r="L22" s="145"/>
      <c r="M22" s="397">
        <f t="shared" si="7"/>
        <v>0</v>
      </c>
      <c r="N22" s="146">
        <v>8155948.21</v>
      </c>
      <c r="O22" s="522"/>
      <c r="P22" s="522"/>
      <c r="Q22" s="522"/>
    </row>
    <row r="23" spans="1:17" s="25" customFormat="1" ht="12">
      <c r="A23" s="21"/>
      <c r="B23" s="31" t="s">
        <v>42</v>
      </c>
      <c r="C23" s="31"/>
      <c r="D23" s="31"/>
      <c r="E23" s="33">
        <v>21</v>
      </c>
      <c r="F23" s="130">
        <f t="shared" si="4"/>
        <v>165512000</v>
      </c>
      <c r="G23" s="97"/>
      <c r="H23" s="144">
        <v>159646000</v>
      </c>
      <c r="I23" s="145"/>
      <c r="J23" s="104">
        <v>5866000</v>
      </c>
      <c r="K23" s="378"/>
      <c r="L23" s="145"/>
      <c r="M23" s="397">
        <f t="shared" si="7"/>
        <v>0</v>
      </c>
      <c r="N23" s="146">
        <v>168249091.96</v>
      </c>
      <c r="O23" s="522"/>
      <c r="P23" s="522"/>
      <c r="Q23" s="522"/>
    </row>
    <row r="24" spans="1:17" s="25" customFormat="1" ht="12">
      <c r="A24" s="21"/>
      <c r="B24" s="31" t="s">
        <v>44</v>
      </c>
      <c r="C24" s="31"/>
      <c r="D24" s="31"/>
      <c r="E24" s="33">
        <v>22</v>
      </c>
      <c r="F24" s="130">
        <f t="shared" si="4"/>
        <v>131236000</v>
      </c>
      <c r="G24" s="97"/>
      <c r="H24" s="144">
        <v>130000000</v>
      </c>
      <c r="I24" s="145"/>
      <c r="J24" s="104">
        <v>1236000</v>
      </c>
      <c r="K24" s="378"/>
      <c r="L24" s="145"/>
      <c r="M24" s="397">
        <f t="shared" si="7"/>
        <v>0</v>
      </c>
      <c r="N24" s="146">
        <v>120479845.35</v>
      </c>
      <c r="O24" s="522"/>
      <c r="P24" s="522"/>
      <c r="Q24" s="522"/>
    </row>
    <row r="25" spans="1:17" s="25" customFormat="1" ht="12">
      <c r="A25" s="21"/>
      <c r="B25" s="31" t="s">
        <v>45</v>
      </c>
      <c r="C25" s="31"/>
      <c r="D25" s="31"/>
      <c r="E25" s="33">
        <v>23</v>
      </c>
      <c r="F25" s="130">
        <f t="shared" si="4"/>
        <v>54665000</v>
      </c>
      <c r="G25" s="97"/>
      <c r="H25" s="144">
        <v>40000000</v>
      </c>
      <c r="I25" s="145"/>
      <c r="J25" s="104">
        <v>14665000</v>
      </c>
      <c r="K25" s="378"/>
      <c r="L25" s="145"/>
      <c r="M25" s="397">
        <f t="shared" si="7"/>
        <v>0</v>
      </c>
      <c r="N25" s="146">
        <v>35665164.36</v>
      </c>
      <c r="O25" s="522"/>
      <c r="P25" s="522"/>
      <c r="Q25" s="522"/>
    </row>
    <row r="26" spans="1:17" s="25" customFormat="1" ht="12">
      <c r="A26" s="21"/>
      <c r="B26" s="31" t="s">
        <v>47</v>
      </c>
      <c r="C26" s="31"/>
      <c r="D26" s="31"/>
      <c r="E26" s="33">
        <v>24</v>
      </c>
      <c r="F26" s="130">
        <f t="shared" si="4"/>
        <v>18148000</v>
      </c>
      <c r="G26" s="97"/>
      <c r="H26" s="144">
        <v>18000000</v>
      </c>
      <c r="I26" s="145"/>
      <c r="J26" s="104">
        <v>148000</v>
      </c>
      <c r="K26" s="378"/>
      <c r="L26" s="145"/>
      <c r="M26" s="397">
        <f t="shared" si="7"/>
        <v>0</v>
      </c>
      <c r="N26" s="146">
        <v>17040148.16</v>
      </c>
      <c r="O26" s="522"/>
      <c r="P26" s="522"/>
      <c r="Q26" s="522"/>
    </row>
    <row r="27" spans="1:17" s="25" customFormat="1" ht="12.75" thickBot="1">
      <c r="A27" s="21"/>
      <c r="B27" s="30" t="s">
        <v>49</v>
      </c>
      <c r="C27" s="30"/>
      <c r="D27" s="30"/>
      <c r="E27" s="28">
        <v>25</v>
      </c>
      <c r="F27" s="130">
        <f t="shared" si="4"/>
        <v>19000000</v>
      </c>
      <c r="G27" s="97"/>
      <c r="H27" s="147">
        <v>19000000</v>
      </c>
      <c r="I27" s="148"/>
      <c r="J27" s="148">
        <f>P27/1000</f>
        <v>0</v>
      </c>
      <c r="K27" s="379">
        <f>Q27/1000</f>
        <v>0</v>
      </c>
      <c r="L27" s="148"/>
      <c r="M27" s="398">
        <f t="shared" si="7"/>
        <v>0</v>
      </c>
      <c r="N27" s="146">
        <v>21176548.96</v>
      </c>
      <c r="O27" s="522"/>
      <c r="P27" s="522"/>
      <c r="Q27" s="522"/>
    </row>
    <row r="28" spans="1:14" ht="13.5" thickBot="1">
      <c r="A28" s="37" t="s">
        <v>51</v>
      </c>
      <c r="B28" s="38"/>
      <c r="C28" s="38"/>
      <c r="D28" s="38"/>
      <c r="E28" s="19">
        <v>26</v>
      </c>
      <c r="F28" s="127">
        <f>SUM(F29:F45)</f>
        <v>777229000</v>
      </c>
      <c r="G28" s="81">
        <f aca="true" t="shared" si="8" ref="G28:N28">SUM(G29:G45)</f>
        <v>0</v>
      </c>
      <c r="H28" s="82">
        <f t="shared" si="8"/>
        <v>734412000</v>
      </c>
      <c r="I28" s="83">
        <f t="shared" si="8"/>
        <v>18231000</v>
      </c>
      <c r="J28" s="83">
        <f t="shared" si="8"/>
        <v>23086000</v>
      </c>
      <c r="K28" s="381">
        <f t="shared" si="8"/>
        <v>0</v>
      </c>
      <c r="L28" s="83">
        <f t="shared" si="8"/>
        <v>0</v>
      </c>
      <c r="M28" s="82">
        <f t="shared" si="8"/>
        <v>1500000</v>
      </c>
      <c r="N28" s="84">
        <f t="shared" si="8"/>
        <v>754555933.23</v>
      </c>
    </row>
    <row r="29" spans="1:17" s="25" customFormat="1" ht="12">
      <c r="A29" s="21" t="s">
        <v>14</v>
      </c>
      <c r="B29" s="27" t="s">
        <v>52</v>
      </c>
      <c r="C29" s="27"/>
      <c r="D29" s="27"/>
      <c r="E29" s="28">
        <v>27</v>
      </c>
      <c r="F29" s="130">
        <f t="shared" si="4"/>
        <v>171464000</v>
      </c>
      <c r="G29" s="86"/>
      <c r="H29" s="87">
        <v>171464000</v>
      </c>
      <c r="I29" s="88"/>
      <c r="J29" s="88">
        <v>0</v>
      </c>
      <c r="K29" s="382">
        <v>0</v>
      </c>
      <c r="L29" s="88"/>
      <c r="M29" s="87">
        <v>0</v>
      </c>
      <c r="N29" s="89">
        <v>176317177</v>
      </c>
      <c r="O29" s="522">
        <v>171464</v>
      </c>
      <c r="P29" s="522">
        <f>H29/1000-Q29</f>
        <v>0</v>
      </c>
      <c r="Q29" s="522">
        <v>171464</v>
      </c>
    </row>
    <row r="30" spans="1:17" s="25" customFormat="1" ht="12">
      <c r="A30" s="21"/>
      <c r="B30" s="30" t="s">
        <v>28</v>
      </c>
      <c r="C30" s="30"/>
      <c r="D30" s="30"/>
      <c r="E30" s="28">
        <v>28</v>
      </c>
      <c r="F30" s="130">
        <f t="shared" si="4"/>
        <v>43000000</v>
      </c>
      <c r="G30" s="102"/>
      <c r="H30" s="103">
        <f>H16</f>
        <v>43000000</v>
      </c>
      <c r="I30" s="204"/>
      <c r="J30" s="104">
        <v>0</v>
      </c>
      <c r="K30" s="385">
        <v>0</v>
      </c>
      <c r="L30" s="104"/>
      <c r="M30" s="103">
        <v>0</v>
      </c>
      <c r="N30" s="105">
        <v>42323810</v>
      </c>
      <c r="O30" s="522"/>
      <c r="P30" s="522"/>
      <c r="Q30" s="522"/>
    </row>
    <row r="31" spans="1:17" s="25" customFormat="1" ht="12">
      <c r="A31" s="21"/>
      <c r="B31" s="30" t="s">
        <v>30</v>
      </c>
      <c r="C31" s="30"/>
      <c r="D31" s="30"/>
      <c r="E31" s="28">
        <v>29</v>
      </c>
      <c r="F31" s="130">
        <f t="shared" si="4"/>
        <v>1000000</v>
      </c>
      <c r="G31" s="102"/>
      <c r="H31" s="103">
        <f>H17</f>
        <v>1000000</v>
      </c>
      <c r="I31" s="104"/>
      <c r="J31" s="104">
        <v>0</v>
      </c>
      <c r="K31" s="385">
        <v>0</v>
      </c>
      <c r="L31" s="104"/>
      <c r="M31" s="103">
        <v>0</v>
      </c>
      <c r="N31" s="105">
        <v>995661</v>
      </c>
      <c r="O31" s="522"/>
      <c r="P31" s="522"/>
      <c r="Q31" s="522"/>
    </row>
    <row r="32" spans="1:17" s="25" customFormat="1" ht="12">
      <c r="A32" s="21"/>
      <c r="B32" s="31" t="s">
        <v>32</v>
      </c>
      <c r="C32" s="32"/>
      <c r="D32" s="32"/>
      <c r="E32" s="33">
        <v>30</v>
      </c>
      <c r="F32" s="130">
        <f t="shared" si="4"/>
        <v>5000000</v>
      </c>
      <c r="G32" s="102"/>
      <c r="H32" s="103">
        <f>H18</f>
        <v>5000000</v>
      </c>
      <c r="I32" s="104"/>
      <c r="J32" s="104">
        <v>0</v>
      </c>
      <c r="K32" s="385">
        <v>0</v>
      </c>
      <c r="L32" s="104"/>
      <c r="M32" s="103">
        <v>0</v>
      </c>
      <c r="N32" s="105">
        <v>9721000</v>
      </c>
      <c r="O32" s="522"/>
      <c r="P32" s="522">
        <f>H32/1000-Q32</f>
        <v>1000</v>
      </c>
      <c r="Q32" s="522">
        <v>4000</v>
      </c>
    </row>
    <row r="33" spans="1:17" s="25" customFormat="1" ht="12">
      <c r="A33" s="21"/>
      <c r="B33" s="31" t="s">
        <v>34</v>
      </c>
      <c r="C33" s="31"/>
      <c r="D33" s="31"/>
      <c r="E33" s="33">
        <v>31</v>
      </c>
      <c r="F33" s="130">
        <f t="shared" si="4"/>
        <v>2626000</v>
      </c>
      <c r="G33" s="102"/>
      <c r="H33" s="103">
        <f>H19</f>
        <v>2626000</v>
      </c>
      <c r="I33" s="104"/>
      <c r="J33" s="104">
        <v>0</v>
      </c>
      <c r="K33" s="385">
        <v>0</v>
      </c>
      <c r="L33" s="104"/>
      <c r="M33" s="103">
        <v>0</v>
      </c>
      <c r="N33" s="105">
        <v>3618613.05</v>
      </c>
      <c r="O33" s="522"/>
      <c r="P33" s="522">
        <f>H33/1000-Q33</f>
        <v>69</v>
      </c>
      <c r="Q33" s="522">
        <f>1583+974</f>
        <v>2557</v>
      </c>
    </row>
    <row r="34" spans="1:17" s="25" customFormat="1" ht="12">
      <c r="A34" s="21"/>
      <c r="B34" s="31" t="s">
        <v>54</v>
      </c>
      <c r="C34" s="31"/>
      <c r="D34" s="31"/>
      <c r="E34" s="33">
        <v>32</v>
      </c>
      <c r="F34" s="130">
        <f t="shared" si="4"/>
        <v>0</v>
      </c>
      <c r="G34" s="102"/>
      <c r="H34" s="103"/>
      <c r="I34" s="104"/>
      <c r="J34" s="104">
        <v>0</v>
      </c>
      <c r="K34" s="385">
        <v>0</v>
      </c>
      <c r="L34" s="104"/>
      <c r="M34" s="103">
        <v>0</v>
      </c>
      <c r="N34" s="105"/>
      <c r="O34" s="522"/>
      <c r="P34" s="522"/>
      <c r="Q34" s="522"/>
    </row>
    <row r="35" spans="1:17" s="25" customFormat="1" ht="12">
      <c r="A35" s="21"/>
      <c r="B35" s="31" t="s">
        <v>36</v>
      </c>
      <c r="C35" s="31"/>
      <c r="D35" s="31"/>
      <c r="E35" s="33">
        <v>33</v>
      </c>
      <c r="F35" s="130">
        <f t="shared" si="4"/>
        <v>3000000</v>
      </c>
      <c r="G35" s="102"/>
      <c r="H35" s="103">
        <f>H20</f>
        <v>3000000</v>
      </c>
      <c r="I35" s="104"/>
      <c r="J35" s="104">
        <v>0</v>
      </c>
      <c r="K35" s="385">
        <v>0</v>
      </c>
      <c r="L35" s="104"/>
      <c r="M35" s="103">
        <v>0</v>
      </c>
      <c r="N35" s="105">
        <v>585832.44</v>
      </c>
      <c r="O35" s="522"/>
      <c r="P35" s="522"/>
      <c r="Q35" s="522"/>
    </row>
    <row r="36" spans="1:17" s="25" customFormat="1" ht="12">
      <c r="A36" s="21"/>
      <c r="B36" s="31" t="s">
        <v>38</v>
      </c>
      <c r="C36" s="31"/>
      <c r="D36" s="31"/>
      <c r="E36" s="33">
        <v>34</v>
      </c>
      <c r="F36" s="130">
        <f t="shared" si="4"/>
        <v>0</v>
      </c>
      <c r="G36" s="102"/>
      <c r="H36" s="103">
        <f>H21</f>
        <v>0</v>
      </c>
      <c r="I36" s="104"/>
      <c r="J36" s="104">
        <v>0</v>
      </c>
      <c r="K36" s="385">
        <v>0</v>
      </c>
      <c r="L36" s="104"/>
      <c r="M36" s="103">
        <v>0</v>
      </c>
      <c r="N36" s="105"/>
      <c r="O36" s="522"/>
      <c r="P36" s="522"/>
      <c r="Q36" s="522"/>
    </row>
    <row r="37" spans="1:17" s="25" customFormat="1" ht="12">
      <c r="A37" s="21"/>
      <c r="B37" s="31" t="s">
        <v>56</v>
      </c>
      <c r="C37" s="31"/>
      <c r="D37" s="31"/>
      <c r="E37" s="33">
        <v>35</v>
      </c>
      <c r="F37" s="130">
        <f t="shared" si="4"/>
        <v>5298000</v>
      </c>
      <c r="G37" s="102"/>
      <c r="H37" s="103">
        <f>H22</f>
        <v>4500000</v>
      </c>
      <c r="I37" s="104"/>
      <c r="J37" s="104">
        <f>J22</f>
        <v>798000</v>
      </c>
      <c r="K37" s="385">
        <v>0</v>
      </c>
      <c r="L37" s="104"/>
      <c r="M37" s="103">
        <v>0</v>
      </c>
      <c r="N37" s="105">
        <v>8184020.6</v>
      </c>
      <c r="O37" s="522"/>
      <c r="P37" s="522"/>
      <c r="Q37" s="522"/>
    </row>
    <row r="38" spans="1:17" s="25" customFormat="1" ht="12">
      <c r="A38" s="21"/>
      <c r="B38" s="31" t="s">
        <v>57</v>
      </c>
      <c r="C38" s="31"/>
      <c r="D38" s="31"/>
      <c r="E38" s="33">
        <v>36</v>
      </c>
      <c r="F38" s="130">
        <f t="shared" si="4"/>
        <v>51176000</v>
      </c>
      <c r="G38" s="102"/>
      <c r="H38" s="103">
        <v>51176000</v>
      </c>
      <c r="I38" s="104"/>
      <c r="J38" s="104">
        <v>0</v>
      </c>
      <c r="K38" s="385">
        <v>0</v>
      </c>
      <c r="L38" s="104"/>
      <c r="M38" s="103">
        <v>0</v>
      </c>
      <c r="N38" s="105">
        <v>50477000</v>
      </c>
      <c r="O38" s="522"/>
      <c r="P38" s="522"/>
      <c r="Q38" s="522"/>
    </row>
    <row r="39" spans="1:17" s="25" customFormat="1" ht="12">
      <c r="A39" s="21"/>
      <c r="B39" s="31" t="s">
        <v>59</v>
      </c>
      <c r="C39" s="31"/>
      <c r="D39" s="31"/>
      <c r="E39" s="33">
        <v>37</v>
      </c>
      <c r="F39" s="130">
        <f t="shared" si="4"/>
        <v>165512000</v>
      </c>
      <c r="G39" s="102"/>
      <c r="H39" s="103">
        <f>H23</f>
        <v>159646000</v>
      </c>
      <c r="I39" s="104"/>
      <c r="J39" s="104">
        <f>J23</f>
        <v>5866000</v>
      </c>
      <c r="K39" s="385">
        <v>0</v>
      </c>
      <c r="L39" s="104"/>
      <c r="M39" s="103">
        <v>0</v>
      </c>
      <c r="N39" s="105">
        <v>168249091.96</v>
      </c>
      <c r="O39" s="522"/>
      <c r="P39" s="522"/>
      <c r="Q39" s="522"/>
    </row>
    <row r="40" spans="1:17" s="25" customFormat="1" ht="12">
      <c r="A40" s="21"/>
      <c r="B40" s="31" t="s">
        <v>60</v>
      </c>
      <c r="C40" s="31"/>
      <c r="D40" s="31"/>
      <c r="E40" s="33">
        <v>38</v>
      </c>
      <c r="F40" s="130">
        <f t="shared" si="4"/>
        <v>131236000</v>
      </c>
      <c r="G40" s="102"/>
      <c r="H40" s="103">
        <f>H24</f>
        <v>130000000</v>
      </c>
      <c r="I40" s="104"/>
      <c r="J40" s="104">
        <f>J24</f>
        <v>1236000</v>
      </c>
      <c r="K40" s="385">
        <v>0</v>
      </c>
      <c r="L40" s="104"/>
      <c r="M40" s="103">
        <v>0</v>
      </c>
      <c r="N40" s="105">
        <v>120479845.35</v>
      </c>
      <c r="O40" s="522"/>
      <c r="P40" s="522"/>
      <c r="Q40" s="522"/>
    </row>
    <row r="41" spans="1:17" s="25" customFormat="1" ht="12">
      <c r="A41" s="21"/>
      <c r="B41" s="31" t="s">
        <v>45</v>
      </c>
      <c r="C41" s="31"/>
      <c r="D41" s="31"/>
      <c r="E41" s="33">
        <v>39</v>
      </c>
      <c r="F41" s="130">
        <f t="shared" si="4"/>
        <v>54665000</v>
      </c>
      <c r="G41" s="102"/>
      <c r="H41" s="103">
        <f>H25</f>
        <v>40000000</v>
      </c>
      <c r="I41" s="104"/>
      <c r="J41" s="104">
        <f>J25</f>
        <v>14665000</v>
      </c>
      <c r="K41" s="385">
        <v>0</v>
      </c>
      <c r="L41" s="104"/>
      <c r="M41" s="103">
        <v>0</v>
      </c>
      <c r="N41" s="105">
        <v>35665164.36</v>
      </c>
      <c r="O41" s="522"/>
      <c r="P41" s="522"/>
      <c r="Q41" s="522"/>
    </row>
    <row r="42" spans="1:17" s="25" customFormat="1" ht="12">
      <c r="A42" s="21"/>
      <c r="B42" s="31" t="s">
        <v>61</v>
      </c>
      <c r="C42" s="31"/>
      <c r="D42" s="31"/>
      <c r="E42" s="33">
        <v>40</v>
      </c>
      <c r="F42" s="130">
        <f t="shared" si="4"/>
        <v>18148000</v>
      </c>
      <c r="G42" s="102"/>
      <c r="H42" s="103">
        <f>H26</f>
        <v>18000000</v>
      </c>
      <c r="I42" s="104"/>
      <c r="J42" s="104">
        <f>J26</f>
        <v>148000</v>
      </c>
      <c r="K42" s="385">
        <v>0</v>
      </c>
      <c r="L42" s="104"/>
      <c r="M42" s="103">
        <v>0</v>
      </c>
      <c r="N42" s="105">
        <v>17040148.16</v>
      </c>
      <c r="O42" s="522"/>
      <c r="P42" s="522"/>
      <c r="Q42" s="522"/>
    </row>
    <row r="43" spans="1:17" s="25" customFormat="1" ht="12">
      <c r="A43" s="21"/>
      <c r="B43" s="31" t="s">
        <v>62</v>
      </c>
      <c r="C43" s="31"/>
      <c r="D43" s="31"/>
      <c r="E43" s="33">
        <v>41</v>
      </c>
      <c r="F43" s="130">
        <f t="shared" si="4"/>
        <v>85373000</v>
      </c>
      <c r="G43" s="102"/>
      <c r="H43" s="103">
        <v>85000000</v>
      </c>
      <c r="I43" s="104"/>
      <c r="J43" s="104">
        <v>373000</v>
      </c>
      <c r="K43" s="385">
        <v>0</v>
      </c>
      <c r="L43" s="104"/>
      <c r="M43" s="103">
        <v>0</v>
      </c>
      <c r="N43" s="105">
        <v>83080211.29</v>
      </c>
      <c r="O43" s="522"/>
      <c r="P43" s="522"/>
      <c r="Q43" s="522"/>
    </row>
    <row r="44" spans="1:17" s="25" customFormat="1" ht="12">
      <c r="A44" s="21"/>
      <c r="B44" s="31" t="s">
        <v>63</v>
      </c>
      <c r="C44" s="31"/>
      <c r="D44" s="31"/>
      <c r="E44" s="33">
        <v>42</v>
      </c>
      <c r="F44" s="130">
        <f t="shared" si="4"/>
        <v>19731000</v>
      </c>
      <c r="G44" s="102"/>
      <c r="H44" s="106" t="s">
        <v>97</v>
      </c>
      <c r="I44" s="204">
        <f>I3</f>
        <v>18231000</v>
      </c>
      <c r="J44" s="104">
        <v>0</v>
      </c>
      <c r="K44" s="385"/>
      <c r="L44" s="426"/>
      <c r="M44" s="103">
        <v>1500000</v>
      </c>
      <c r="N44" s="105">
        <v>14815553.41</v>
      </c>
      <c r="O44" s="522"/>
      <c r="P44" s="522"/>
      <c r="Q44" s="522"/>
    </row>
    <row r="45" spans="1:17" s="25" customFormat="1" ht="12">
      <c r="A45" s="40"/>
      <c r="B45" s="41" t="s">
        <v>49</v>
      </c>
      <c r="C45" s="41"/>
      <c r="D45" s="41"/>
      <c r="E45" s="42">
        <v>43</v>
      </c>
      <c r="F45" s="131">
        <f t="shared" si="4"/>
        <v>20000000</v>
      </c>
      <c r="G45" s="108"/>
      <c r="H45" s="109">
        <v>20000000</v>
      </c>
      <c r="I45" s="110"/>
      <c r="J45" s="110">
        <v>0</v>
      </c>
      <c r="K45" s="386">
        <v>0</v>
      </c>
      <c r="L45" s="110"/>
      <c r="M45" s="109">
        <v>0</v>
      </c>
      <c r="N45" s="111">
        <v>23002804.61</v>
      </c>
      <c r="O45" s="522"/>
      <c r="P45" s="522"/>
      <c r="Q45" s="522"/>
    </row>
    <row r="46" spans="1:17" s="25" customFormat="1" ht="12.75" thickBot="1">
      <c r="A46" s="44" t="s">
        <v>65</v>
      </c>
      <c r="B46" s="45"/>
      <c r="C46" s="45"/>
      <c r="D46" s="45"/>
      <c r="E46" s="28">
        <v>44</v>
      </c>
      <c r="F46" s="114">
        <f>F29+F34+F38+F43+F44+F45-F4-F27</f>
        <v>1000000</v>
      </c>
      <c r="G46" s="113">
        <f>G29+G34+G38+G43+G44+G45+-G4-G27</f>
        <v>0</v>
      </c>
      <c r="H46" s="113">
        <f>H29+H34+H38+H43+H45-H4-H27</f>
        <v>1000000</v>
      </c>
      <c r="I46" s="113">
        <f>I29+I34+I38+I43+I44+I45-I4-I27</f>
        <v>0</v>
      </c>
      <c r="J46" s="113">
        <f>J29+J34+J38+J43+J44+J45-J4-J27</f>
        <v>0</v>
      </c>
      <c r="K46" s="113">
        <f>K29+K34+K38+K43+K44+K45-K4-K27</f>
        <v>0</v>
      </c>
      <c r="L46" s="399"/>
      <c r="M46" s="113">
        <f>M29+M34+M38+M43+M44+M45-M4-M27</f>
        <v>0</v>
      </c>
      <c r="N46" s="114">
        <f>N29+N34+N38+N43+N44+N45-N4-N27</f>
        <v>4971955.33000008</v>
      </c>
      <c r="O46" s="522"/>
      <c r="P46" s="522"/>
      <c r="Q46" s="522"/>
    </row>
    <row r="47" spans="1:14" ht="13.5" thickBot="1">
      <c r="A47" s="37" t="s">
        <v>66</v>
      </c>
      <c r="B47" s="38"/>
      <c r="C47" s="38"/>
      <c r="D47" s="38"/>
      <c r="E47" s="19">
        <v>45</v>
      </c>
      <c r="F47" s="127">
        <f>F28-F3</f>
        <v>1000000</v>
      </c>
      <c r="G47" s="81">
        <f aca="true" t="shared" si="9" ref="G47:N47">G28-G3</f>
        <v>0</v>
      </c>
      <c r="H47" s="82">
        <f t="shared" si="9"/>
        <v>1000000</v>
      </c>
      <c r="I47" s="83">
        <f t="shared" si="9"/>
        <v>0</v>
      </c>
      <c r="J47" s="83">
        <f t="shared" si="9"/>
        <v>0</v>
      </c>
      <c r="K47" s="381">
        <f t="shared" si="9"/>
        <v>0</v>
      </c>
      <c r="L47" s="83">
        <f t="shared" si="9"/>
        <v>0</v>
      </c>
      <c r="M47" s="82">
        <f t="shared" si="9"/>
        <v>0</v>
      </c>
      <c r="N47" s="84">
        <f t="shared" si="9"/>
        <v>5000027.720000029</v>
      </c>
    </row>
    <row r="48" spans="1:9" ht="12.75">
      <c r="A48" s="47" t="s">
        <v>67</v>
      </c>
      <c r="B48" s="47"/>
      <c r="C48" s="47"/>
      <c r="D48" s="151">
        <v>39881</v>
      </c>
      <c r="E48" s="48"/>
      <c r="I48" s="425">
        <v>51895445</v>
      </c>
    </row>
    <row r="49" spans="5:17" s="47" customFormat="1" ht="12">
      <c r="E49" s="48"/>
      <c r="F49" s="25"/>
      <c r="H49" s="59"/>
      <c r="I49" s="59"/>
      <c r="J49" s="59"/>
      <c r="K49" s="59"/>
      <c r="L49" s="59"/>
      <c r="M49" s="59"/>
      <c r="N49" s="59"/>
      <c r="O49" s="522"/>
      <c r="P49" s="522"/>
      <c r="Q49" s="522"/>
    </row>
    <row r="50" spans="1:17" s="47" customFormat="1" ht="12">
      <c r="A50" s="51" t="s">
        <v>98</v>
      </c>
      <c r="E50" s="48"/>
      <c r="F50" s="133"/>
      <c r="H50" s="59"/>
      <c r="J50" s="200">
        <v>2000000</v>
      </c>
      <c r="M50" s="59"/>
      <c r="N50" s="59"/>
      <c r="O50" s="522"/>
      <c r="P50" s="522"/>
      <c r="Q50" s="522"/>
    </row>
    <row r="51" spans="1:17" s="47" customFormat="1" ht="12">
      <c r="A51" s="51"/>
      <c r="B51" s="51"/>
      <c r="C51" s="51"/>
      <c r="D51" s="51"/>
      <c r="E51" s="48"/>
      <c r="F51" s="25"/>
      <c r="H51" s="59"/>
      <c r="I51" s="59"/>
      <c r="J51" s="59"/>
      <c r="K51" s="59"/>
      <c r="L51" s="59"/>
      <c r="M51" s="59"/>
      <c r="N51" s="59"/>
      <c r="O51" s="522"/>
      <c r="P51" s="522"/>
      <c r="Q51" s="522"/>
    </row>
    <row r="52" spans="1:17" s="59" customFormat="1" ht="12">
      <c r="A52" s="51"/>
      <c r="B52" s="51"/>
      <c r="C52" s="51"/>
      <c r="D52" s="51"/>
      <c r="E52" s="57"/>
      <c r="F52" s="25"/>
      <c r="O52" s="522"/>
      <c r="P52" s="522"/>
      <c r="Q52" s="522"/>
    </row>
    <row r="53" spans="1:17" s="59" customFormat="1" ht="12">
      <c r="A53" s="51"/>
      <c r="B53" s="51"/>
      <c r="C53" s="51"/>
      <c r="D53" s="51"/>
      <c r="E53" s="57"/>
      <c r="F53" s="25"/>
      <c r="O53" s="522"/>
      <c r="P53" s="522"/>
      <c r="Q53" s="522"/>
    </row>
    <row r="54" spans="1:17" s="59" customFormat="1" ht="12">
      <c r="A54" s="51"/>
      <c r="B54" s="51"/>
      <c r="C54" s="51"/>
      <c r="D54" s="51"/>
      <c r="E54" s="57"/>
      <c r="F54" s="25"/>
      <c r="O54" s="522"/>
      <c r="P54" s="522"/>
      <c r="Q54" s="522"/>
    </row>
  </sheetData>
  <mergeCells count="3">
    <mergeCell ref="A1:D1"/>
    <mergeCell ref="I1:M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Foukalova</cp:lastModifiedBy>
  <cp:lastPrinted>2009-03-14T16:56:28Z</cp:lastPrinted>
  <dcterms:created xsi:type="dcterms:W3CDTF">2007-02-17T11:42:05Z</dcterms:created>
  <dcterms:modified xsi:type="dcterms:W3CDTF">2009-04-17T13:18:57Z</dcterms:modified>
  <cp:category/>
  <cp:version/>
  <cp:contentType/>
  <cp:contentStatus/>
</cp:coreProperties>
</file>