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65416" windowWidth="15240" windowHeight="11640" tabRatio="599" activeTab="6"/>
  </bookViews>
  <sheets>
    <sheet name="str1-3" sheetId="1" r:id="rId1"/>
    <sheet name="str4" sheetId="2" r:id="rId2"/>
    <sheet name="od str 5" sheetId="3" r:id="rId3"/>
    <sheet name="příl.1-CP" sheetId="4" r:id="rId4"/>
    <sheet name="příl.2-osnova rozpočtu" sheetId="5" r:id="rId5"/>
    <sheet name="příl.3-opravy" sheetId="6" r:id="rId6"/>
    <sheet name="příl.4-odhad odpisu09" sheetId="7" r:id="rId7"/>
  </sheets>
  <definedNames>
    <definedName name="_xlnm.Print_Titles" localSheetId="6">'příl.4-odhad odpisu09'!$A:$B</definedName>
    <definedName name="_xlnm.Print_Area" localSheetId="1">'str4'!$A$1:$Y$42</definedName>
  </definedNames>
  <calcPr fullCalcOnLoad="1"/>
</workbook>
</file>

<file path=xl/sharedStrings.xml><?xml version="1.0" encoding="utf-8"?>
<sst xmlns="http://schemas.openxmlformats.org/spreadsheetml/2006/main" count="811" uniqueCount="535">
  <si>
    <t xml:space="preserve">   vklad NEI pro Program</t>
  </si>
  <si>
    <t>Příspěvek 2. Plán rozdělení prostředků na celouniverzitní aktivity a režijní pracoviště</t>
  </si>
  <si>
    <t>Příspěvek celkem</t>
  </si>
  <si>
    <t>Příspěvek 2. Celkem</t>
  </si>
  <si>
    <t>SUKB</t>
  </si>
  <si>
    <t>(v tis.Kč)</t>
  </si>
  <si>
    <t>index</t>
  </si>
  <si>
    <t>ř.</t>
  </si>
  <si>
    <t xml:space="preserve">   Činnost</t>
  </si>
  <si>
    <t xml:space="preserve">   C e l k e m</t>
  </si>
  <si>
    <t>Fakulta</t>
  </si>
  <si>
    <t>LF</t>
  </si>
  <si>
    <t>FF</t>
  </si>
  <si>
    <t>PrF</t>
  </si>
  <si>
    <t>FSS</t>
  </si>
  <si>
    <t>PřF</t>
  </si>
  <si>
    <t>FI</t>
  </si>
  <si>
    <t>PdF</t>
  </si>
  <si>
    <t>FSpS</t>
  </si>
  <si>
    <t>ESF</t>
  </si>
  <si>
    <t>MU</t>
  </si>
  <si>
    <t>celkem</t>
  </si>
  <si>
    <t>ÚVT</t>
  </si>
  <si>
    <t>RMU</t>
  </si>
  <si>
    <t>IV. Přínos fakult celkem</t>
  </si>
  <si>
    <t>vzděl.č.</t>
  </si>
  <si>
    <t>ostatní</t>
  </si>
  <si>
    <t>váha kritéria</t>
  </si>
  <si>
    <t>Přínos</t>
  </si>
  <si>
    <t>na studijní</t>
  </si>
  <si>
    <t>programy</t>
  </si>
  <si>
    <t>obory</t>
  </si>
  <si>
    <t>na</t>
  </si>
  <si>
    <t>kredity</t>
  </si>
  <si>
    <t>V. Financování celouniverzitních aktivit a režijních pracovišť</t>
  </si>
  <si>
    <t>H</t>
  </si>
  <si>
    <t>a</t>
  </si>
  <si>
    <t>D</t>
  </si>
  <si>
    <t>přep.</t>
  </si>
  <si>
    <t>podíl</t>
  </si>
  <si>
    <t>přínos</t>
  </si>
  <si>
    <t>počet</t>
  </si>
  <si>
    <t>plocha</t>
  </si>
  <si>
    <t>ze vzděl.</t>
  </si>
  <si>
    <t>dotace</t>
  </si>
  <si>
    <t>stud.</t>
  </si>
  <si>
    <t>zam.</t>
  </si>
  <si>
    <t>činnosti</t>
  </si>
  <si>
    <t>výzkum</t>
  </si>
  <si>
    <t>kap.</t>
  </si>
  <si>
    <t>plochy</t>
  </si>
  <si>
    <t>odpisy</t>
  </si>
  <si>
    <t>CJV</t>
  </si>
  <si>
    <t>CZS</t>
  </si>
  <si>
    <t>plán</t>
  </si>
  <si>
    <t>č.</t>
  </si>
  <si>
    <t>akce</t>
  </si>
  <si>
    <t xml:space="preserve"> celkem účtováno přes rektorát</t>
  </si>
  <si>
    <t xml:space="preserve"> celkem účtováno přes FI</t>
  </si>
  <si>
    <t>81 - SKM</t>
  </si>
  <si>
    <t>96 - CJV</t>
  </si>
  <si>
    <t>97 - CZS</t>
  </si>
  <si>
    <t>z toho</t>
  </si>
  <si>
    <t>bez CA</t>
  </si>
  <si>
    <t>RR</t>
  </si>
  <si>
    <t>č.ř.</t>
  </si>
  <si>
    <t>MU celkem</t>
  </si>
  <si>
    <t>činnost</t>
  </si>
  <si>
    <t xml:space="preserve">Hospodářské </t>
  </si>
  <si>
    <t>středisko</t>
  </si>
  <si>
    <t>fakulty celkem</t>
  </si>
  <si>
    <t>Seznam příloh:</t>
  </si>
  <si>
    <t xml:space="preserve">příloha 1 - </t>
  </si>
  <si>
    <t xml:space="preserve">příloha 2 -  </t>
  </si>
  <si>
    <t>Plán</t>
  </si>
  <si>
    <t>Upravený</t>
  </si>
  <si>
    <t>Skutečnost</t>
  </si>
  <si>
    <t xml:space="preserve">   z toho:</t>
  </si>
  <si>
    <t xml:space="preserve">v tom - </t>
  </si>
  <si>
    <t>mzdy</t>
  </si>
  <si>
    <t>OON</t>
  </si>
  <si>
    <t>energie</t>
  </si>
  <si>
    <t>opravy, údržba</t>
  </si>
  <si>
    <t>materiál</t>
  </si>
  <si>
    <t>služby</t>
  </si>
  <si>
    <t>cestovné</t>
  </si>
  <si>
    <t>stipendia</t>
  </si>
  <si>
    <t>C-doktorská stipendia</t>
  </si>
  <si>
    <t>112*</t>
  </si>
  <si>
    <t>D-zahr.st.,CEEPUS,AKTION,Socrates</t>
  </si>
  <si>
    <t>113*</t>
  </si>
  <si>
    <t>F-vzdělávací projekty, I-rozvojové programy, J,M,H,E</t>
  </si>
  <si>
    <t>G-FRVŠ</t>
  </si>
  <si>
    <t>116*</t>
  </si>
  <si>
    <t>Ostatní dotace ze SR a od úz.celků bez VaV</t>
  </si>
  <si>
    <t>151*,161*</t>
  </si>
  <si>
    <t>Výzkumné záměry</t>
  </si>
  <si>
    <t>Projekty VaV ze SR a od úz.celků</t>
  </si>
  <si>
    <t>Doplňková činnost</t>
  </si>
  <si>
    <t>8*</t>
  </si>
  <si>
    <t>111*</t>
  </si>
  <si>
    <t>Čerpání fondů</t>
  </si>
  <si>
    <t>4*</t>
  </si>
  <si>
    <t>na vzděl.č.</t>
  </si>
  <si>
    <t>z toho vzdělávací č.</t>
  </si>
  <si>
    <t>přep.poč.</t>
  </si>
  <si>
    <t>koef.</t>
  </si>
  <si>
    <t>na V+V</t>
  </si>
  <si>
    <t>profesorů</t>
  </si>
  <si>
    <t>docentů</t>
  </si>
  <si>
    <t>ak.prac.</t>
  </si>
  <si>
    <t>abs.Mgr.</t>
  </si>
  <si>
    <t>stud.Ph.D.</t>
  </si>
  <si>
    <t>úspěš.</t>
  </si>
  <si>
    <t>tis. Kč</t>
  </si>
  <si>
    <t>CEP,CEZ</t>
  </si>
  <si>
    <t>VaV</t>
  </si>
  <si>
    <t>Ii</t>
  </si>
  <si>
    <t>P</t>
  </si>
  <si>
    <t>U</t>
  </si>
  <si>
    <t>A</t>
  </si>
  <si>
    <t>S</t>
  </si>
  <si>
    <t>Ki</t>
  </si>
  <si>
    <t>s</t>
  </si>
  <si>
    <t>c</t>
  </si>
  <si>
    <t>Qr</t>
  </si>
  <si>
    <t>Qr(vztaž)</t>
  </si>
  <si>
    <t>Qm</t>
  </si>
  <si>
    <t>Cesnet - poplatky</t>
  </si>
  <si>
    <t>dotace na</t>
  </si>
  <si>
    <t>na MU</t>
  </si>
  <si>
    <t>Podíl</t>
  </si>
  <si>
    <t>na spec.</t>
  </si>
  <si>
    <t>Celkem MU</t>
  </si>
  <si>
    <t>spec.výzk.</t>
  </si>
  <si>
    <t>spec.výzkum</t>
  </si>
  <si>
    <t>Přínos na</t>
  </si>
  <si>
    <t>specif.v</t>
  </si>
  <si>
    <t>na specif.</t>
  </si>
  <si>
    <t>odpis</t>
  </si>
  <si>
    <t>na tvorbě</t>
  </si>
  <si>
    <t>odpisů</t>
  </si>
  <si>
    <t>Ostatní</t>
  </si>
  <si>
    <t>Koeficient</t>
  </si>
  <si>
    <t>SKM</t>
  </si>
  <si>
    <t>zůstatek</t>
  </si>
  <si>
    <t>HS</t>
  </si>
  <si>
    <t>program</t>
  </si>
  <si>
    <t>94 - VMU</t>
  </si>
  <si>
    <t>Poříčí 31</t>
  </si>
  <si>
    <t xml:space="preserve">příloha 3 -  </t>
  </si>
  <si>
    <t>Podíl na</t>
  </si>
  <si>
    <t>přínosu</t>
  </si>
  <si>
    <t>na ploše</t>
  </si>
  <si>
    <t>příspěvek</t>
  </si>
  <si>
    <t>Fak. celk.</t>
  </si>
  <si>
    <t>G2004</t>
  </si>
  <si>
    <t>nedot.</t>
  </si>
  <si>
    <t>Celkem</t>
  </si>
  <si>
    <t>Odp ND</t>
  </si>
  <si>
    <t>Odp D</t>
  </si>
  <si>
    <t>Odp RS</t>
  </si>
  <si>
    <t>Vkl NEI</t>
  </si>
  <si>
    <t>RCA</t>
  </si>
  <si>
    <t>RS</t>
  </si>
  <si>
    <t>Přísp 1</t>
  </si>
  <si>
    <t>Přísp 2</t>
  </si>
  <si>
    <t>dot.</t>
  </si>
  <si>
    <t>snížené</t>
  </si>
  <si>
    <t>vklad</t>
  </si>
  <si>
    <t>rež. souč.</t>
  </si>
  <si>
    <r>
      <t>152*,153*,157*,159*,167*,169*,</t>
    </r>
    <r>
      <rPr>
        <sz val="8"/>
        <color indexed="10"/>
        <rFont val="Arial CE"/>
        <family val="0"/>
      </rPr>
      <t>19*</t>
    </r>
    <r>
      <rPr>
        <sz val="8"/>
        <rFont val="Arial CE"/>
        <family val="2"/>
      </rPr>
      <t>,257*,259*,267*,269*</t>
    </r>
  </si>
  <si>
    <t>Schváleno v AS fakulty dne:</t>
  </si>
  <si>
    <t>Podpis:</t>
  </si>
  <si>
    <t>82 - Správa UKB</t>
  </si>
  <si>
    <t>99 - RMU</t>
  </si>
  <si>
    <t>NIV pro Program 233 330</t>
  </si>
  <si>
    <t xml:space="preserve">   Podprogram 233 333 - reko (Joštova, Kotlářská)</t>
  </si>
  <si>
    <t>CP2 Centralizované aktivity MU</t>
  </si>
  <si>
    <t>energetický management</t>
  </si>
  <si>
    <t>údržba areálu UKB (rozvoj.území Bohunice)</t>
  </si>
  <si>
    <t>audit vč.účet. a daň.poradenství, služby INTRASTAT</t>
  </si>
  <si>
    <t>vstupní a výst.prohlídky zaměstnanců MU</t>
  </si>
  <si>
    <t>poplatky, spojené s členstvím MU v zahr.org.+RVŠ</t>
  </si>
  <si>
    <t>provozní náklady ILBIT - do nastěhování fakult  (4 437 tis./rok)</t>
  </si>
  <si>
    <t>xxx</t>
  </si>
  <si>
    <t xml:space="preserve"> celkem nové náklady - účtováno přes ÚVT</t>
  </si>
  <si>
    <t>součet CP1 + CP2 + CP3</t>
  </si>
  <si>
    <t>bez</t>
  </si>
  <si>
    <t>84 - SPSSN</t>
  </si>
  <si>
    <t>dotační</t>
  </si>
  <si>
    <t>nedotační</t>
  </si>
  <si>
    <t>SPSSN</t>
  </si>
  <si>
    <t>UCT</t>
  </si>
  <si>
    <t>odvod</t>
  </si>
  <si>
    <t>na rozvoj</t>
  </si>
  <si>
    <t xml:space="preserve">odvoz </t>
  </si>
  <si>
    <t>na provoz</t>
  </si>
  <si>
    <t>přinos</t>
  </si>
  <si>
    <t xml:space="preserve">přínos </t>
  </si>
  <si>
    <t>rozdělení</t>
  </si>
  <si>
    <t>83 - UCT</t>
  </si>
  <si>
    <r>
      <t xml:space="preserve">   financování nedotačních odpisů fakult </t>
    </r>
    <r>
      <rPr>
        <sz val="9"/>
        <rFont val="Arial CE"/>
        <family val="0"/>
      </rPr>
      <t>(odpisy majetku, který nebyl pořízen z dotace)</t>
    </r>
  </si>
  <si>
    <t xml:space="preserve">   financování nedotačních odpisů režijních pracovišť</t>
  </si>
  <si>
    <t>výměna NEI/INV</t>
  </si>
  <si>
    <t>CP2</t>
  </si>
  <si>
    <t>CP3 (RR)</t>
  </si>
  <si>
    <t>CP1</t>
  </si>
  <si>
    <t xml:space="preserve">RMU </t>
  </si>
  <si>
    <t>režijní prac.(ř.52-61)</t>
  </si>
  <si>
    <t>příspěvek 2</t>
  </si>
  <si>
    <t>přísp. 1</t>
  </si>
  <si>
    <t>přísp. 2</t>
  </si>
  <si>
    <t xml:space="preserve">pojištění zahr.cest </t>
  </si>
  <si>
    <t>Dotační odpisy MU (výměna NIV/INV na Program 233 330)</t>
  </si>
  <si>
    <t>Financování odpisů režijních součástí (nedotačních)</t>
  </si>
  <si>
    <t xml:space="preserve">92 - ÚVT </t>
  </si>
  <si>
    <t>pojištění majetku MU a studentů</t>
  </si>
  <si>
    <t>Program 233 332 (rež.nákl.prac.UKB), 2006 převod do rozp.RMU</t>
  </si>
  <si>
    <t>interní vzdělávání</t>
  </si>
  <si>
    <t>právní poradenství</t>
  </si>
  <si>
    <t xml:space="preserve">znalecké posudky </t>
  </si>
  <si>
    <t>www stránky MU (překlady,digitalizace ...)</t>
  </si>
  <si>
    <t>ediční činnost</t>
  </si>
  <si>
    <t>Universitas</t>
  </si>
  <si>
    <t>pěvecký sbor MU</t>
  </si>
  <si>
    <t>nájem Řečkovice</t>
  </si>
  <si>
    <t>daň z nemovitostí</t>
  </si>
  <si>
    <t>věcná břemena</t>
  </si>
  <si>
    <t>obnova vybavení CPS</t>
  </si>
  <si>
    <t>všeobecná tělesná výchova</t>
  </si>
  <si>
    <t>pronájmy pro KSA</t>
  </si>
  <si>
    <t xml:space="preserve"> celkem účtováno přes FSpS</t>
  </si>
  <si>
    <t>výuka jazyků</t>
  </si>
  <si>
    <t>celkem účtováno přes CJV</t>
  </si>
  <si>
    <r>
      <t xml:space="preserve">CP1  Finanční činnosti </t>
    </r>
    <r>
      <rPr>
        <sz val="9"/>
        <rFont val="Arial CE"/>
        <family val="2"/>
      </rPr>
      <t>(ř. 1+2+3+4)</t>
    </r>
  </si>
  <si>
    <r>
      <t xml:space="preserve">nájem Údolní (bez tělocvičny) </t>
    </r>
    <r>
      <rPr>
        <sz val="9"/>
        <rFont val="Arial CE"/>
        <family val="0"/>
      </rPr>
      <t>+ pozemek nám.Míru</t>
    </r>
  </si>
  <si>
    <t xml:space="preserve">I. Normativní prostředky z MŠMT </t>
  </si>
  <si>
    <t xml:space="preserve">   dotace na specifický výzkum</t>
  </si>
  <si>
    <t xml:space="preserve">   příspěvek na vzdělávací činnost</t>
  </si>
  <si>
    <t>převod</t>
  </si>
  <si>
    <t xml:space="preserve">plán </t>
  </si>
  <si>
    <t>do FPP</t>
  </si>
  <si>
    <t xml:space="preserve">  na Program</t>
  </si>
  <si>
    <t xml:space="preserve">  na ostatní akce</t>
  </si>
  <si>
    <t xml:space="preserve">Financování nedotačních odpisů fakult </t>
  </si>
  <si>
    <t>85 - IBA</t>
  </si>
  <si>
    <t xml:space="preserve">   Původní plán na podprogram 233 332 - UKB</t>
  </si>
  <si>
    <t xml:space="preserve">internacionalizace MU  </t>
  </si>
  <si>
    <t>jazykové kurzy</t>
  </si>
  <si>
    <t xml:space="preserve">databáze absolventů </t>
  </si>
  <si>
    <t xml:space="preserve">U3V </t>
  </si>
  <si>
    <t xml:space="preserve">Poradenské centrum </t>
  </si>
  <si>
    <t>studentské projekty (program rektora)</t>
  </si>
  <si>
    <t xml:space="preserve">nájem Tomešova </t>
  </si>
  <si>
    <t xml:space="preserve">       úhrada reko formou nájemného (čas.rozlišeno)</t>
  </si>
  <si>
    <t>stěhování do UKB - LF</t>
  </si>
  <si>
    <t xml:space="preserve">stěhování do UKB - PřF </t>
  </si>
  <si>
    <t xml:space="preserve">rozvoj IS MU </t>
  </si>
  <si>
    <t xml:space="preserve">počítačové studovny </t>
  </si>
  <si>
    <t>nájem Šumavská</t>
  </si>
  <si>
    <t xml:space="preserve"> celkem účtováno přes SPSSN</t>
  </si>
  <si>
    <t>CP4 - režijní pracoviště</t>
  </si>
  <si>
    <t>SKM (81)</t>
  </si>
  <si>
    <t>SUKB (82)</t>
  </si>
  <si>
    <t>UCT (83)</t>
  </si>
  <si>
    <t>SPSSN (84)</t>
  </si>
  <si>
    <t>IBA (85)</t>
  </si>
  <si>
    <t>ÚVT (92)</t>
  </si>
  <si>
    <t>CZS (97)</t>
  </si>
  <si>
    <t>RMU (99)</t>
  </si>
  <si>
    <t>CP1 + CP2 + CP3+ CP4</t>
  </si>
  <si>
    <t>IBA</t>
  </si>
  <si>
    <t>z toho fak.</t>
  </si>
  <si>
    <t>Zpracovala: Foukalová</t>
  </si>
  <si>
    <t>provozní pasport (technologický pasport budov )</t>
  </si>
  <si>
    <t>časopis muni.cz vč.fotobanky</t>
  </si>
  <si>
    <t>veletrhy zahraniční</t>
  </si>
  <si>
    <t>CP4  režijní pracoviště celkem</t>
  </si>
  <si>
    <r>
      <t>CP3   rezerva rektora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(1% z příspěvku na ukazatel A,max.16 mil.)</t>
    </r>
  </si>
  <si>
    <r>
      <t xml:space="preserve">rezerva </t>
    </r>
    <r>
      <rPr>
        <sz val="8"/>
        <rFont val="Arial CE"/>
        <family val="0"/>
      </rPr>
      <t>(1% z příspěvku na ukazatel A, max.16 mil.)</t>
    </r>
  </si>
  <si>
    <t>Převody z fondů/použití fondů</t>
  </si>
  <si>
    <t>fondů</t>
  </si>
  <si>
    <t>FPP</t>
  </si>
  <si>
    <t>FÚUP</t>
  </si>
  <si>
    <t>FO</t>
  </si>
  <si>
    <t>Fstip</t>
  </si>
  <si>
    <t>Náklady celkem (ř.2+14až25)</t>
  </si>
  <si>
    <t xml:space="preserve"> A-vzděl.č.,specif.VaV,SKM,vlastní,fondy:</t>
  </si>
  <si>
    <t>115*,118*,114*</t>
  </si>
  <si>
    <t>13* bez 139*,14*</t>
  </si>
  <si>
    <t>OPRLZ, strukturální fondy aj.proj.spoluf.EU</t>
  </si>
  <si>
    <t>119*, 139*</t>
  </si>
  <si>
    <t xml:space="preserve">Účelové příspěvky  na VaV </t>
  </si>
  <si>
    <t>Projekty VaV z dotací ze zahr.</t>
  </si>
  <si>
    <t>261*</t>
  </si>
  <si>
    <t>251*</t>
  </si>
  <si>
    <t>Výnosy celkem (ř.27 až 43)</t>
  </si>
  <si>
    <t>A-příspěvek na vzdělávací činnost</t>
  </si>
  <si>
    <t>Dotace na SKM, přísp.na ubytovací a soc.stip.</t>
  </si>
  <si>
    <t>12*, 117*</t>
  </si>
  <si>
    <t>Účelové příspěvky bez VaV</t>
  </si>
  <si>
    <t xml:space="preserve">VaV - dotace na specif. výzkum </t>
  </si>
  <si>
    <t>VaV - Výzkumné záměry</t>
  </si>
  <si>
    <t>VaV - ze SR a od úz.celků</t>
  </si>
  <si>
    <t>Vlastní zdroje (hl.č.za úplatu)</t>
  </si>
  <si>
    <t>Hospodářský výsledek dílčí (ř.27+32+36+41+42+43-2-25)</t>
  </si>
  <si>
    <t>Hospodářský výsledek (ř.26-1)</t>
  </si>
  <si>
    <t>Komentář:</t>
  </si>
  <si>
    <t>Výměnu NEI příspěvku za příspěvek na kapitálové výdaje plánujte v nákladech do ř.13 a plánovanou částku uveďte zde:</t>
  </si>
  <si>
    <t>Příspěvek na nedotační odpisy plánujte ve výnosech na ř. 27 (výnos bude součástí rozpisu rozdělení příspěvku na HS), náklad je součástí celkových nákladů na účetní odpisy na ř.11)</t>
  </si>
  <si>
    <t>Prostředky získané ze SR jako spolupříjemci (partneři) dotačních projektů plánujte - projekty VaV na ř. 24 a 40, ostatní (většinou projekty spolufinancované EU) na ř. 20 a 35</t>
  </si>
  <si>
    <r>
      <t xml:space="preserve">   dotační odpisy MU </t>
    </r>
    <r>
      <rPr>
        <sz val="8"/>
        <rFont val="Arial CE"/>
        <family val="0"/>
      </rPr>
      <t>(výměna NIV příspěvku za příspěvek na kapitálové výdaje na Program 233 330)</t>
    </r>
  </si>
  <si>
    <t xml:space="preserve">   centralizované aktivity (CP2 přílohy 1)</t>
  </si>
  <si>
    <r>
      <t xml:space="preserve">   rezerva rektora - RR </t>
    </r>
    <r>
      <rPr>
        <sz val="8"/>
        <rFont val="Arial CE"/>
        <family val="0"/>
      </rPr>
      <t>(1% z přínosu na vzdělávací činnost, max. 16 mil., CP3 přílohy 1)</t>
    </r>
  </si>
  <si>
    <r>
      <t xml:space="preserve">Příspěvek 1. Celkem </t>
    </r>
    <r>
      <rPr>
        <sz val="10"/>
        <rFont val="Arial CE"/>
        <family val="0"/>
      </rPr>
      <t>(CP 1 přílohy 1)</t>
    </r>
  </si>
  <si>
    <t xml:space="preserve">   součet CA (CP1+CP2+CP3 přílohy 1)</t>
  </si>
  <si>
    <r>
      <t xml:space="preserve">   režijní pracoviště ze vzděl.č.</t>
    </r>
    <r>
      <rPr>
        <sz val="9"/>
        <rFont val="Arial CE"/>
        <family val="0"/>
      </rPr>
      <t xml:space="preserve"> (CP4 přílohy 1)</t>
    </r>
  </si>
  <si>
    <t xml:space="preserve">   přínos na vzdělavací č. a nespec.výzkum celkem (ř.3)</t>
  </si>
  <si>
    <t xml:space="preserve">   Příspěvek. Celkem (ř.9+ř.14)</t>
  </si>
  <si>
    <t xml:space="preserve">   K rozdělení fakultám (ř.15-ř.16)</t>
  </si>
  <si>
    <t>celk.</t>
  </si>
  <si>
    <t xml:space="preserve">rozdíl </t>
  </si>
  <si>
    <t>po odpoč.</t>
  </si>
  <si>
    <t>přísp1</t>
  </si>
  <si>
    <t>CP</t>
  </si>
  <si>
    <t>k.součet</t>
  </si>
  <si>
    <t>(CP1)</t>
  </si>
  <si>
    <t>bez dotace na odpisy fak.</t>
  </si>
  <si>
    <t>změna výp.odvodu</t>
  </si>
  <si>
    <t>rozpis</t>
  </si>
  <si>
    <t>název akce</t>
  </si>
  <si>
    <t>místo</t>
  </si>
  <si>
    <t>Veveří 70</t>
  </si>
  <si>
    <t xml:space="preserve">FF </t>
  </si>
  <si>
    <t>Tvrdého 12</t>
  </si>
  <si>
    <t xml:space="preserve">příloha 4 -  </t>
  </si>
  <si>
    <t>rezerva</t>
  </si>
  <si>
    <t xml:space="preserve">Příspěvek do centralizovaných zdrojů celkem </t>
  </si>
  <si>
    <t xml:space="preserve">Účelové příspěvky bez VaV </t>
  </si>
  <si>
    <t xml:space="preserve">Účelové příspěvky na VaV </t>
  </si>
  <si>
    <r>
      <t xml:space="preserve">rež.prac. </t>
    </r>
    <r>
      <rPr>
        <sz val="9"/>
        <rFont val="Arial CE"/>
        <family val="0"/>
      </rPr>
      <t>bez CA (CP4)</t>
    </r>
  </si>
  <si>
    <t xml:space="preserve">CA </t>
  </si>
  <si>
    <t>(CP2 až 4)</t>
  </si>
  <si>
    <t>přiděleno</t>
  </si>
  <si>
    <t>odvody</t>
  </si>
  <si>
    <t>Náklady na dotační odpisy plánujte na ř. 11, odpovídající částku účtovanou dle vyhl.504 do výnosů plánujte na ř. 41.</t>
  </si>
  <si>
    <t>rok 2008</t>
  </si>
  <si>
    <t>r o k   2 0 0 8</t>
  </si>
  <si>
    <t>Vinohrady 100</t>
  </si>
  <si>
    <t>Grohova 7</t>
  </si>
  <si>
    <t>Lipová</t>
  </si>
  <si>
    <t>součet</t>
  </si>
  <si>
    <t>Centrum pro radiační,chem.a biol.bezpečnost</t>
  </si>
  <si>
    <t>výroční zprávy</t>
  </si>
  <si>
    <t>DVD prezentace MU</t>
  </si>
  <si>
    <t>bydleni.muni.cz</t>
  </si>
  <si>
    <t>příprava a spolufinancování projektů VaVpI, VpK,…</t>
  </si>
  <si>
    <t>Mendel muzeum</t>
  </si>
  <si>
    <t xml:space="preserve">posudky na rozvojové projekty </t>
  </si>
  <si>
    <t>oponentury 1M a LC</t>
  </si>
  <si>
    <t xml:space="preserve">Kariérní centrum </t>
  </si>
  <si>
    <t>CTT - skupina pro veř.zdroje</t>
  </si>
  <si>
    <t xml:space="preserve">       nájemné ve FNB, Jihlavská</t>
  </si>
  <si>
    <t xml:space="preserve">       nájemné Bieblova (soc.lék.)</t>
  </si>
  <si>
    <t>SW licence (antivir.ochrana, campus licence,ALEPH,..)</t>
  </si>
  <si>
    <t>Statistica</t>
  </si>
  <si>
    <t>Evidence SW licencí</t>
  </si>
  <si>
    <t>Pohotovosti-Magion,Inet,www.muni.cz</t>
  </si>
  <si>
    <t>pozáruční servis "Privátní hlasové sítě"</t>
  </si>
  <si>
    <t>roční popl.za pronájem kolektorů</t>
  </si>
  <si>
    <t>centrální správa tiskových center fakult</t>
  </si>
  <si>
    <t>servisní podpora zařízení Cisco MU</t>
  </si>
  <si>
    <t>GOTEX-provozní nákl.</t>
  </si>
  <si>
    <t>Oracle-čas.rozlišení nákl.z RP 2007</t>
  </si>
  <si>
    <t>centrální datové úložiště MU</t>
  </si>
  <si>
    <t>bezpečnost sítě</t>
  </si>
  <si>
    <t xml:space="preserve">CJV (96) </t>
  </si>
  <si>
    <r>
      <t xml:space="preserve">stěhování PřF z Údolní a Janáč.nám. </t>
    </r>
    <r>
      <rPr>
        <sz val="9"/>
        <color indexed="9"/>
        <rFont val="Arial CE"/>
        <family val="0"/>
      </rPr>
      <t>do/z Řečkovic</t>
    </r>
  </si>
  <si>
    <t>CTT</t>
  </si>
  <si>
    <t>celkem účtováno přes CTT</t>
  </si>
  <si>
    <t xml:space="preserve">VII. Rozpis příspěvku a dotace na specifický výzkum na jednotlivá hospodářská střediska </t>
  </si>
  <si>
    <t>výnos</t>
  </si>
  <si>
    <t>NEI+INV</t>
  </si>
  <si>
    <t xml:space="preserve">na </t>
  </si>
  <si>
    <t>normativ</t>
  </si>
  <si>
    <t>v % z</t>
  </si>
  <si>
    <t>normativu</t>
  </si>
  <si>
    <t>bez odpisů</t>
  </si>
  <si>
    <r>
      <t xml:space="preserve">CA </t>
    </r>
    <r>
      <rPr>
        <i/>
        <vertAlign val="superscript"/>
        <sz val="10"/>
        <rFont val="Arial CE"/>
        <family val="0"/>
      </rPr>
      <t>*)</t>
    </r>
  </si>
  <si>
    <r>
      <t>*)</t>
    </r>
    <r>
      <rPr>
        <i/>
        <sz val="9"/>
        <rFont val="Arial CE"/>
        <family val="2"/>
      </rPr>
      <t xml:space="preserve"> ve sl. CA  včetně financování nedotačních odpisů fakult i režijních součástí a vkladu NEI do Programu 233 330</t>
    </r>
  </si>
  <si>
    <t>CTT (87)</t>
  </si>
  <si>
    <r>
      <t xml:space="preserve">a) Rozpis příspěvku a dotace na specifický výzkum na příslušná hosp.střediska (HS) </t>
    </r>
    <r>
      <rPr>
        <sz val="9"/>
        <rFont val="Arial CE"/>
        <family val="0"/>
      </rPr>
      <t>- bez rozpisu centralizovaných prostředků (CP)</t>
    </r>
  </si>
  <si>
    <r>
      <t xml:space="preserve">b) Rozpis příspěvku a dotace na specifický výzkum </t>
    </r>
    <r>
      <rPr>
        <sz val="9"/>
        <rFont val="Arial CE"/>
        <family val="0"/>
      </rPr>
      <t>včetně rozpisu centralizovaných prostředků na příslušná HS</t>
    </r>
  </si>
  <si>
    <t>Schválil:</t>
  </si>
  <si>
    <t>Příkazce operace:</t>
  </si>
  <si>
    <t>Doc.Ing.L.Janíček, PhD.,MBA</t>
  </si>
  <si>
    <t>Správce rozpočtu:</t>
  </si>
  <si>
    <t>datum a podpis</t>
  </si>
  <si>
    <r>
      <t xml:space="preserve">Hosp.středisko: </t>
    </r>
    <r>
      <rPr>
        <sz val="10"/>
        <color indexed="12"/>
        <rFont val="Arial CE"/>
        <family val="0"/>
      </rPr>
      <t>&lt;</t>
    </r>
    <r>
      <rPr>
        <b/>
        <i/>
        <sz val="10"/>
        <color indexed="12"/>
        <rFont val="Arial CE"/>
        <family val="0"/>
      </rPr>
      <t>doplnit č.HS a název&gt;</t>
    </r>
  </si>
  <si>
    <t>Ing.Jana Foukalová</t>
  </si>
  <si>
    <t>přidělené</t>
  </si>
  <si>
    <t>prostředky</t>
  </si>
  <si>
    <r>
      <t>Rozdělení příspěvku</t>
    </r>
    <r>
      <rPr>
        <b/>
        <vertAlign val="superscript"/>
        <sz val="18"/>
        <rFont val="Arial CE"/>
        <family val="0"/>
      </rPr>
      <t xml:space="preserve"> </t>
    </r>
    <r>
      <rPr>
        <b/>
        <sz val="18"/>
        <rFont val="Arial CE"/>
        <family val="2"/>
      </rPr>
      <t xml:space="preserve"> MŠMT a dotace na specifický výzkum na rok 2009 v rámci MU</t>
    </r>
  </si>
  <si>
    <t xml:space="preserve">  Způsob rozdělení vychází ze Směrnice rektora č.1/2009 - Vnitřní pravidla hospodaření MU pro rok 2009 a Pravidel rozdělení norm.příspěvku a dotace v r.2009.</t>
  </si>
  <si>
    <t>rok 2009</t>
  </si>
  <si>
    <t>2009/08</t>
  </si>
  <si>
    <t>II. Výpočet přínosu fakult na výši příspěvku MŠMT na vzdělávací činnost pro MU na rok 2009</t>
  </si>
  <si>
    <t>III. Výpočet přínosu na specifický výzkum pro rok 2009</t>
  </si>
  <si>
    <t>r o k   2 0 0 9</t>
  </si>
  <si>
    <r>
      <t xml:space="preserve">Příspěvek 1. Snížení přiděleného příspěvku 2009, viz příloha 1 </t>
    </r>
    <r>
      <rPr>
        <sz val="9"/>
        <rFont val="Arial CE"/>
        <family val="0"/>
      </rPr>
      <t>(CP1)</t>
    </r>
  </si>
  <si>
    <r>
      <t xml:space="preserve">Odhad odpisů 2009 po HS </t>
    </r>
    <r>
      <rPr>
        <sz val="9"/>
        <rFont val="Arial CE"/>
        <family val="0"/>
      </rPr>
      <t>(bez ZC vyřaz.majetku)</t>
    </r>
  </si>
  <si>
    <r>
      <t xml:space="preserve">odhad 2009 </t>
    </r>
    <r>
      <rPr>
        <b/>
        <sz val="8"/>
        <rFont val="Arial"/>
        <family val="2"/>
      </rPr>
      <t>(v tis. Kč)</t>
    </r>
  </si>
  <si>
    <r>
      <t>odhad 2009</t>
    </r>
    <r>
      <rPr>
        <sz val="8"/>
        <rFont val="Arial"/>
        <family val="2"/>
      </rPr>
      <t xml:space="preserve"> (v tis. Kč) - jen HS, která dostanou příspěvek i na odpisy</t>
    </r>
  </si>
  <si>
    <t xml:space="preserve">Plán akcí - velké opravy  2009  </t>
  </si>
  <si>
    <t>oprava střechy nad aulou včetně klemp. prvků a opravy světlíku</t>
  </si>
  <si>
    <t>výměna zbývajících oken ve dvorní fasádě</t>
  </si>
  <si>
    <t>provedení repase 1 ks vitrž. okna</t>
  </si>
  <si>
    <t>oprava soklu budovy</t>
  </si>
  <si>
    <t>zastřešení světlíku - oprava</t>
  </si>
  <si>
    <t>oprava terasy a nášlap.prvků schodiště</t>
  </si>
  <si>
    <t>Veslařská 70</t>
  </si>
  <si>
    <t xml:space="preserve">výměna kotle </t>
  </si>
  <si>
    <t>Komárov</t>
  </si>
  <si>
    <t>oprava oken a prosklené stěny schodiště</t>
  </si>
  <si>
    <t>Janáčkovo nám. 2</t>
  </si>
  <si>
    <t>sanace venkovní základ.zdi na bud. C plast.folií, reko omítek</t>
  </si>
  <si>
    <t>oprava komínových průduchů</t>
  </si>
  <si>
    <t>Gorkého 7</t>
  </si>
  <si>
    <t>oprava oken v areálu A.Nováka</t>
  </si>
  <si>
    <t>A.Nováka</t>
  </si>
  <si>
    <t>odvlhčení zdiva v suterénu+oprava angl. dvorků,oprava omítky</t>
  </si>
  <si>
    <t>oprava krytiny střechy a nátěry klempířských prvků</t>
  </si>
  <si>
    <t>oprava rozvodů vody v areálu botanické zahrady</t>
  </si>
  <si>
    <t>Kotlářská 2</t>
  </si>
  <si>
    <t xml:space="preserve">oprava střechy </t>
  </si>
  <si>
    <t>oprava žaluzií</t>
  </si>
  <si>
    <t>oprava hav.stavu střechy (krov+krytina)</t>
  </si>
  <si>
    <t>Veveří 29</t>
  </si>
  <si>
    <t>oprava ha.stavu venk.kanalizace</t>
  </si>
  <si>
    <t>Klácelova 2</t>
  </si>
  <si>
    <t>Fsoc</t>
  </si>
  <si>
    <r>
      <t>Rozpočet 2009</t>
    </r>
    <r>
      <rPr>
        <b/>
        <sz val="12"/>
        <color indexed="10"/>
        <rFont val="Arial CE"/>
        <family val="0"/>
      </rPr>
      <t xml:space="preserve"> (v tis.Kč)</t>
    </r>
  </si>
  <si>
    <r>
      <t>111*,12*,117*,152*,153*,157*,159*,167*,169*,</t>
    </r>
    <r>
      <rPr>
        <sz val="8"/>
        <rFont val="Arial CE"/>
        <family val="0"/>
      </rPr>
      <t>19*</t>
    </r>
    <r>
      <rPr>
        <sz val="8"/>
        <rFont val="Arial CE"/>
        <family val="2"/>
      </rPr>
      <t xml:space="preserve">,211* </t>
    </r>
    <r>
      <rPr>
        <sz val="8"/>
        <color indexed="10"/>
        <rFont val="Arial CE"/>
        <family val="0"/>
      </rPr>
      <t>- 2115</t>
    </r>
    <r>
      <rPr>
        <sz val="8"/>
        <rFont val="Arial CE"/>
        <family val="2"/>
      </rPr>
      <t>,257*,259*,267*,269*,4*</t>
    </r>
  </si>
  <si>
    <r>
      <t>213*,214*,22*,</t>
    </r>
    <r>
      <rPr>
        <sz val="8"/>
        <color indexed="10"/>
        <rFont val="Arial CE"/>
        <family val="0"/>
      </rPr>
      <t>2115,2125</t>
    </r>
  </si>
  <si>
    <r>
      <t>211*</t>
    </r>
    <r>
      <rPr>
        <sz val="8"/>
        <color indexed="10"/>
        <rFont val="Arial CE"/>
        <family val="0"/>
      </rPr>
      <t>-2115</t>
    </r>
  </si>
  <si>
    <t>požadavky</t>
  </si>
  <si>
    <t>87 - CTT</t>
  </si>
  <si>
    <t xml:space="preserve">   manager Programu (náhrada za BOVIS)</t>
  </si>
  <si>
    <t>velké opravy a údržba</t>
  </si>
  <si>
    <t>veřejné zakázky</t>
  </si>
  <si>
    <t>veletrhy (Gaudeamus a zahr.)</t>
  </si>
  <si>
    <t xml:space="preserve">provoz auly </t>
  </si>
  <si>
    <t>90. výročí MU</t>
  </si>
  <si>
    <t xml:space="preserve">kurzy češtiny </t>
  </si>
  <si>
    <t>Vydavatelství</t>
  </si>
  <si>
    <t>1a</t>
  </si>
  <si>
    <t>1b</t>
  </si>
  <si>
    <t xml:space="preserve">   Podprogram 233 332 - UKB </t>
  </si>
  <si>
    <t>manager Programu (InvO místo BOVIS) 655,030 tis Kč/m</t>
  </si>
  <si>
    <t>navýšeno o DPP na údržbu</t>
  </si>
  <si>
    <t>studentské radio</t>
  </si>
  <si>
    <t>organizační zajištění projektů RMU</t>
  </si>
  <si>
    <t>včetně skupiny pro veřejné zdroje CTT, 2 200 tis. Kč ( 600,780 tis.Kč/m)</t>
  </si>
  <si>
    <t>Khonovo stipendium (CZS)</t>
  </si>
  <si>
    <t>rozpočtovat přímo u CZS?</t>
  </si>
  <si>
    <t>rozpočtovat přímo u PdF?</t>
  </si>
  <si>
    <t>propagační akce VaV (Festival vědy, akce Žirafa)</t>
  </si>
  <si>
    <r>
      <t xml:space="preserve">ochrana duševního vlastnictví </t>
    </r>
    <r>
      <rPr>
        <sz val="8"/>
        <rFont val="Arial CE"/>
        <family val="0"/>
      </rPr>
      <t>(vč.udržovacích popl. a odpisů)</t>
    </r>
  </si>
  <si>
    <t>LF - nájemné Dětská nemocnice (k.psychol.,soc.lék.)</t>
  </si>
  <si>
    <t>nájem archiv</t>
  </si>
  <si>
    <t>plus zvýšený nájem z 1,5 mil., rozlišeno na 5 let, činí 300 tis. Kč</t>
  </si>
  <si>
    <t>nájem FZS (Veveří)</t>
  </si>
  <si>
    <t>nemělo by být automaticky v CP, odhad fak.=4,529 mil ???</t>
  </si>
  <si>
    <t>stěhování FZS na Veveří</t>
  </si>
  <si>
    <t>stěhování FSpS do UKB</t>
  </si>
  <si>
    <t>stěhování FF z Údolní</t>
  </si>
  <si>
    <t>nesouvisí s Programem, měli by si to zaplatit z vlastních zdrojů</t>
  </si>
  <si>
    <t xml:space="preserve"> CTT</t>
  </si>
  <si>
    <t>převod do CP4?</t>
  </si>
  <si>
    <t>plus 400 tis. Kč INV</t>
  </si>
  <si>
    <t>převod k RMU08?</t>
  </si>
  <si>
    <t xml:space="preserve">IS MU (inf.systém MU) </t>
  </si>
  <si>
    <t xml:space="preserve">podpora správy a rozvoje IS MU </t>
  </si>
  <si>
    <t>částka je dle uzavřené smlouvy na r.2009</t>
  </si>
  <si>
    <t>digitální knihovna-Bartošek</t>
  </si>
  <si>
    <t>nadstavbové nástroje EIZ (služby k digi knihovně)</t>
  </si>
  <si>
    <t>služby SFX/Metalib - 500 tis./rok</t>
  </si>
  <si>
    <t>inteligentni budovy a GIS</t>
  </si>
  <si>
    <t>základny WiFi</t>
  </si>
  <si>
    <t>Podpora el.oběhu dokladů a FK</t>
  </si>
  <si>
    <t xml:space="preserve"> 130+50 tis./měs.</t>
  </si>
  <si>
    <t>nové prac. - Audiovizuální technika</t>
  </si>
  <si>
    <t>popl.za roční servis</t>
  </si>
  <si>
    <t>licence ESRI (ESRI Site Licence ArcGIS)</t>
  </si>
  <si>
    <t>přístupové a zabezpečovací systémy</t>
  </si>
  <si>
    <t xml:space="preserve">akademické soutěže studentů </t>
  </si>
  <si>
    <t>požadováno navýšení 440 tis. Kč</t>
  </si>
  <si>
    <t>nepožadováno žádné navýšení</t>
  </si>
  <si>
    <t xml:space="preserve"> + navýšení o 0,5 úvazku</t>
  </si>
  <si>
    <t>Komentář k ř.1b:</t>
  </si>
  <si>
    <t>Plán použití INV příspěvku:</t>
  </si>
  <si>
    <t>IO RMU - centralizované stavby</t>
  </si>
  <si>
    <t>ÚVT - stroje a zař.</t>
  </si>
  <si>
    <t>ÚVT - stavby</t>
  </si>
  <si>
    <t>SUKB - plošina</t>
  </si>
  <si>
    <t>Plán použití centralizovaného FRIMu:</t>
  </si>
  <si>
    <t>Program 233 330</t>
  </si>
  <si>
    <t>SKM - gastrovybavení v UKB (nelze z INV přísp.)</t>
  </si>
  <si>
    <t>SKM - stavby (nelze z INV příspěvku)</t>
  </si>
  <si>
    <t xml:space="preserve">Telč - spolufinancování </t>
  </si>
  <si>
    <t>???</t>
  </si>
  <si>
    <t>CTT-ochrana duš.vlastnictví</t>
  </si>
  <si>
    <t>jiné</t>
  </si>
  <si>
    <t>U FSpS plánován nárůst nedotačních odpisů 10-12/09 na UKB ve výši 250 tis. Kč</t>
  </si>
  <si>
    <t>VI. Příspěvek fakult do centralizovaných zdrojů pro účetní období kalendářního roku 2009</t>
  </si>
  <si>
    <t>počet.</t>
  </si>
  <si>
    <t>bez PhD</t>
  </si>
  <si>
    <r>
      <t xml:space="preserve">výnos </t>
    </r>
    <r>
      <rPr>
        <vertAlign val="superscript"/>
        <sz val="8"/>
        <color indexed="8"/>
        <rFont val="Arial CE"/>
        <family val="0"/>
      </rPr>
      <t>1)</t>
    </r>
  </si>
  <si>
    <r>
      <t xml:space="preserve">1) </t>
    </r>
    <r>
      <rPr>
        <i/>
        <sz val="8"/>
        <color indexed="8"/>
        <rFont val="Arial CE"/>
        <family val="0"/>
      </rPr>
      <t>bez dotačních odpisů</t>
    </r>
  </si>
  <si>
    <t>2009-2008</t>
  </si>
  <si>
    <t>Financování celouniverzitních aktivit a režijních pracovišť MU v roce 2009</t>
  </si>
  <si>
    <t>Osnova rozpočtu na rok 2009</t>
  </si>
  <si>
    <t>Plán financování centralizovaných oprav 2009</t>
  </si>
  <si>
    <t>Odhad odpisů 2009</t>
  </si>
  <si>
    <t>V Brně dne 27.1.2009</t>
  </si>
  <si>
    <t>index 09/08</t>
  </si>
  <si>
    <t>V Brně 10.2.2009</t>
  </si>
  <si>
    <r>
      <t xml:space="preserve">Financování celouniverzitních aktivit  v roce 2009 </t>
    </r>
    <r>
      <rPr>
        <b/>
        <sz val="8"/>
        <rFont val="Arial CE"/>
        <family val="0"/>
      </rPr>
      <t>(</t>
    </r>
    <r>
      <rPr>
        <sz val="8"/>
        <rFont val="Arial CE"/>
        <family val="0"/>
      </rPr>
      <t>z příspěvku MŠMT na ukazatel A) - v tis. Kč</t>
    </r>
  </si>
  <si>
    <t>Náklady na tvorbu sociálního fondu ve výši 2 % z mezd (z ř.3) plánujte na ř. 5, tj. plán celkových odvodů bude 34+2=36 % resp. u dotačních projektů na řádky odpovídající příslušnému zdroji financování</t>
  </si>
  <si>
    <r>
      <t xml:space="preserve">odhad 2009 </t>
    </r>
    <r>
      <rPr>
        <b/>
        <sz val="8"/>
        <rFont val="Arial"/>
        <family val="2"/>
      </rPr>
      <t>(odpisy 12/2008 x 12)</t>
    </r>
    <r>
      <rPr>
        <b/>
        <sz val="10"/>
        <rFont val="Arial"/>
        <family val="2"/>
      </rPr>
      <t xml:space="preserve"> (v Kč)</t>
    </r>
  </si>
  <si>
    <t>odpis 12/08</t>
  </si>
  <si>
    <t>U RMU plánovány odpisy CTT dle skutečnosti 1-12/08</t>
  </si>
  <si>
    <t>k.s.</t>
  </si>
  <si>
    <t>zaokr.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</si>
</sst>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"/>
    <numFmt numFmtId="167" formatCode="#,##0.0"/>
    <numFmt numFmtId="168" formatCode="0.000000"/>
    <numFmt numFmtId="169" formatCode="0.0000000"/>
    <numFmt numFmtId="170" formatCode="0.000"/>
    <numFmt numFmtId="171" formatCode="0.000000000"/>
    <numFmt numFmtId="172" formatCode="#,##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%"/>
    <numFmt numFmtId="186" formatCode="#,##0\ &quot;Kč&quot;"/>
    <numFmt numFmtId="187" formatCode="#,##0.00000000"/>
    <numFmt numFmtId="188" formatCode="0.00000000"/>
    <numFmt numFmtId="189" formatCode="#,##0.000000"/>
    <numFmt numFmtId="190" formatCode="#,##0.0000000"/>
    <numFmt numFmtId="191" formatCode="_-* #,##0.0\ _K_č_-;\-* #,##0.0\ _K_č_-;_-* &quot;-&quot;??\ _K_č_-;_-@_-"/>
    <numFmt numFmtId="192" formatCode="#,##0.00000"/>
    <numFmt numFmtId="193" formatCode="#,##0\ _K_č"/>
    <numFmt numFmtId="194" formatCode="#,##0.00\ &quot;Kč&quot;"/>
    <numFmt numFmtId="195" formatCode="#,##0.00\ _K_č"/>
    <numFmt numFmtId="196" formatCode="#,##0.0\ _K_č"/>
    <numFmt numFmtId="197" formatCode="0.0000000000"/>
    <numFmt numFmtId="198" formatCode="0.00000000000"/>
    <numFmt numFmtId="199" formatCode="[$-405]d\.\ mmmm\ yyyy"/>
    <numFmt numFmtId="200" formatCode="[$-F400]h:mm:ss\ AM/PM"/>
  </numFmts>
  <fonts count="90">
    <font>
      <sz val="10"/>
      <name val="Arial CE"/>
      <family val="0"/>
    </font>
    <font>
      <i/>
      <sz val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i/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i/>
      <vertAlign val="superscript"/>
      <sz val="9"/>
      <name val="Arial CE"/>
      <family val="0"/>
    </font>
    <font>
      <sz val="8"/>
      <color indexed="10"/>
      <name val="Arial CE"/>
      <family val="0"/>
    </font>
    <font>
      <sz val="9"/>
      <color indexed="10"/>
      <name val="Arial CE"/>
      <family val="0"/>
    </font>
    <font>
      <sz val="11"/>
      <name val="Times New Roman CE"/>
      <family val="0"/>
    </font>
    <font>
      <b/>
      <sz val="10"/>
      <color indexed="10"/>
      <name val="Arial CE"/>
      <family val="0"/>
    </font>
    <font>
      <b/>
      <i/>
      <sz val="8"/>
      <name val="Arial CE"/>
      <family val="0"/>
    </font>
    <font>
      <b/>
      <sz val="8"/>
      <color indexed="8"/>
      <name val="Arial CE"/>
      <family val="0"/>
    </font>
    <font>
      <sz val="8"/>
      <name val="Arial"/>
      <family val="2"/>
    </font>
    <font>
      <i/>
      <sz val="8"/>
      <color indexed="8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vertAlign val="superscript"/>
      <sz val="10"/>
      <name val="Arial CE"/>
      <family val="2"/>
    </font>
    <font>
      <sz val="9"/>
      <color indexed="8"/>
      <name val="Arial CE"/>
      <family val="2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b/>
      <sz val="10"/>
      <color indexed="59"/>
      <name val="Arial CE"/>
      <family val="2"/>
    </font>
    <font>
      <i/>
      <vertAlign val="superscript"/>
      <sz val="10"/>
      <name val="Arial CE"/>
      <family val="2"/>
    </font>
    <font>
      <b/>
      <vertAlign val="superscript"/>
      <sz val="18"/>
      <name val="Arial CE"/>
      <family val="0"/>
    </font>
    <font>
      <sz val="10"/>
      <name val="Arial"/>
      <family val="0"/>
    </font>
    <font>
      <b/>
      <i/>
      <sz val="9"/>
      <name val="Arial CE"/>
      <family val="2"/>
    </font>
    <font>
      <b/>
      <sz val="9"/>
      <color indexed="12"/>
      <name val="Arial CE"/>
      <family val="0"/>
    </font>
    <font>
      <sz val="9"/>
      <color indexed="12"/>
      <name val="Arial CE"/>
      <family val="0"/>
    </font>
    <font>
      <i/>
      <vertAlign val="superscript"/>
      <sz val="8"/>
      <color indexed="8"/>
      <name val="Arial CE"/>
      <family val="0"/>
    </font>
    <font>
      <i/>
      <sz val="9"/>
      <color indexed="8"/>
      <name val="Arial CE"/>
      <family val="0"/>
    </font>
    <font>
      <sz val="8"/>
      <color indexed="12"/>
      <name val="Arial CE"/>
      <family val="2"/>
    </font>
    <font>
      <b/>
      <sz val="9"/>
      <color indexed="8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0"/>
    </font>
    <font>
      <b/>
      <i/>
      <sz val="9"/>
      <color indexed="8"/>
      <name val="Arial CE"/>
      <family val="0"/>
    </font>
    <font>
      <sz val="10"/>
      <color indexed="12"/>
      <name val="Arial CE"/>
      <family val="2"/>
    </font>
    <font>
      <sz val="10"/>
      <color indexed="63"/>
      <name val="Arial"/>
      <family val="0"/>
    </font>
    <font>
      <b/>
      <sz val="10"/>
      <color indexed="63"/>
      <name val="Arial"/>
      <family val="0"/>
    </font>
    <font>
      <sz val="9"/>
      <color indexed="63"/>
      <name val="Arial"/>
      <family val="0"/>
    </font>
    <font>
      <b/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 CE"/>
      <family val="2"/>
    </font>
    <font>
      <i/>
      <sz val="9"/>
      <color indexed="12"/>
      <name val="Arial CE"/>
      <family val="2"/>
    </font>
    <font>
      <i/>
      <sz val="9"/>
      <color indexed="10"/>
      <name val="Arial CE"/>
      <family val="2"/>
    </font>
    <font>
      <i/>
      <sz val="8"/>
      <color indexed="10"/>
      <name val="Arial CE"/>
      <family val="2"/>
    </font>
    <font>
      <sz val="9"/>
      <color indexed="9"/>
      <name val="Arial CE"/>
      <family val="0"/>
    </font>
    <font>
      <i/>
      <sz val="8"/>
      <color indexed="9"/>
      <name val="Arial CE"/>
      <family val="0"/>
    </font>
    <font>
      <i/>
      <sz val="10"/>
      <color indexed="10"/>
      <name val="Arial CE"/>
      <family val="2"/>
    </font>
    <font>
      <i/>
      <sz val="8"/>
      <color indexed="12"/>
      <name val="Arial CE"/>
      <family val="0"/>
    </font>
    <font>
      <b/>
      <i/>
      <sz val="10"/>
      <color indexed="12"/>
      <name val="Arial CE"/>
      <family val="0"/>
    </font>
    <font>
      <b/>
      <i/>
      <sz val="8"/>
      <color indexed="12"/>
      <name val="Arial CE"/>
      <family val="0"/>
    </font>
    <font>
      <sz val="8"/>
      <color indexed="9"/>
      <name val="Arial CE"/>
      <family val="0"/>
    </font>
    <font>
      <sz val="8"/>
      <color indexed="12"/>
      <name val="Arial"/>
      <family val="2"/>
    </font>
    <font>
      <sz val="8"/>
      <color indexed="17"/>
      <name val="Arial"/>
      <family val="0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i/>
      <sz val="9"/>
      <color indexed="9"/>
      <name val="Arial CE"/>
      <family val="2"/>
    </font>
    <font>
      <i/>
      <sz val="10"/>
      <color indexed="9"/>
      <name val="Arial CE"/>
      <family val="2"/>
    </font>
    <font>
      <b/>
      <sz val="10"/>
      <color indexed="8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 CE"/>
      <family val="0"/>
    </font>
    <font>
      <vertAlign val="superscript"/>
      <sz val="8"/>
      <color indexed="8"/>
      <name val="Arial CE"/>
      <family val="0"/>
    </font>
    <font>
      <b/>
      <i/>
      <sz val="8"/>
      <color indexed="8"/>
      <name val="Arial CE"/>
      <family val="0"/>
    </font>
    <font>
      <b/>
      <i/>
      <sz val="8"/>
      <color indexed="9"/>
      <name val="Arial CE"/>
      <family val="2"/>
    </font>
    <font>
      <i/>
      <sz val="10"/>
      <color indexed="8"/>
      <name val="Arial CE"/>
      <family val="2"/>
    </font>
    <font>
      <sz val="10"/>
      <color indexed="62"/>
      <name val="Arial CE"/>
      <family val="0"/>
    </font>
    <font>
      <sz val="8"/>
      <color indexed="21"/>
      <name val="Arial"/>
      <family val="0"/>
    </font>
    <font>
      <i/>
      <sz val="8"/>
      <color indexed="21"/>
      <name val="Arial"/>
      <family val="2"/>
    </font>
    <font>
      <i/>
      <sz val="8"/>
      <color indexed="12"/>
      <name val="Arial"/>
      <family val="2"/>
    </font>
    <font>
      <i/>
      <sz val="10"/>
      <color indexed="12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8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 style="medium"/>
    </border>
    <border>
      <left style="hair"/>
      <right style="hair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thin"/>
      <right style="thin"/>
      <top style="thin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7" xfId="0" applyBorder="1" applyAlignment="1">
      <alignment horizontal="center"/>
    </xf>
    <xf numFmtId="0" fontId="5" fillId="0" borderId="0" xfId="0" applyFont="1" applyAlignment="1">
      <alignment/>
    </xf>
    <xf numFmtId="0" fontId="5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9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3" fontId="12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4" fillId="0" borderId="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5" fillId="0" borderId="28" xfId="0" applyFont="1" applyBorder="1" applyAlignment="1">
      <alignment/>
    </xf>
    <xf numFmtId="0" fontId="6" fillId="0" borderId="29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2" borderId="32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2" fillId="2" borderId="7" xfId="0" applyNumberFormat="1" applyFont="1" applyFill="1" applyBorder="1" applyAlignment="1">
      <alignment/>
    </xf>
    <xf numFmtId="3" fontId="12" fillId="2" borderId="32" xfId="0" applyNumberFormat="1" applyFont="1" applyFill="1" applyBorder="1" applyAlignment="1">
      <alignment/>
    </xf>
    <xf numFmtId="3" fontId="13" fillId="2" borderId="7" xfId="0" applyNumberFormat="1" applyFont="1" applyFill="1" applyBorder="1" applyAlignment="1">
      <alignment/>
    </xf>
    <xf numFmtId="0" fontId="12" fillId="2" borderId="11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3" fontId="13" fillId="2" borderId="32" xfId="0" applyNumberFormat="1" applyFont="1" applyFill="1" applyBorder="1" applyAlignment="1">
      <alignment/>
    </xf>
    <xf numFmtId="3" fontId="12" fillId="2" borderId="12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0" fontId="1" fillId="0" borderId="39" xfId="0" applyFont="1" applyBorder="1" applyAlignment="1">
      <alignment horizontal="center"/>
    </xf>
    <xf numFmtId="3" fontId="1" fillId="0" borderId="40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1" fillId="2" borderId="32" xfId="0" applyNumberFormat="1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0" fontId="5" fillId="0" borderId="46" xfId="0" applyFont="1" applyBorder="1" applyAlignment="1">
      <alignment/>
    </xf>
    <xf numFmtId="0" fontId="0" fillId="0" borderId="28" xfId="0" applyFont="1" applyBorder="1" applyAlignment="1">
      <alignment/>
    </xf>
    <xf numFmtId="0" fontId="12" fillId="2" borderId="47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5" fillId="2" borderId="40" xfId="0" applyFont="1" applyFill="1" applyBorder="1" applyAlignment="1">
      <alignment horizontal="center"/>
    </xf>
    <xf numFmtId="0" fontId="15" fillId="2" borderId="38" xfId="0" applyFont="1" applyFill="1" applyBorder="1" applyAlignment="1">
      <alignment horizontal="left"/>
    </xf>
    <xf numFmtId="0" fontId="12" fillId="2" borderId="21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5" fillId="2" borderId="5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/>
    </xf>
    <xf numFmtId="3" fontId="1" fillId="0" borderId="4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2" borderId="11" xfId="0" applyNumberFormat="1" applyFont="1" applyFill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3" fontId="0" fillId="0" borderId="56" xfId="0" applyNumberFormat="1" applyFont="1" applyBorder="1" applyAlignment="1">
      <alignment/>
    </xf>
    <xf numFmtId="0" fontId="0" fillId="0" borderId="57" xfId="0" applyBorder="1" applyAlignment="1">
      <alignment horizontal="center"/>
    </xf>
    <xf numFmtId="0" fontId="0" fillId="0" borderId="23" xfId="0" applyBorder="1" applyAlignment="1">
      <alignment/>
    </xf>
    <xf numFmtId="3" fontId="0" fillId="0" borderId="58" xfId="0" applyNumberFormat="1" applyBorder="1" applyAlignment="1">
      <alignment/>
    </xf>
    <xf numFmtId="3" fontId="12" fillId="2" borderId="55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2" borderId="55" xfId="0" applyNumberFormat="1" applyFont="1" applyFill="1" applyBorder="1" applyAlignment="1">
      <alignment/>
    </xf>
    <xf numFmtId="3" fontId="0" fillId="0" borderId="60" xfId="0" applyNumberFormat="1" applyFont="1" applyBorder="1" applyAlignment="1">
      <alignment/>
    </xf>
    <xf numFmtId="3" fontId="12" fillId="2" borderId="61" xfId="0" applyNumberFormat="1" applyFont="1" applyFill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2" borderId="61" xfId="0" applyNumberFormat="1" applyFont="1" applyFill="1" applyBorder="1" applyAlignment="1">
      <alignment/>
    </xf>
    <xf numFmtId="3" fontId="0" fillId="0" borderId="63" xfId="0" applyNumberFormat="1" applyFont="1" applyBorder="1" applyAlignment="1">
      <alignment/>
    </xf>
    <xf numFmtId="0" fontId="1" fillId="0" borderId="64" xfId="0" applyFont="1" applyBorder="1" applyAlignment="1">
      <alignment/>
    </xf>
    <xf numFmtId="3" fontId="13" fillId="2" borderId="65" xfId="0" applyNumberFormat="1" applyFont="1" applyFill="1" applyBorder="1" applyAlignment="1">
      <alignment/>
    </xf>
    <xf numFmtId="3" fontId="1" fillId="0" borderId="64" xfId="0" applyNumberFormat="1" applyFont="1" applyBorder="1" applyAlignment="1">
      <alignment/>
    </xf>
    <xf numFmtId="3" fontId="1" fillId="2" borderId="65" xfId="0" applyNumberFormat="1" applyFont="1" applyFill="1" applyBorder="1" applyAlignment="1">
      <alignment/>
    </xf>
    <xf numFmtId="3" fontId="1" fillId="0" borderId="66" xfId="0" applyNumberFormat="1" applyFont="1" applyBorder="1" applyAlignment="1">
      <alignment/>
    </xf>
    <xf numFmtId="3" fontId="1" fillId="0" borderId="67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68" xfId="0" applyNumberFormat="1" applyFont="1" applyBorder="1" applyAlignment="1">
      <alignment/>
    </xf>
    <xf numFmtId="3" fontId="1" fillId="0" borderId="69" xfId="0" applyNumberFormat="1" applyFont="1" applyBorder="1" applyAlignment="1">
      <alignment/>
    </xf>
    <xf numFmtId="3" fontId="1" fillId="0" borderId="70" xfId="0" applyNumberFormat="1" applyFon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3" fontId="1" fillId="0" borderId="75" xfId="0" applyNumberFormat="1" applyFont="1" applyBorder="1" applyAlignment="1">
      <alignment/>
    </xf>
    <xf numFmtId="0" fontId="0" fillId="0" borderId="76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0" fillId="0" borderId="78" xfId="0" applyFill="1" applyBorder="1" applyAlignment="1">
      <alignment/>
    </xf>
    <xf numFmtId="0" fontId="0" fillId="0" borderId="79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80" xfId="0" applyFill="1" applyBorder="1" applyAlignment="1">
      <alignment/>
    </xf>
    <xf numFmtId="0" fontId="0" fillId="0" borderId="81" xfId="0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left"/>
    </xf>
    <xf numFmtId="0" fontId="1" fillId="0" borderId="82" xfId="0" applyFont="1" applyFill="1" applyBorder="1" applyAlignment="1">
      <alignment horizontal="center"/>
    </xf>
    <xf numFmtId="166" fontId="1" fillId="0" borderId="9" xfId="0" applyNumberFormat="1" applyFont="1" applyFill="1" applyBorder="1" applyAlignment="1">
      <alignment horizontal="center"/>
    </xf>
    <xf numFmtId="166" fontId="1" fillId="0" borderId="18" xfId="0" applyNumberFormat="1" applyFont="1" applyFill="1" applyBorder="1" applyAlignment="1">
      <alignment horizontal="center"/>
    </xf>
    <xf numFmtId="166" fontId="1" fillId="0" borderId="41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83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8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5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86" xfId="0" applyFill="1" applyBorder="1" applyAlignment="1">
      <alignment horizontal="center"/>
    </xf>
    <xf numFmtId="0" fontId="0" fillId="0" borderId="87" xfId="0" applyFill="1" applyBorder="1" applyAlignment="1">
      <alignment/>
    </xf>
    <xf numFmtId="0" fontId="0" fillId="0" borderId="88" xfId="0" applyFill="1" applyBorder="1" applyAlignment="1">
      <alignment horizontal="center"/>
    </xf>
    <xf numFmtId="0" fontId="0" fillId="0" borderId="89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9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40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78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91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92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0" fillId="0" borderId="8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95" xfId="0" applyFont="1" applyFill="1" applyBorder="1" applyAlignment="1">
      <alignment/>
    </xf>
    <xf numFmtId="0" fontId="0" fillId="0" borderId="96" xfId="0" applyFont="1" applyFill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0" fontId="0" fillId="0" borderId="9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9" xfId="0" applyFont="1" applyFill="1" applyBorder="1" applyAlignment="1">
      <alignment/>
    </xf>
    <xf numFmtId="3" fontId="0" fillId="0" borderId="92" xfId="0" applyNumberFormat="1" applyFont="1" applyFill="1" applyBorder="1" applyAlignment="1">
      <alignment/>
    </xf>
    <xf numFmtId="0" fontId="0" fillId="0" borderId="86" xfId="0" applyFont="1" applyFill="1" applyBorder="1" applyAlignment="1">
      <alignment horizontal="center"/>
    </xf>
    <xf numFmtId="0" fontId="0" fillId="0" borderId="87" xfId="0" applyFont="1" applyFill="1" applyBorder="1" applyAlignment="1">
      <alignment/>
    </xf>
    <xf numFmtId="3" fontId="0" fillId="0" borderId="100" xfId="0" applyNumberFormat="1" applyFont="1" applyFill="1" applyBorder="1" applyAlignment="1">
      <alignment/>
    </xf>
    <xf numFmtId="0" fontId="0" fillId="0" borderId="88" xfId="0" applyFont="1" applyFill="1" applyBorder="1" applyAlignment="1">
      <alignment horizontal="center"/>
    </xf>
    <xf numFmtId="0" fontId="0" fillId="0" borderId="89" xfId="0" applyFont="1" applyFill="1" applyBorder="1" applyAlignment="1">
      <alignment/>
    </xf>
    <xf numFmtId="3" fontId="0" fillId="0" borderId="71" xfId="0" applyNumberFormat="1" applyFont="1" applyFill="1" applyBorder="1" applyAlignment="1">
      <alignment/>
    </xf>
    <xf numFmtId="0" fontId="12" fillId="0" borderId="47" xfId="0" applyFon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3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76" xfId="0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8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01" xfId="0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102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0" fontId="12" fillId="0" borderId="21" xfId="0" applyFont="1" applyFill="1" applyBorder="1" applyAlignment="1">
      <alignment horizontal="center"/>
    </xf>
    <xf numFmtId="0" fontId="12" fillId="0" borderId="10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0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4" xfId="0" applyFill="1" applyBorder="1" applyAlignment="1">
      <alignment/>
    </xf>
    <xf numFmtId="3" fontId="12" fillId="0" borderId="8" xfId="0" applyNumberFormat="1" applyFont="1" applyFill="1" applyBorder="1" applyAlignment="1">
      <alignment/>
    </xf>
    <xf numFmtId="3" fontId="12" fillId="0" borderId="92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/>
    </xf>
    <xf numFmtId="0" fontId="0" fillId="0" borderId="60" xfId="0" applyFill="1" applyBorder="1" applyAlignment="1">
      <alignment/>
    </xf>
    <xf numFmtId="3" fontId="12" fillId="0" borderId="86" xfId="0" applyNumberFormat="1" applyFont="1" applyFill="1" applyBorder="1" applyAlignment="1">
      <alignment/>
    </xf>
    <xf numFmtId="3" fontId="12" fillId="0" borderId="100" xfId="0" applyNumberFormat="1" applyFont="1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0" fillId="0" borderId="105" xfId="0" applyFill="1" applyBorder="1" applyAlignment="1">
      <alignment/>
    </xf>
    <xf numFmtId="3" fontId="12" fillId="0" borderId="88" xfId="0" applyNumberFormat="1" applyFont="1" applyFill="1" applyBorder="1" applyAlignment="1">
      <alignment/>
    </xf>
    <xf numFmtId="3" fontId="12" fillId="0" borderId="71" xfId="0" applyNumberFormat="1" applyFont="1" applyFill="1" applyBorder="1" applyAlignment="1">
      <alignment/>
    </xf>
    <xf numFmtId="3" fontId="12" fillId="0" borderId="74" xfId="0" applyNumberFormat="1" applyFont="1" applyFill="1" applyBorder="1" applyAlignment="1">
      <alignment/>
    </xf>
    <xf numFmtId="3" fontId="12" fillId="0" borderId="47" xfId="0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3" fontId="12" fillId="0" borderId="38" xfId="0" applyNumberFormat="1" applyFont="1" applyFill="1" applyBorder="1" applyAlignment="1">
      <alignment/>
    </xf>
    <xf numFmtId="3" fontId="0" fillId="0" borderId="47" xfId="0" applyNumberFormat="1" applyFill="1" applyBorder="1" applyAlignment="1">
      <alignment/>
    </xf>
    <xf numFmtId="4" fontId="5" fillId="0" borderId="0" xfId="0" applyNumberFormat="1" applyFont="1" applyFill="1" applyAlignment="1">
      <alignment/>
    </xf>
    <xf numFmtId="3" fontId="19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3" fontId="14" fillId="0" borderId="0" xfId="0" applyNumberFormat="1" applyFont="1" applyAlignment="1">
      <alignment/>
    </xf>
    <xf numFmtId="0" fontId="5" fillId="0" borderId="21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48" xfId="0" applyFont="1" applyBorder="1" applyAlignment="1">
      <alignment/>
    </xf>
    <xf numFmtId="0" fontId="6" fillId="0" borderId="70" xfId="0" applyFont="1" applyBorder="1" applyAlignment="1">
      <alignment horizontal="left"/>
    </xf>
    <xf numFmtId="0" fontId="2" fillId="0" borderId="0" xfId="20" applyFont="1">
      <alignment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Font="1" applyAlignment="1">
      <alignment horizontal="center"/>
      <protection/>
    </xf>
    <xf numFmtId="0" fontId="5" fillId="0" borderId="78" xfId="20" applyFont="1" applyBorder="1">
      <alignment/>
      <protection/>
    </xf>
    <xf numFmtId="0" fontId="5" fillId="0" borderId="106" xfId="20" applyFont="1" applyBorder="1" applyAlignment="1">
      <alignment horizontal="center"/>
      <protection/>
    </xf>
    <xf numFmtId="0" fontId="5" fillId="0" borderId="76" xfId="20" applyFont="1" applyBorder="1">
      <alignment/>
      <protection/>
    </xf>
    <xf numFmtId="0" fontId="5" fillId="0" borderId="21" xfId="20" applyFont="1" applyBorder="1">
      <alignment/>
      <protection/>
    </xf>
    <xf numFmtId="0" fontId="5" fillId="0" borderId="6" xfId="20" applyFont="1" applyBorder="1" applyAlignment="1">
      <alignment horizontal="center"/>
      <protection/>
    </xf>
    <xf numFmtId="0" fontId="5" fillId="0" borderId="84" xfId="20" applyFont="1" applyBorder="1">
      <alignment/>
      <protection/>
    </xf>
    <xf numFmtId="0" fontId="6" fillId="0" borderId="0" xfId="20" applyFont="1">
      <alignment/>
      <protection/>
    </xf>
    <xf numFmtId="0" fontId="5" fillId="0" borderId="0" xfId="20" applyFont="1">
      <alignment/>
      <protection/>
    </xf>
    <xf numFmtId="0" fontId="9" fillId="0" borderId="0" xfId="20" applyFont="1">
      <alignment/>
      <protection/>
    </xf>
    <xf numFmtId="0" fontId="23" fillId="0" borderId="0" xfId="20" applyFont="1">
      <alignment/>
      <protection/>
    </xf>
    <xf numFmtId="0" fontId="5" fillId="0" borderId="0" xfId="20" applyFont="1" applyBorder="1">
      <alignment/>
      <protection/>
    </xf>
    <xf numFmtId="0" fontId="5" fillId="0" borderId="8" xfId="20" applyFont="1" applyBorder="1">
      <alignment/>
      <protection/>
    </xf>
    <xf numFmtId="0" fontId="5" fillId="0" borderId="36" xfId="20" applyFont="1" applyBorder="1" applyAlignment="1">
      <alignment horizontal="center"/>
      <protection/>
    </xf>
    <xf numFmtId="0" fontId="5" fillId="0" borderId="66" xfId="20" applyFont="1" applyBorder="1" applyAlignment="1">
      <alignment horizontal="center"/>
      <protection/>
    </xf>
    <xf numFmtId="0" fontId="5" fillId="0" borderId="100" xfId="20" applyFont="1" applyBorder="1">
      <alignment/>
      <protection/>
    </xf>
    <xf numFmtId="0" fontId="5" fillId="0" borderId="107" xfId="20" applyFont="1" applyBorder="1" applyAlignment="1">
      <alignment horizontal="center"/>
      <protection/>
    </xf>
    <xf numFmtId="0" fontId="10" fillId="0" borderId="0" xfId="20" applyFont="1">
      <alignment/>
      <protection/>
    </xf>
    <xf numFmtId="0" fontId="10" fillId="2" borderId="108" xfId="20" applyFont="1" applyFill="1" applyBorder="1" applyAlignment="1">
      <alignment horizontal="center"/>
      <protection/>
    </xf>
    <xf numFmtId="0" fontId="10" fillId="2" borderId="109" xfId="20" applyFont="1" applyFill="1" applyBorder="1" applyAlignment="1">
      <alignment horizontal="center"/>
      <protection/>
    </xf>
    <xf numFmtId="0" fontId="5" fillId="0" borderId="108" xfId="20" applyFont="1" applyBorder="1">
      <alignment/>
      <protection/>
    </xf>
    <xf numFmtId="0" fontId="10" fillId="0" borderId="8" xfId="20" applyFont="1" applyBorder="1">
      <alignment/>
      <protection/>
    </xf>
    <xf numFmtId="0" fontId="10" fillId="0" borderId="0" xfId="20" applyFont="1">
      <alignment/>
      <protection/>
    </xf>
    <xf numFmtId="0" fontId="5" fillId="0" borderId="110" xfId="20" applyFont="1" applyBorder="1" applyAlignment="1">
      <alignment horizontal="center"/>
      <protection/>
    </xf>
    <xf numFmtId="0" fontId="5" fillId="0" borderId="0" xfId="20" applyFont="1" applyBorder="1">
      <alignment/>
      <protection/>
    </xf>
    <xf numFmtId="0" fontId="5" fillId="0" borderId="100" xfId="20" applyFont="1" applyBorder="1" applyAlignment="1">
      <alignment horizontal="center"/>
      <protection/>
    </xf>
    <xf numFmtId="0" fontId="5" fillId="0" borderId="28" xfId="20" applyFont="1" applyBorder="1">
      <alignment/>
      <protection/>
    </xf>
    <xf numFmtId="0" fontId="20" fillId="0" borderId="0" xfId="20" applyFont="1">
      <alignment/>
      <protection/>
    </xf>
    <xf numFmtId="3" fontId="5" fillId="0" borderId="66" xfId="20" applyNumberFormat="1" applyFont="1" applyBorder="1" applyAlignment="1">
      <alignment horizontal="right"/>
      <protection/>
    </xf>
    <xf numFmtId="3" fontId="0" fillId="0" borderId="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12" fillId="0" borderId="12" xfId="0" applyFont="1" applyBorder="1" applyAlignment="1">
      <alignment horizontal="center"/>
    </xf>
    <xf numFmtId="3" fontId="12" fillId="0" borderId="111" xfId="0" applyNumberFormat="1" applyFont="1" applyBorder="1" applyAlignment="1">
      <alignment/>
    </xf>
    <xf numFmtId="0" fontId="5" fillId="0" borderId="79" xfId="20" applyFont="1" applyBorder="1">
      <alignment/>
      <protection/>
    </xf>
    <xf numFmtId="0" fontId="0" fillId="0" borderId="53" xfId="0" applyBorder="1" applyAlignment="1">
      <alignment/>
    </xf>
    <xf numFmtId="3" fontId="0" fillId="0" borderId="112" xfId="0" applyNumberFormat="1" applyBorder="1" applyAlignment="1">
      <alignment/>
    </xf>
    <xf numFmtId="3" fontId="12" fillId="0" borderId="0" xfId="0" applyNumberFormat="1" applyFont="1" applyAlignment="1">
      <alignment/>
    </xf>
    <xf numFmtId="0" fontId="12" fillId="0" borderId="57" xfId="0" applyFont="1" applyBorder="1" applyAlignment="1">
      <alignment horizontal="center"/>
    </xf>
    <xf numFmtId="3" fontId="12" fillId="0" borderId="58" xfId="0" applyNumberFormat="1" applyFont="1" applyBorder="1" applyAlignment="1">
      <alignment/>
    </xf>
    <xf numFmtId="0" fontId="12" fillId="0" borderId="67" xfId="0" applyFont="1" applyBorder="1" applyAlignment="1">
      <alignment/>
    </xf>
    <xf numFmtId="0" fontId="12" fillId="0" borderId="73" xfId="0" applyFont="1" applyBorder="1" applyAlignment="1">
      <alignment/>
    </xf>
    <xf numFmtId="0" fontId="12" fillId="0" borderId="24" xfId="0" applyFont="1" applyBorder="1" applyAlignment="1">
      <alignment/>
    </xf>
    <xf numFmtId="0" fontId="0" fillId="0" borderId="78" xfId="0" applyFont="1" applyFill="1" applyBorder="1" applyAlignment="1">
      <alignment/>
    </xf>
    <xf numFmtId="0" fontId="0" fillId="0" borderId="106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113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2" fontId="0" fillId="0" borderId="25" xfId="0" applyNumberFormat="1" applyFont="1" applyFill="1" applyBorder="1" applyAlignment="1">
      <alignment horizontal="center"/>
    </xf>
    <xf numFmtId="3" fontId="0" fillId="0" borderId="0" xfId="21" applyNumberFormat="1" applyFont="1" applyFill="1" applyBorder="1">
      <alignment/>
      <protection/>
    </xf>
    <xf numFmtId="0" fontId="0" fillId="0" borderId="8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2" fontId="0" fillId="0" borderId="35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2" fontId="0" fillId="0" borderId="38" xfId="0" applyNumberFormat="1" applyFont="1" applyFill="1" applyBorder="1" applyAlignment="1">
      <alignment horizontal="center"/>
    </xf>
    <xf numFmtId="0" fontId="12" fillId="0" borderId="114" xfId="0" applyFont="1" applyBorder="1" applyAlignment="1">
      <alignment/>
    </xf>
    <xf numFmtId="0" fontId="12" fillId="0" borderId="59" xfId="0" applyFont="1" applyBorder="1" applyAlignment="1">
      <alignment/>
    </xf>
    <xf numFmtId="0" fontId="12" fillId="0" borderId="115" xfId="0" applyFont="1" applyBorder="1" applyAlignment="1">
      <alignment/>
    </xf>
    <xf numFmtId="3" fontId="12" fillId="0" borderId="56" xfId="0" applyNumberFormat="1" applyFont="1" applyBorder="1" applyAlignment="1">
      <alignment/>
    </xf>
    <xf numFmtId="3" fontId="12" fillId="0" borderId="102" xfId="0" applyNumberFormat="1" applyFont="1" applyBorder="1" applyAlignment="1">
      <alignment/>
    </xf>
    <xf numFmtId="0" fontId="12" fillId="0" borderId="116" xfId="0" applyFont="1" applyBorder="1" applyAlignment="1">
      <alignment horizontal="left"/>
    </xf>
    <xf numFmtId="0" fontId="12" fillId="0" borderId="117" xfId="0" applyFont="1" applyBorder="1" applyAlignment="1">
      <alignment/>
    </xf>
    <xf numFmtId="0" fontId="12" fillId="0" borderId="118" xfId="0" applyFont="1" applyBorder="1" applyAlignment="1">
      <alignment/>
    </xf>
    <xf numFmtId="0" fontId="12" fillId="0" borderId="55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27" fillId="0" borderId="3" xfId="0" applyFont="1" applyBorder="1" applyAlignment="1">
      <alignment horizontal="center"/>
    </xf>
    <xf numFmtId="3" fontId="27" fillId="0" borderId="15" xfId="0" applyNumberFormat="1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78" xfId="0" applyFont="1" applyBorder="1" applyAlignment="1">
      <alignment/>
    </xf>
    <xf numFmtId="0" fontId="0" fillId="0" borderId="10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19" xfId="0" applyFont="1" applyBorder="1" applyAlignment="1">
      <alignment horizontal="center"/>
    </xf>
    <xf numFmtId="0" fontId="0" fillId="0" borderId="1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21" xfId="0" applyFont="1" applyBorder="1" applyAlignment="1">
      <alignment horizontal="center"/>
    </xf>
    <xf numFmtId="0" fontId="0" fillId="0" borderId="12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86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123" xfId="0" applyFont="1" applyBorder="1" applyAlignment="1">
      <alignment horizontal="center"/>
    </xf>
    <xf numFmtId="0" fontId="0" fillId="0" borderId="1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9" xfId="0" applyFont="1" applyFill="1" applyBorder="1" applyAlignment="1">
      <alignment/>
    </xf>
    <xf numFmtId="3" fontId="12" fillId="0" borderId="125" xfId="0" applyNumberFormat="1" applyFont="1" applyBorder="1" applyAlignment="1">
      <alignment/>
    </xf>
    <xf numFmtId="3" fontId="0" fillId="0" borderId="126" xfId="0" applyNumberFormat="1" applyFont="1" applyBorder="1" applyAlignment="1">
      <alignment/>
    </xf>
    <xf numFmtId="0" fontId="29" fillId="0" borderId="0" xfId="0" applyFont="1" applyAlignment="1">
      <alignment/>
    </xf>
    <xf numFmtId="0" fontId="0" fillId="0" borderId="50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127" xfId="0" applyFont="1" applyBorder="1" applyAlignment="1">
      <alignment horizontal="center"/>
    </xf>
    <xf numFmtId="3" fontId="0" fillId="0" borderId="92" xfId="0" applyNumberFormat="1" applyFont="1" applyBorder="1" applyAlignment="1">
      <alignment/>
    </xf>
    <xf numFmtId="3" fontId="0" fillId="0" borderId="93" xfId="0" applyNumberFormat="1" applyFont="1" applyBorder="1" applyAlignment="1">
      <alignment/>
    </xf>
    <xf numFmtId="3" fontId="0" fillId="0" borderId="100" xfId="0" applyNumberFormat="1" applyFont="1" applyBorder="1" applyAlignment="1">
      <alignment/>
    </xf>
    <xf numFmtId="3" fontId="0" fillId="0" borderId="128" xfId="0" applyNumberFormat="1" applyFont="1" applyBorder="1" applyAlignment="1">
      <alignment/>
    </xf>
    <xf numFmtId="0" fontId="0" fillId="0" borderId="61" xfId="0" applyFont="1" applyBorder="1" applyAlignment="1">
      <alignment horizontal="center"/>
    </xf>
    <xf numFmtId="3" fontId="0" fillId="0" borderId="107" xfId="0" applyNumberFormat="1" applyFont="1" applyBorder="1" applyAlignment="1">
      <alignment/>
    </xf>
    <xf numFmtId="3" fontId="0" fillId="0" borderId="129" xfId="0" applyNumberFormat="1" applyFont="1" applyBorder="1" applyAlignment="1">
      <alignment/>
    </xf>
    <xf numFmtId="3" fontId="1" fillId="0" borderId="93" xfId="0" applyNumberFormat="1" applyFont="1" applyBorder="1" applyAlignment="1">
      <alignment/>
    </xf>
    <xf numFmtId="0" fontId="0" fillId="0" borderId="65" xfId="0" applyFont="1" applyBorder="1" applyAlignment="1">
      <alignment horizontal="center"/>
    </xf>
    <xf numFmtId="3" fontId="12" fillId="2" borderId="130" xfId="0" applyNumberFormat="1" applyFont="1" applyFill="1" applyBorder="1" applyAlignment="1">
      <alignment/>
    </xf>
    <xf numFmtId="0" fontId="0" fillId="0" borderId="130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31" xfId="0" applyNumberFormat="1" applyFont="1" applyBorder="1" applyAlignment="1">
      <alignment/>
    </xf>
    <xf numFmtId="3" fontId="0" fillId="2" borderId="130" xfId="0" applyNumberFormat="1" applyFont="1" applyFill="1" applyBorder="1" applyAlignment="1">
      <alignment/>
    </xf>
    <xf numFmtId="3" fontId="0" fillId="0" borderId="132" xfId="0" applyNumberFormat="1" applyFont="1" applyBorder="1" applyAlignment="1">
      <alignment/>
    </xf>
    <xf numFmtId="0" fontId="0" fillId="0" borderId="28" xfId="0" applyFont="1" applyFill="1" applyBorder="1" applyAlignment="1">
      <alignment/>
    </xf>
    <xf numFmtId="3" fontId="0" fillId="0" borderId="41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128" xfId="0" applyNumberFormat="1" applyFont="1" applyBorder="1" applyAlignment="1">
      <alignment/>
    </xf>
    <xf numFmtId="3" fontId="1" fillId="0" borderId="10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2" fontId="31" fillId="0" borderId="0" xfId="0" applyNumberFormat="1" applyFont="1" applyFill="1" applyAlignment="1">
      <alignment/>
    </xf>
    <xf numFmtId="1" fontId="31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67" fontId="24" fillId="0" borderId="0" xfId="0" applyNumberFormat="1" applyFont="1" applyFill="1" applyAlignment="1">
      <alignment/>
    </xf>
    <xf numFmtId="167" fontId="24" fillId="0" borderId="78" xfId="0" applyNumberFormat="1" applyFont="1" applyFill="1" applyBorder="1" applyAlignment="1">
      <alignment/>
    </xf>
    <xf numFmtId="0" fontId="24" fillId="0" borderId="7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92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3" fontId="28" fillId="0" borderId="92" xfId="0" applyNumberFormat="1" applyFont="1" applyFill="1" applyBorder="1" applyAlignment="1">
      <alignment/>
    </xf>
    <xf numFmtId="3" fontId="28" fillId="0" borderId="93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28" fillId="0" borderId="41" xfId="0" applyNumberFormat="1" applyFont="1" applyFill="1" applyBorder="1" applyAlignment="1">
      <alignment/>
    </xf>
    <xf numFmtId="3" fontId="28" fillId="0" borderId="100" xfId="0" applyNumberFormat="1" applyFont="1" applyFill="1" applyBorder="1" applyAlignment="1">
      <alignment/>
    </xf>
    <xf numFmtId="3" fontId="28" fillId="0" borderId="128" xfId="0" applyNumberFormat="1" applyFont="1" applyFill="1" applyBorder="1" applyAlignment="1">
      <alignment/>
    </xf>
    <xf numFmtId="3" fontId="28" fillId="0" borderId="55" xfId="0" applyNumberFormat="1" applyFont="1" applyFill="1" applyBorder="1" applyAlignment="1">
      <alignment/>
    </xf>
    <xf numFmtId="3" fontId="28" fillId="0" borderId="71" xfId="0" applyNumberFormat="1" applyFont="1" applyFill="1" applyBorder="1" applyAlignment="1">
      <alignment/>
    </xf>
    <xf numFmtId="3" fontId="28" fillId="0" borderId="7" xfId="0" applyNumberFormat="1" applyFont="1" applyFill="1" applyBorder="1" applyAlignment="1">
      <alignment/>
    </xf>
    <xf numFmtId="0" fontId="28" fillId="0" borderId="92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3" fontId="28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 horizontal="center"/>
    </xf>
    <xf numFmtId="1" fontId="28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167" fontId="28" fillId="0" borderId="0" xfId="0" applyNumberFormat="1" applyFont="1" applyFill="1" applyAlignment="1">
      <alignment/>
    </xf>
    <xf numFmtId="2" fontId="28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" fontId="28" fillId="0" borderId="0" xfId="0" applyNumberFormat="1" applyFont="1" applyFill="1" applyBorder="1" applyAlignment="1">
      <alignment/>
    </xf>
    <xf numFmtId="3" fontId="28" fillId="0" borderId="133" xfId="0" applyNumberFormat="1" applyFont="1" applyFill="1" applyBorder="1" applyAlignment="1">
      <alignment/>
    </xf>
    <xf numFmtId="4" fontId="28" fillId="0" borderId="66" xfId="0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0" fontId="13" fillId="0" borderId="46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0" fontId="13" fillId="0" borderId="9" xfId="0" applyFont="1" applyBorder="1" applyAlignment="1">
      <alignment/>
    </xf>
    <xf numFmtId="3" fontId="13" fillId="2" borderId="134" xfId="0" applyNumberFormat="1" applyFont="1" applyFill="1" applyBorder="1" applyAlignment="1">
      <alignment/>
    </xf>
    <xf numFmtId="3" fontId="13" fillId="0" borderId="108" xfId="0" applyNumberFormat="1" applyFont="1" applyBorder="1" applyAlignment="1">
      <alignment/>
    </xf>
    <xf numFmtId="3" fontId="13" fillId="0" borderId="135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134" xfId="0" applyFont="1" applyBorder="1" applyAlignment="1">
      <alignment horizontal="center"/>
    </xf>
    <xf numFmtId="0" fontId="12" fillId="0" borderId="96" xfId="0" applyFont="1" applyBorder="1" applyAlignment="1">
      <alignment/>
    </xf>
    <xf numFmtId="3" fontId="12" fillId="2" borderId="134" xfId="0" applyNumberFormat="1" applyFont="1" applyFill="1" applyBorder="1" applyAlignment="1">
      <alignment/>
    </xf>
    <xf numFmtId="3" fontId="12" fillId="0" borderId="96" xfId="0" applyNumberFormat="1" applyFont="1" applyBorder="1" applyAlignment="1">
      <alignment/>
    </xf>
    <xf numFmtId="3" fontId="12" fillId="0" borderId="135" xfId="0" applyNumberFormat="1" applyFont="1" applyBorder="1" applyAlignment="1">
      <alignment/>
    </xf>
    <xf numFmtId="3" fontId="12" fillId="0" borderId="136" xfId="0" applyNumberFormat="1" applyFont="1" applyBorder="1" applyAlignment="1">
      <alignment/>
    </xf>
    <xf numFmtId="0" fontId="34" fillId="0" borderId="0" xfId="0" applyFont="1" applyAlignment="1">
      <alignment/>
    </xf>
    <xf numFmtId="3" fontId="1" fillId="0" borderId="0" xfId="0" applyNumberFormat="1" applyFont="1" applyAlignment="1">
      <alignment/>
    </xf>
    <xf numFmtId="3" fontId="22" fillId="0" borderId="0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11" fillId="0" borderId="15" xfId="20" applyFont="1" applyBorder="1" applyAlignment="1">
      <alignment horizontal="center"/>
      <protection/>
    </xf>
    <xf numFmtId="0" fontId="11" fillId="0" borderId="101" xfId="20" applyFont="1" applyBorder="1" applyAlignment="1">
      <alignment horizontal="center"/>
      <protection/>
    </xf>
    <xf numFmtId="0" fontId="5" fillId="3" borderId="47" xfId="20" applyFont="1" applyFill="1" applyBorder="1">
      <alignment/>
      <protection/>
    </xf>
    <xf numFmtId="0" fontId="5" fillId="3" borderId="10" xfId="20" applyFont="1" applyFill="1" applyBorder="1" applyAlignment="1">
      <alignment horizontal="center"/>
      <protection/>
    </xf>
    <xf numFmtId="0" fontId="11" fillId="3" borderId="90" xfId="20" applyFont="1" applyFill="1" applyBorder="1" applyAlignment="1">
      <alignment horizontal="center"/>
      <protection/>
    </xf>
    <xf numFmtId="0" fontId="5" fillId="0" borderId="7" xfId="20" applyFont="1" applyBorder="1">
      <alignment/>
      <protection/>
    </xf>
    <xf numFmtId="0" fontId="5" fillId="0" borderId="92" xfId="20" applyFont="1" applyFill="1" applyBorder="1" applyAlignment="1">
      <alignment horizontal="center"/>
      <protection/>
    </xf>
    <xf numFmtId="0" fontId="10" fillId="0" borderId="92" xfId="20" applyFont="1" applyBorder="1" applyAlignment="1">
      <alignment horizontal="center"/>
      <protection/>
    </xf>
    <xf numFmtId="0" fontId="10" fillId="0" borderId="14" xfId="20" applyFont="1" applyBorder="1">
      <alignment/>
      <protection/>
    </xf>
    <xf numFmtId="3" fontId="10" fillId="0" borderId="137" xfId="20" applyNumberFormat="1" applyFont="1" applyBorder="1" applyAlignment="1">
      <alignment horizontal="right"/>
      <protection/>
    </xf>
    <xf numFmtId="0" fontId="10" fillId="0" borderId="28" xfId="20" applyFont="1" applyBorder="1">
      <alignment/>
      <protection/>
    </xf>
    <xf numFmtId="3" fontId="10" fillId="0" borderId="66" xfId="20" applyNumberFormat="1" applyFont="1" applyBorder="1" applyAlignment="1">
      <alignment horizontal="right"/>
      <protection/>
    </xf>
    <xf numFmtId="0" fontId="37" fillId="0" borderId="8" xfId="20" applyFont="1" applyBorder="1">
      <alignment/>
      <protection/>
    </xf>
    <xf numFmtId="0" fontId="37" fillId="0" borderId="41" xfId="20" applyFont="1" applyBorder="1" applyAlignment="1">
      <alignment horizontal="center"/>
      <protection/>
    </xf>
    <xf numFmtId="0" fontId="10" fillId="0" borderId="48" xfId="20" applyFont="1" applyBorder="1">
      <alignment/>
      <protection/>
    </xf>
    <xf numFmtId="3" fontId="10" fillId="0" borderId="124" xfId="20" applyNumberFormat="1" applyFont="1" applyBorder="1" applyAlignment="1">
      <alignment horizontal="right"/>
      <protection/>
    </xf>
    <xf numFmtId="0" fontId="5" fillId="0" borderId="100" xfId="20" applyFont="1" applyFill="1" applyBorder="1">
      <alignment/>
      <protection/>
    </xf>
    <xf numFmtId="3" fontId="5" fillId="0" borderId="66" xfId="20" applyNumberFormat="1" applyFont="1" applyBorder="1">
      <alignment/>
      <protection/>
    </xf>
    <xf numFmtId="3" fontId="5" fillId="0" borderId="66" xfId="20" applyNumberFormat="1" applyFont="1" applyFill="1" applyBorder="1">
      <alignment/>
      <protection/>
    </xf>
    <xf numFmtId="0" fontId="5" fillId="0" borderId="110" xfId="20" applyFont="1" applyFill="1" applyBorder="1">
      <alignment/>
      <protection/>
    </xf>
    <xf numFmtId="3" fontId="5" fillId="0" borderId="138" xfId="20" applyNumberFormat="1" applyFont="1" applyFill="1" applyBorder="1">
      <alignment/>
      <protection/>
    </xf>
    <xf numFmtId="0" fontId="5" fillId="0" borderId="137" xfId="20" applyFont="1" applyFill="1" applyBorder="1" applyAlignment="1">
      <alignment horizontal="center"/>
      <protection/>
    </xf>
    <xf numFmtId="0" fontId="5" fillId="0" borderId="77" xfId="20" applyFont="1" applyFill="1" applyBorder="1">
      <alignment/>
      <protection/>
    </xf>
    <xf numFmtId="3" fontId="5" fillId="0" borderId="137" xfId="20" applyNumberFormat="1" applyFont="1" applyFill="1" applyBorder="1">
      <alignment/>
      <protection/>
    </xf>
    <xf numFmtId="3" fontId="10" fillId="0" borderId="137" xfId="20" applyNumberFormat="1" applyFont="1" applyFill="1" applyBorder="1">
      <alignment/>
      <protection/>
    </xf>
    <xf numFmtId="3" fontId="10" fillId="2" borderId="108" xfId="20" applyNumberFormat="1" applyFont="1" applyFill="1" applyBorder="1">
      <alignment/>
      <protection/>
    </xf>
    <xf numFmtId="3" fontId="5" fillId="0" borderId="108" xfId="20" applyNumberFormat="1" applyFont="1" applyBorder="1">
      <alignment/>
      <protection/>
    </xf>
    <xf numFmtId="3" fontId="5" fillId="0" borderId="36" xfId="20" applyNumberFormat="1" applyFont="1" applyBorder="1" applyAlignment="1">
      <alignment horizontal="right"/>
      <protection/>
    </xf>
    <xf numFmtId="0" fontId="5" fillId="0" borderId="41" xfId="20" applyFont="1" applyBorder="1">
      <alignment/>
      <protection/>
    </xf>
    <xf numFmtId="0" fontId="10" fillId="2" borderId="17" xfId="20" applyFont="1" applyFill="1" applyBorder="1" applyAlignment="1">
      <alignment horizontal="center"/>
      <protection/>
    </xf>
    <xf numFmtId="0" fontId="5" fillId="0" borderId="139" xfId="20" applyFont="1" applyBorder="1" applyAlignment="1">
      <alignment horizontal="center"/>
      <protection/>
    </xf>
    <xf numFmtId="0" fontId="5" fillId="0" borderId="139" xfId="20" applyFont="1" applyBorder="1">
      <alignment/>
      <protection/>
    </xf>
    <xf numFmtId="3" fontId="5" fillId="0" borderId="139" xfId="20" applyNumberFormat="1" applyFont="1" applyBorder="1">
      <alignment/>
      <protection/>
    </xf>
    <xf numFmtId="0" fontId="11" fillId="3" borderId="10" xfId="20" applyFont="1" applyFill="1" applyBorder="1" applyAlignment="1">
      <alignment horizontal="center"/>
      <protection/>
    </xf>
    <xf numFmtId="3" fontId="11" fillId="3" borderId="37" xfId="20" applyNumberFormat="1" applyFont="1" applyFill="1" applyBorder="1">
      <alignment/>
      <protection/>
    </xf>
    <xf numFmtId="0" fontId="5" fillId="0" borderId="84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5" fillId="0" borderId="0" xfId="20" applyFont="1" applyFill="1" applyBorder="1" applyAlignment="1">
      <alignment horizontal="center"/>
      <protection/>
    </xf>
    <xf numFmtId="3" fontId="11" fillId="0" borderId="0" xfId="20" applyNumberFormat="1" applyFont="1" applyFill="1" applyBorder="1">
      <alignment/>
      <protection/>
    </xf>
    <xf numFmtId="0" fontId="0" fillId="0" borderId="15" xfId="0" applyFont="1" applyFill="1" applyBorder="1" applyAlignment="1">
      <alignment horizontal="center"/>
    </xf>
    <xf numFmtId="0" fontId="0" fillId="0" borderId="101" xfId="0" applyFont="1" applyFill="1" applyBorder="1" applyAlignment="1">
      <alignment horizontal="center"/>
    </xf>
    <xf numFmtId="3" fontId="0" fillId="0" borderId="58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4" fontId="0" fillId="0" borderId="92" xfId="0" applyNumberFormat="1" applyFont="1" applyFill="1" applyBorder="1" applyAlignment="1">
      <alignment/>
    </xf>
    <xf numFmtId="4" fontId="0" fillId="0" borderId="100" xfId="0" applyNumberFormat="1" applyFont="1" applyFill="1" applyBorder="1" applyAlignment="1">
      <alignment/>
    </xf>
    <xf numFmtId="4" fontId="0" fillId="0" borderId="71" xfId="0" applyNumberFormat="1" applyFont="1" applyFill="1" applyBorder="1" applyAlignment="1">
      <alignment/>
    </xf>
    <xf numFmtId="3" fontId="0" fillId="0" borderId="128" xfId="0" applyNumberFormat="1" applyFill="1" applyBorder="1" applyAlignment="1">
      <alignment/>
    </xf>
    <xf numFmtId="164" fontId="5" fillId="0" borderId="92" xfId="0" applyNumberFormat="1" applyFont="1" applyFill="1" applyBorder="1" applyAlignment="1">
      <alignment/>
    </xf>
    <xf numFmtId="164" fontId="5" fillId="0" borderId="100" xfId="0" applyNumberFormat="1" applyFont="1" applyFill="1" applyBorder="1" applyAlignment="1">
      <alignment/>
    </xf>
    <xf numFmtId="164" fontId="5" fillId="0" borderId="71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164" fontId="0" fillId="0" borderId="90" xfId="0" applyNumberFormat="1" applyFont="1" applyFill="1" applyBorder="1" applyAlignment="1">
      <alignment/>
    </xf>
    <xf numFmtId="14" fontId="19" fillId="0" borderId="0" xfId="20" applyNumberFormat="1" applyFont="1">
      <alignment/>
      <protection/>
    </xf>
    <xf numFmtId="0" fontId="5" fillId="0" borderId="0" xfId="20" applyFont="1" applyAlignment="1">
      <alignment horizontal="right"/>
      <protection/>
    </xf>
    <xf numFmtId="0" fontId="6" fillId="0" borderId="106" xfId="20" applyFont="1" applyBorder="1" applyAlignment="1">
      <alignment horizontal="center"/>
      <protection/>
    </xf>
    <xf numFmtId="0" fontId="5" fillId="0" borderId="106" xfId="20" applyFont="1" applyBorder="1" applyAlignment="1">
      <alignment horizontal="center"/>
      <protection/>
    </xf>
    <xf numFmtId="0" fontId="6" fillId="0" borderId="6" xfId="20" applyFont="1" applyBorder="1" applyAlignment="1">
      <alignment horizontal="center"/>
      <protection/>
    </xf>
    <xf numFmtId="0" fontId="5" fillId="0" borderId="6" xfId="20" applyFont="1" applyBorder="1" applyAlignment="1">
      <alignment horizontal="center"/>
      <protection/>
    </xf>
    <xf numFmtId="3" fontId="6" fillId="3" borderId="10" xfId="20" applyNumberFormat="1" applyFont="1" applyFill="1" applyBorder="1" applyAlignment="1">
      <alignment horizontal="right"/>
      <protection/>
    </xf>
    <xf numFmtId="3" fontId="6" fillId="3" borderId="13" xfId="20" applyNumberFormat="1" applyFont="1" applyFill="1" applyBorder="1" applyAlignment="1">
      <alignment horizontal="right"/>
      <protection/>
    </xf>
    <xf numFmtId="3" fontId="5" fillId="3" borderId="37" xfId="20" applyNumberFormat="1" applyFont="1" applyFill="1" applyBorder="1" applyAlignment="1">
      <alignment horizontal="right"/>
      <protection/>
    </xf>
    <xf numFmtId="0" fontId="5" fillId="2" borderId="140" xfId="20" applyFont="1" applyFill="1" applyBorder="1" applyAlignment="1">
      <alignment horizontal="center"/>
      <protection/>
    </xf>
    <xf numFmtId="0" fontId="5" fillId="2" borderId="141" xfId="20" applyFont="1" applyFill="1" applyBorder="1">
      <alignment/>
      <protection/>
    </xf>
    <xf numFmtId="3" fontId="6" fillId="2" borderId="142" xfId="20" applyNumberFormat="1" applyFont="1" applyFill="1" applyBorder="1" applyAlignment="1">
      <alignment horizontal="right"/>
      <protection/>
    </xf>
    <xf numFmtId="3" fontId="6" fillId="2" borderId="142" xfId="20" applyNumberFormat="1" applyFont="1" applyFill="1" applyBorder="1">
      <alignment/>
      <protection/>
    </xf>
    <xf numFmtId="3" fontId="5" fillId="2" borderId="142" xfId="20" applyNumberFormat="1" applyFont="1" applyFill="1" applyBorder="1">
      <alignment/>
      <protection/>
    </xf>
    <xf numFmtId="3" fontId="6" fillId="0" borderId="137" xfId="20" applyNumberFormat="1" applyFont="1" applyFill="1" applyBorder="1" applyAlignment="1">
      <alignment horizontal="right"/>
      <protection/>
    </xf>
    <xf numFmtId="3" fontId="6" fillId="0" borderId="137" xfId="20" applyNumberFormat="1" applyFont="1" applyFill="1" applyBorder="1">
      <alignment/>
      <protection/>
    </xf>
    <xf numFmtId="0" fontId="5" fillId="0" borderId="143" xfId="20" applyFont="1" applyFill="1" applyBorder="1">
      <alignment/>
      <protection/>
    </xf>
    <xf numFmtId="3" fontId="6" fillId="0" borderId="36" xfId="20" applyNumberFormat="1" applyFont="1" applyFill="1" applyBorder="1" applyAlignment="1">
      <alignment horizontal="right"/>
      <protection/>
    </xf>
    <xf numFmtId="3" fontId="6" fillId="0" borderId="36" xfId="20" applyNumberFormat="1" applyFont="1" applyFill="1" applyBorder="1">
      <alignment/>
      <protection/>
    </xf>
    <xf numFmtId="3" fontId="5" fillId="0" borderId="36" xfId="20" applyNumberFormat="1" applyFont="1" applyFill="1" applyBorder="1">
      <alignment/>
      <protection/>
    </xf>
    <xf numFmtId="0" fontId="5" fillId="2" borderId="97" xfId="20" applyFont="1" applyFill="1" applyBorder="1" applyAlignment="1">
      <alignment horizontal="center"/>
      <protection/>
    </xf>
    <xf numFmtId="0" fontId="5" fillId="2" borderId="109" xfId="20" applyFont="1" applyFill="1" applyBorder="1">
      <alignment/>
      <protection/>
    </xf>
    <xf numFmtId="3" fontId="6" fillId="2" borderId="108" xfId="20" applyNumberFormat="1" applyFont="1" applyFill="1" applyBorder="1" applyAlignment="1">
      <alignment horizontal="right"/>
      <protection/>
    </xf>
    <xf numFmtId="3" fontId="6" fillId="2" borderId="108" xfId="20" applyNumberFormat="1" applyFont="1" applyFill="1" applyBorder="1">
      <alignment/>
      <protection/>
    </xf>
    <xf numFmtId="3" fontId="5" fillId="2" borderId="108" xfId="20" applyNumberFormat="1" applyFont="1" applyFill="1" applyBorder="1">
      <alignment/>
      <protection/>
    </xf>
    <xf numFmtId="3" fontId="5" fillId="2" borderId="108" xfId="20" applyNumberFormat="1" applyFont="1" applyFill="1" applyBorder="1" applyAlignment="1">
      <alignment horizontal="right"/>
      <protection/>
    </xf>
    <xf numFmtId="3" fontId="9" fillId="0" borderId="137" xfId="20" applyNumberFormat="1" applyFont="1" applyBorder="1" applyAlignment="1">
      <alignment horizontal="center"/>
      <protection/>
    </xf>
    <xf numFmtId="3" fontId="9" fillId="0" borderId="137" xfId="20" applyNumberFormat="1" applyFont="1" applyBorder="1" applyAlignment="1">
      <alignment horizontal="right"/>
      <protection/>
    </xf>
    <xf numFmtId="3" fontId="9" fillId="0" borderId="66" xfId="20" applyNumberFormat="1" applyFont="1" applyBorder="1" applyAlignment="1">
      <alignment horizontal="center"/>
      <protection/>
    </xf>
    <xf numFmtId="3" fontId="9" fillId="0" borderId="66" xfId="20" applyNumberFormat="1" applyFont="1" applyBorder="1" applyAlignment="1">
      <alignment horizontal="right"/>
      <protection/>
    </xf>
    <xf numFmtId="3" fontId="9" fillId="0" borderId="124" xfId="20" applyNumberFormat="1" applyFont="1" applyBorder="1" applyAlignment="1">
      <alignment horizontal="center"/>
      <protection/>
    </xf>
    <xf numFmtId="3" fontId="9" fillId="0" borderId="124" xfId="20" applyNumberFormat="1" applyFont="1" applyBorder="1" applyAlignment="1">
      <alignment horizontal="right"/>
      <protection/>
    </xf>
    <xf numFmtId="0" fontId="5" fillId="2" borderId="96" xfId="20" applyFont="1" applyFill="1" applyBorder="1">
      <alignment/>
      <protection/>
    </xf>
    <xf numFmtId="3" fontId="6" fillId="2" borderId="97" xfId="20" applyNumberFormat="1" applyFont="1" applyFill="1" applyBorder="1" applyAlignment="1">
      <alignment horizontal="right"/>
      <protection/>
    </xf>
    <xf numFmtId="0" fontId="37" fillId="0" borderId="50" xfId="20" applyFont="1" applyBorder="1" applyAlignment="1">
      <alignment horizontal="center"/>
      <protection/>
    </xf>
    <xf numFmtId="3" fontId="9" fillId="0" borderId="0" xfId="20" applyNumberFormat="1" applyFont="1" applyBorder="1">
      <alignment/>
      <protection/>
    </xf>
    <xf numFmtId="3" fontId="9" fillId="0" borderId="36" xfId="20" applyNumberFormat="1" applyFont="1" applyBorder="1">
      <alignment/>
      <protection/>
    </xf>
    <xf numFmtId="3" fontId="10" fillId="0" borderId="36" xfId="20" applyNumberFormat="1" applyFont="1" applyBorder="1">
      <alignment/>
      <protection/>
    </xf>
    <xf numFmtId="3" fontId="5" fillId="3" borderId="37" xfId="20" applyNumberFormat="1" applyFont="1" applyFill="1" applyBorder="1" applyAlignment="1">
      <alignment horizontal="right"/>
      <protection/>
    </xf>
    <xf numFmtId="3" fontId="6" fillId="0" borderId="66" xfId="20" applyNumberFormat="1" applyFont="1" applyBorder="1">
      <alignment/>
      <protection/>
    </xf>
    <xf numFmtId="3" fontId="6" fillId="0" borderId="66" xfId="20" applyNumberFormat="1" applyFont="1" applyFill="1" applyBorder="1">
      <alignment/>
      <protection/>
    </xf>
    <xf numFmtId="3" fontId="6" fillId="0" borderId="138" xfId="20" applyNumberFormat="1" applyFont="1" applyFill="1" applyBorder="1">
      <alignment/>
      <protection/>
    </xf>
    <xf numFmtId="3" fontId="9" fillId="0" borderId="137" xfId="20" applyNumberFormat="1" applyFont="1" applyFill="1" applyBorder="1">
      <alignment/>
      <protection/>
    </xf>
    <xf numFmtId="3" fontId="9" fillId="2" borderId="108" xfId="20" applyNumberFormat="1" applyFont="1" applyFill="1" applyBorder="1">
      <alignment/>
      <protection/>
    </xf>
    <xf numFmtId="3" fontId="6" fillId="0" borderId="139" xfId="20" applyNumberFormat="1" applyFont="1" applyBorder="1">
      <alignment/>
      <protection/>
    </xf>
    <xf numFmtId="0" fontId="5" fillId="0" borderId="17" xfId="20" applyFont="1" applyBorder="1">
      <alignment/>
      <protection/>
    </xf>
    <xf numFmtId="3" fontId="6" fillId="0" borderId="17" xfId="20" applyNumberFormat="1" applyFont="1" applyBorder="1">
      <alignment/>
      <protection/>
    </xf>
    <xf numFmtId="3" fontId="5" fillId="0" borderId="17" xfId="20" applyNumberFormat="1" applyFont="1" applyBorder="1">
      <alignment/>
      <protection/>
    </xf>
    <xf numFmtId="3" fontId="6" fillId="0" borderId="36" xfId="20" applyNumberFormat="1" applyFont="1" applyBorder="1" applyAlignment="1">
      <alignment horizontal="center"/>
      <protection/>
    </xf>
    <xf numFmtId="3" fontId="6" fillId="0" borderId="36" xfId="20" applyNumberFormat="1" applyFont="1" applyBorder="1" applyAlignment="1">
      <alignment horizontal="right"/>
      <protection/>
    </xf>
    <xf numFmtId="3" fontId="6" fillId="0" borderId="66" xfId="20" applyNumberFormat="1" applyFont="1" applyBorder="1" applyAlignment="1">
      <alignment horizontal="center"/>
      <protection/>
    </xf>
    <xf numFmtId="3" fontId="6" fillId="0" borderId="66" xfId="20" applyNumberFormat="1" applyFont="1" applyBorder="1" applyAlignment="1">
      <alignment horizontal="right"/>
      <protection/>
    </xf>
    <xf numFmtId="3" fontId="9" fillId="2" borderId="97" xfId="20" applyNumberFormat="1" applyFont="1" applyFill="1" applyBorder="1">
      <alignment/>
      <protection/>
    </xf>
    <xf numFmtId="3" fontId="6" fillId="0" borderId="108" xfId="20" applyNumberFormat="1" applyFont="1" applyBorder="1">
      <alignment/>
      <protection/>
    </xf>
    <xf numFmtId="3" fontId="15" fillId="3" borderId="37" xfId="20" applyNumberFormat="1" applyFont="1" applyFill="1" applyBorder="1">
      <alignment/>
      <protection/>
    </xf>
    <xf numFmtId="3" fontId="6" fillId="0" borderId="6" xfId="20" applyNumberFormat="1" applyFont="1" applyBorder="1">
      <alignment/>
      <protection/>
    </xf>
    <xf numFmtId="3" fontId="5" fillId="0" borderId="6" xfId="20" applyNumberFormat="1" applyFont="1" applyBorder="1">
      <alignment/>
      <protection/>
    </xf>
    <xf numFmtId="0" fontId="5" fillId="0" borderId="0" xfId="20" applyFont="1" applyFill="1" applyBorder="1">
      <alignment/>
      <protection/>
    </xf>
    <xf numFmtId="3" fontId="6" fillId="0" borderId="0" xfId="20" applyNumberFormat="1" applyFont="1" applyFill="1" applyBorder="1">
      <alignment/>
      <protection/>
    </xf>
    <xf numFmtId="3" fontId="5" fillId="0" borderId="0" xfId="20" applyNumberFormat="1" applyFont="1" applyFill="1" applyBorder="1">
      <alignment/>
      <protection/>
    </xf>
    <xf numFmtId="0" fontId="40" fillId="0" borderId="0" xfId="20" applyFont="1">
      <alignment/>
      <protection/>
    </xf>
    <xf numFmtId="0" fontId="26" fillId="0" borderId="0" xfId="20" applyFont="1" applyBorder="1">
      <alignment/>
      <protection/>
    </xf>
    <xf numFmtId="0" fontId="26" fillId="0" borderId="0" xfId="20" applyFont="1">
      <alignment/>
      <protection/>
    </xf>
    <xf numFmtId="3" fontId="26" fillId="0" borderId="0" xfId="20" applyNumberFormat="1" applyFont="1" applyBorder="1">
      <alignment/>
      <protection/>
    </xf>
    <xf numFmtId="3" fontId="26" fillId="0" borderId="0" xfId="20" applyNumberFormat="1" applyFont="1" applyBorder="1">
      <alignment/>
      <protection/>
    </xf>
    <xf numFmtId="3" fontId="41" fillId="0" borderId="0" xfId="20" applyNumberFormat="1" applyFont="1" applyBorder="1">
      <alignment/>
      <protection/>
    </xf>
    <xf numFmtId="0" fontId="5" fillId="0" borderId="144" xfId="20" applyFont="1" applyBorder="1">
      <alignment/>
      <protection/>
    </xf>
    <xf numFmtId="0" fontId="5" fillId="0" borderId="140" xfId="20" applyFont="1" applyBorder="1" applyAlignment="1">
      <alignment horizontal="center"/>
      <protection/>
    </xf>
    <xf numFmtId="0" fontId="11" fillId="0" borderId="145" xfId="20" applyFont="1" applyBorder="1" applyAlignment="1">
      <alignment horizontal="center"/>
      <protection/>
    </xf>
    <xf numFmtId="0" fontId="6" fillId="0" borderId="140" xfId="20" applyFont="1" applyBorder="1" applyAlignment="1">
      <alignment horizontal="center"/>
      <protection/>
    </xf>
    <xf numFmtId="0" fontId="5" fillId="0" borderId="146" xfId="20" applyFont="1" applyBorder="1" applyAlignment="1">
      <alignment horizontal="center"/>
      <protection/>
    </xf>
    <xf numFmtId="0" fontId="5" fillId="0" borderId="8" xfId="20" applyFont="1" applyBorder="1">
      <alignment/>
      <protection/>
    </xf>
    <xf numFmtId="0" fontId="5" fillId="0" borderId="92" xfId="20" applyFont="1" applyBorder="1" applyAlignment="1">
      <alignment horizontal="center"/>
      <protection/>
    </xf>
    <xf numFmtId="3" fontId="6" fillId="0" borderId="92" xfId="20" applyNumberFormat="1" applyFont="1" applyBorder="1">
      <alignment/>
      <protection/>
    </xf>
    <xf numFmtId="3" fontId="5" fillId="0" borderId="92" xfId="20" applyNumberFormat="1" applyFont="1" applyBorder="1">
      <alignment/>
      <protection/>
    </xf>
    <xf numFmtId="3" fontId="5" fillId="0" borderId="93" xfId="20" applyNumberFormat="1" applyFont="1" applyBorder="1">
      <alignment/>
      <protection/>
    </xf>
    <xf numFmtId="0" fontId="5" fillId="0" borderId="86" xfId="20" applyFont="1" applyBorder="1">
      <alignment/>
      <protection/>
    </xf>
    <xf numFmtId="0" fontId="5" fillId="0" borderId="100" xfId="20" applyFont="1" applyBorder="1" applyAlignment="1">
      <alignment horizontal="center"/>
      <protection/>
    </xf>
    <xf numFmtId="0" fontId="5" fillId="0" borderId="28" xfId="20" applyFont="1" applyBorder="1">
      <alignment/>
      <protection/>
    </xf>
    <xf numFmtId="3" fontId="6" fillId="0" borderId="100" xfId="20" applyNumberFormat="1" applyFont="1" applyBorder="1">
      <alignment/>
      <protection/>
    </xf>
    <xf numFmtId="3" fontId="5" fillId="0" borderId="100" xfId="20" applyNumberFormat="1" applyFont="1" applyBorder="1">
      <alignment/>
      <protection/>
    </xf>
    <xf numFmtId="3" fontId="5" fillId="0" borderId="128" xfId="20" applyNumberFormat="1" applyFont="1" applyBorder="1">
      <alignment/>
      <protection/>
    </xf>
    <xf numFmtId="3" fontId="19" fillId="0" borderId="92" xfId="20" applyNumberFormat="1" applyFont="1" applyBorder="1">
      <alignment/>
      <protection/>
    </xf>
    <xf numFmtId="0" fontId="11" fillId="3" borderId="95" xfId="20" applyFont="1" applyFill="1" applyBorder="1">
      <alignment/>
      <protection/>
    </xf>
    <xf numFmtId="0" fontId="11" fillId="3" borderId="97" xfId="20" applyFont="1" applyFill="1" applyBorder="1" applyAlignment="1">
      <alignment horizontal="center"/>
      <protection/>
    </xf>
    <xf numFmtId="3" fontId="15" fillId="3" borderId="97" xfId="20" applyNumberFormat="1" applyFont="1" applyFill="1" applyBorder="1">
      <alignment/>
      <protection/>
    </xf>
    <xf numFmtId="3" fontId="11" fillId="3" borderId="97" xfId="20" applyNumberFormat="1" applyFont="1" applyFill="1" applyBorder="1">
      <alignment/>
      <protection/>
    </xf>
    <xf numFmtId="0" fontId="11" fillId="0" borderId="21" xfId="20" applyFont="1" applyBorder="1">
      <alignment/>
      <protection/>
    </xf>
    <xf numFmtId="0" fontId="11" fillId="0" borderId="2" xfId="20" applyFont="1" applyBorder="1" applyAlignment="1">
      <alignment horizontal="center"/>
      <protection/>
    </xf>
    <xf numFmtId="3" fontId="6" fillId="0" borderId="84" xfId="20" applyNumberFormat="1" applyFont="1" applyBorder="1">
      <alignment/>
      <protection/>
    </xf>
    <xf numFmtId="3" fontId="5" fillId="0" borderId="84" xfId="20" applyNumberFormat="1" applyFont="1" applyBorder="1">
      <alignment/>
      <protection/>
    </xf>
    <xf numFmtId="0" fontId="11" fillId="0" borderId="0" xfId="0" applyFont="1" applyAlignment="1">
      <alignment horizontal="left"/>
    </xf>
    <xf numFmtId="0" fontId="25" fillId="0" borderId="0" xfId="23" applyFont="1" applyAlignment="1">
      <alignment/>
      <protection/>
    </xf>
    <xf numFmtId="0" fontId="25" fillId="0" borderId="0" xfId="23" applyFont="1" applyAlignment="1">
      <alignment horizontal="center"/>
      <protection/>
    </xf>
    <xf numFmtId="0" fontId="25" fillId="0" borderId="0" xfId="23" applyFont="1">
      <alignment/>
      <protection/>
    </xf>
    <xf numFmtId="0" fontId="25" fillId="0" borderId="0" xfId="23" applyFont="1" applyAlignment="1">
      <alignment horizontal="left"/>
      <protection/>
    </xf>
    <xf numFmtId="0" fontId="44" fillId="0" borderId="144" xfId="23" applyFont="1" applyBorder="1" applyAlignment="1">
      <alignment horizontal="center"/>
      <protection/>
    </xf>
    <xf numFmtId="0" fontId="44" fillId="0" borderId="147" xfId="23" applyFont="1" applyBorder="1" applyAlignment="1">
      <alignment/>
      <protection/>
    </xf>
    <xf numFmtId="0" fontId="44" fillId="0" borderId="148" xfId="23" applyFont="1" applyBorder="1" applyAlignment="1">
      <alignment horizontal="center"/>
      <protection/>
    </xf>
    <xf numFmtId="0" fontId="44" fillId="0" borderId="52" xfId="23" applyFont="1" applyBorder="1" applyAlignment="1">
      <alignment/>
      <protection/>
    </xf>
    <xf numFmtId="0" fontId="44" fillId="0" borderId="11" xfId="23" applyFont="1" applyBorder="1" applyAlignment="1">
      <alignment horizontal="center"/>
      <protection/>
    </xf>
    <xf numFmtId="0" fontId="44" fillId="0" borderId="50" xfId="23" applyFont="1" applyBorder="1" applyAlignment="1">
      <alignment horizontal="center"/>
      <protection/>
    </xf>
    <xf numFmtId="0" fontId="44" fillId="0" borderId="54" xfId="23" applyFont="1" applyBorder="1" applyAlignment="1">
      <alignment horizontal="center"/>
      <protection/>
    </xf>
    <xf numFmtId="0" fontId="44" fillId="0" borderId="11" xfId="0" applyFont="1" applyFill="1" applyBorder="1" applyAlignment="1">
      <alignment horizontal="center"/>
    </xf>
    <xf numFmtId="0" fontId="44" fillId="0" borderId="50" xfId="0" applyFont="1" applyFill="1" applyBorder="1" applyAlignment="1">
      <alignment horizontal="center"/>
    </xf>
    <xf numFmtId="0" fontId="44" fillId="0" borderId="54" xfId="0" applyFont="1" applyFill="1" applyBorder="1" applyAlignment="1">
      <alignment horizontal="center"/>
    </xf>
    <xf numFmtId="0" fontId="44" fillId="2" borderId="50" xfId="0" applyFont="1" applyFill="1" applyBorder="1" applyAlignment="1">
      <alignment horizontal="center"/>
    </xf>
    <xf numFmtId="0" fontId="45" fillId="0" borderId="95" xfId="23" applyFont="1" applyBorder="1" applyAlignment="1">
      <alignment horizontal="center"/>
      <protection/>
    </xf>
    <xf numFmtId="0" fontId="45" fillId="0" borderId="149" xfId="23" applyFont="1" applyBorder="1" applyAlignment="1">
      <alignment/>
      <protection/>
    </xf>
    <xf numFmtId="0" fontId="45" fillId="0" borderId="134" xfId="23" applyFont="1" applyBorder="1" applyAlignment="1">
      <alignment horizontal="center"/>
      <protection/>
    </xf>
    <xf numFmtId="0" fontId="45" fillId="0" borderId="97" xfId="23" applyFont="1" applyBorder="1" applyAlignment="1">
      <alignment horizontal="center"/>
      <protection/>
    </xf>
    <xf numFmtId="0" fontId="45" fillId="0" borderId="98" xfId="23" applyFont="1" applyBorder="1" applyAlignment="1">
      <alignment horizontal="center"/>
      <protection/>
    </xf>
    <xf numFmtId="0" fontId="45" fillId="0" borderId="0" xfId="23" applyFont="1">
      <alignment/>
      <protection/>
    </xf>
    <xf numFmtId="0" fontId="44" fillId="0" borderId="8" xfId="23" applyFont="1" applyBorder="1" applyAlignment="1">
      <alignment horizontal="center"/>
      <protection/>
    </xf>
    <xf numFmtId="0" fontId="44" fillId="0" borderId="35" xfId="23" applyFont="1" applyBorder="1" applyAlignment="1">
      <alignment/>
      <protection/>
    </xf>
    <xf numFmtId="4" fontId="25" fillId="0" borderId="93" xfId="23" applyNumberFormat="1" applyFont="1" applyBorder="1">
      <alignment/>
      <protection/>
    </xf>
    <xf numFmtId="4" fontId="25" fillId="0" borderId="7" xfId="0" applyNumberFormat="1" applyFont="1" applyBorder="1" applyAlignment="1">
      <alignment horizontal="right"/>
    </xf>
    <xf numFmtId="3" fontId="25" fillId="0" borderId="7" xfId="0" applyNumberFormat="1" applyFont="1" applyBorder="1" applyAlignment="1">
      <alignment horizontal="right"/>
    </xf>
    <xf numFmtId="3" fontId="25" fillId="0" borderId="93" xfId="0" applyNumberFormat="1" applyFont="1" applyFill="1" applyBorder="1" applyAlignment="1">
      <alignment/>
    </xf>
    <xf numFmtId="0" fontId="44" fillId="0" borderId="86" xfId="23" applyFont="1" applyBorder="1" applyAlignment="1">
      <alignment horizontal="center"/>
      <protection/>
    </xf>
    <xf numFmtId="0" fontId="44" fillId="0" borderId="29" xfId="23" applyFont="1" applyBorder="1" applyAlignment="1">
      <alignment/>
      <protection/>
    </xf>
    <xf numFmtId="4" fontId="25" fillId="0" borderId="100" xfId="23" applyNumberFormat="1" applyFont="1" applyBorder="1" applyAlignment="1">
      <alignment horizontal="right"/>
      <protection/>
    </xf>
    <xf numFmtId="4" fontId="25" fillId="0" borderId="128" xfId="23" applyNumberFormat="1" applyFont="1" applyBorder="1">
      <alignment/>
      <protection/>
    </xf>
    <xf numFmtId="4" fontId="25" fillId="0" borderId="55" xfId="0" applyNumberFormat="1" applyFont="1" applyBorder="1" applyAlignment="1">
      <alignment horizontal="right"/>
    </xf>
    <xf numFmtId="4" fontId="25" fillId="0" borderId="100" xfId="0" applyNumberFormat="1" applyFont="1" applyBorder="1" applyAlignment="1">
      <alignment horizontal="right"/>
    </xf>
    <xf numFmtId="3" fontId="25" fillId="0" borderId="55" xfId="0" applyNumberFormat="1" applyFont="1" applyBorder="1" applyAlignment="1">
      <alignment horizontal="right"/>
    </xf>
    <xf numFmtId="3" fontId="25" fillId="0" borderId="100" xfId="0" applyNumberFormat="1" applyFont="1" applyBorder="1" applyAlignment="1">
      <alignment horizontal="right"/>
    </xf>
    <xf numFmtId="3" fontId="25" fillId="0" borderId="128" xfId="0" applyNumberFormat="1" applyFont="1" applyFill="1" applyBorder="1" applyAlignment="1">
      <alignment/>
    </xf>
    <xf numFmtId="0" fontId="44" fillId="0" borderId="46" xfId="23" applyFont="1" applyBorder="1" applyAlignment="1">
      <alignment horizontal="center"/>
      <protection/>
    </xf>
    <xf numFmtId="0" fontId="44" fillId="0" borderId="19" xfId="23" applyFont="1" applyBorder="1" applyAlignment="1">
      <alignment/>
      <protection/>
    </xf>
    <xf numFmtId="4" fontId="25" fillId="0" borderId="129" xfId="23" applyNumberFormat="1" applyFont="1" applyBorder="1">
      <alignment/>
      <protection/>
    </xf>
    <xf numFmtId="4" fontId="25" fillId="0" borderId="32" xfId="0" applyNumberFormat="1" applyFont="1" applyBorder="1" applyAlignment="1">
      <alignment horizontal="right"/>
    </xf>
    <xf numFmtId="4" fontId="25" fillId="0" borderId="41" xfId="0" applyNumberFormat="1" applyFont="1" applyBorder="1" applyAlignment="1">
      <alignment horizontal="right"/>
    </xf>
    <xf numFmtId="3" fontId="25" fillId="0" borderId="32" xfId="0" applyNumberFormat="1" applyFont="1" applyBorder="1" applyAlignment="1">
      <alignment horizontal="right"/>
    </xf>
    <xf numFmtId="3" fontId="25" fillId="0" borderId="107" xfId="0" applyNumberFormat="1" applyFont="1" applyBorder="1" applyAlignment="1">
      <alignment horizontal="right"/>
    </xf>
    <xf numFmtId="3" fontId="25" fillId="0" borderId="129" xfId="0" applyNumberFormat="1" applyFont="1" applyFill="1" applyBorder="1" applyAlignment="1">
      <alignment/>
    </xf>
    <xf numFmtId="3" fontId="25" fillId="0" borderId="94" xfId="0" applyNumberFormat="1" applyFont="1" applyFill="1" applyBorder="1" applyAlignment="1">
      <alignment/>
    </xf>
    <xf numFmtId="3" fontId="25" fillId="0" borderId="55" xfId="0" applyNumberFormat="1" applyFont="1" applyFill="1" applyBorder="1" applyAlignment="1">
      <alignment horizontal="right"/>
    </xf>
    <xf numFmtId="3" fontId="25" fillId="0" borderId="42" xfId="0" applyNumberFormat="1" applyFont="1" applyFill="1" applyBorder="1" applyAlignment="1">
      <alignment/>
    </xf>
    <xf numFmtId="0" fontId="25" fillId="0" borderId="148" xfId="23" applyFont="1" applyBorder="1" applyAlignment="1">
      <alignment horizontal="left"/>
      <protection/>
    </xf>
    <xf numFmtId="0" fontId="25" fillId="0" borderId="52" xfId="23" applyFont="1" applyBorder="1" applyAlignment="1">
      <alignment/>
      <protection/>
    </xf>
    <xf numFmtId="3" fontId="25" fillId="0" borderId="148" xfId="0" applyNumberFormat="1" applyFont="1" applyBorder="1" applyAlignment="1">
      <alignment horizontal="right"/>
    </xf>
    <xf numFmtId="3" fontId="25" fillId="0" borderId="50" xfId="0" applyNumberFormat="1" applyFont="1" applyBorder="1" applyAlignment="1">
      <alignment horizontal="right"/>
    </xf>
    <xf numFmtId="3" fontId="25" fillId="0" borderId="54" xfId="0" applyNumberFormat="1" applyFont="1" applyFill="1" applyBorder="1" applyAlignment="1">
      <alignment/>
    </xf>
    <xf numFmtId="3" fontId="25" fillId="2" borderId="50" xfId="0" applyNumberFormat="1" applyFont="1" applyFill="1" applyBorder="1" applyAlignment="1">
      <alignment horizontal="right"/>
    </xf>
    <xf numFmtId="0" fontId="25" fillId="0" borderId="86" xfId="23" applyFont="1" applyBorder="1" applyAlignment="1">
      <alignment horizontal="left"/>
      <protection/>
    </xf>
    <xf numFmtId="0" fontId="25" fillId="0" borderId="29" xfId="23" applyFont="1" applyBorder="1" applyAlignment="1">
      <alignment/>
      <protection/>
    </xf>
    <xf numFmtId="4" fontId="25" fillId="0" borderId="86" xfId="23" applyNumberFormat="1" applyFont="1" applyBorder="1" applyAlignment="1">
      <alignment horizontal="right"/>
      <protection/>
    </xf>
    <xf numFmtId="4" fontId="25" fillId="0" borderId="29" xfId="23" applyNumberFormat="1" applyFont="1" applyBorder="1" applyAlignment="1">
      <alignment horizontal="right"/>
      <protection/>
    </xf>
    <xf numFmtId="3" fontId="25" fillId="0" borderId="86" xfId="0" applyNumberFormat="1" applyFont="1" applyBorder="1" applyAlignment="1">
      <alignment horizontal="right"/>
    </xf>
    <xf numFmtId="3" fontId="25" fillId="0" borderId="29" xfId="0" applyNumberFormat="1" applyFont="1" applyBorder="1" applyAlignment="1">
      <alignment horizontal="right"/>
    </xf>
    <xf numFmtId="0" fontId="25" fillId="0" borderId="21" xfId="23" applyFont="1" applyBorder="1" applyAlignment="1">
      <alignment horizontal="left"/>
      <protection/>
    </xf>
    <xf numFmtId="0" fontId="25" fillId="0" borderId="5" xfId="23" applyFont="1" applyBorder="1" applyAlignment="1">
      <alignment/>
      <protection/>
    </xf>
    <xf numFmtId="4" fontId="25" fillId="0" borderId="21" xfId="23" applyNumberFormat="1" applyFont="1" applyBorder="1" applyAlignment="1">
      <alignment horizontal="right"/>
      <protection/>
    </xf>
    <xf numFmtId="4" fontId="25" fillId="0" borderId="84" xfId="23" applyNumberFormat="1" applyFont="1" applyBorder="1" applyAlignment="1">
      <alignment horizontal="right"/>
      <protection/>
    </xf>
    <xf numFmtId="4" fontId="25" fillId="0" borderId="5" xfId="23" applyNumberFormat="1" applyFont="1" applyBorder="1" applyAlignment="1">
      <alignment horizontal="right"/>
      <protection/>
    </xf>
    <xf numFmtId="3" fontId="25" fillId="0" borderId="21" xfId="0" applyNumberFormat="1" applyFont="1" applyBorder="1" applyAlignment="1">
      <alignment horizontal="right"/>
    </xf>
    <xf numFmtId="3" fontId="25" fillId="0" borderId="84" xfId="0" applyNumberFormat="1" applyFont="1" applyBorder="1" applyAlignment="1">
      <alignment horizontal="right"/>
    </xf>
    <xf numFmtId="3" fontId="25" fillId="0" borderId="5" xfId="0" applyNumberFormat="1" applyFont="1" applyBorder="1" applyAlignment="1">
      <alignment horizontal="right"/>
    </xf>
    <xf numFmtId="4" fontId="25" fillId="0" borderId="0" xfId="23" applyNumberFormat="1" applyFont="1" applyAlignment="1">
      <alignment horizontal="center"/>
      <protection/>
    </xf>
    <xf numFmtId="4" fontId="25" fillId="0" borderId="0" xfId="0" applyNumberFormat="1" applyFont="1" applyAlignment="1">
      <alignment horizontal="center"/>
    </xf>
    <xf numFmtId="0" fontId="25" fillId="0" borderId="0" xfId="23" applyFont="1">
      <alignment/>
      <protection/>
    </xf>
    <xf numFmtId="0" fontId="46" fillId="0" borderId="0" xfId="23" applyFont="1" applyAlignment="1">
      <alignment horizontal="left"/>
      <protection/>
    </xf>
    <xf numFmtId="0" fontId="46" fillId="0" borderId="0" xfId="23" applyFont="1" applyAlignment="1">
      <alignment/>
      <protection/>
    </xf>
    <xf numFmtId="0" fontId="45" fillId="0" borderId="0" xfId="23" applyFont="1" applyAlignment="1">
      <alignment/>
      <protection/>
    </xf>
    <xf numFmtId="3" fontId="43" fillId="2" borderId="150" xfId="20" applyNumberFormat="1" applyFont="1" applyFill="1" applyBorder="1" applyAlignment="1">
      <alignment horizontal="right"/>
      <protection/>
    </xf>
    <xf numFmtId="3" fontId="5" fillId="3" borderId="98" xfId="20" applyNumberFormat="1" applyFont="1" applyFill="1" applyBorder="1">
      <alignment/>
      <protection/>
    </xf>
    <xf numFmtId="3" fontId="5" fillId="0" borderId="127" xfId="20" applyNumberFormat="1" applyFont="1" applyBorder="1">
      <alignment/>
      <protection/>
    </xf>
    <xf numFmtId="0" fontId="30" fillId="0" borderId="91" xfId="20" applyFont="1" applyBorder="1" applyAlignment="1">
      <alignment horizontal="center"/>
      <protection/>
    </xf>
    <xf numFmtId="0" fontId="30" fillId="0" borderId="127" xfId="20" applyFont="1" applyBorder="1" applyAlignment="1">
      <alignment horizontal="center"/>
      <protection/>
    </xf>
    <xf numFmtId="3" fontId="30" fillId="0" borderId="128" xfId="20" applyNumberFormat="1" applyFont="1" applyFill="1" applyBorder="1">
      <alignment/>
      <protection/>
    </xf>
    <xf numFmtId="3" fontId="30" fillId="0" borderId="151" xfId="20" applyNumberFormat="1" applyFont="1" applyFill="1" applyBorder="1">
      <alignment/>
      <protection/>
    </xf>
    <xf numFmtId="3" fontId="30" fillId="0" borderId="94" xfId="20" applyNumberFormat="1" applyFont="1" applyFill="1" applyBorder="1">
      <alignment/>
      <protection/>
    </xf>
    <xf numFmtId="3" fontId="30" fillId="0" borderId="94" xfId="20" applyNumberFormat="1" applyFont="1" applyFill="1" applyBorder="1" applyAlignment="1">
      <alignment horizontal="right"/>
      <protection/>
    </xf>
    <xf numFmtId="3" fontId="41" fillId="2" borderId="108" xfId="20" applyNumberFormat="1" applyFont="1" applyFill="1" applyBorder="1">
      <alignment/>
      <protection/>
    </xf>
    <xf numFmtId="3" fontId="30" fillId="0" borderId="152" xfId="20" applyNumberFormat="1" applyFont="1" applyBorder="1" applyAlignment="1">
      <alignment horizontal="right"/>
      <protection/>
    </xf>
    <xf numFmtId="3" fontId="30" fillId="0" borderId="42" xfId="20" applyNumberFormat="1" applyFont="1" applyBorder="1" applyAlignment="1">
      <alignment horizontal="right"/>
      <protection/>
    </xf>
    <xf numFmtId="3" fontId="30" fillId="0" borderId="93" xfId="20" applyNumberFormat="1" applyFont="1" applyBorder="1" applyAlignment="1">
      <alignment horizontal="right"/>
      <protection/>
    </xf>
    <xf numFmtId="3" fontId="30" fillId="0" borderId="128" xfId="20" applyNumberFormat="1" applyFont="1" applyBorder="1" applyAlignment="1">
      <alignment horizontal="right"/>
      <protection/>
    </xf>
    <xf numFmtId="3" fontId="30" fillId="0" borderId="42" xfId="20" applyNumberFormat="1" applyFont="1" applyFill="1" applyBorder="1" applyAlignment="1">
      <alignment horizontal="right"/>
      <protection/>
    </xf>
    <xf numFmtId="3" fontId="30" fillId="0" borderId="152" xfId="20" applyNumberFormat="1" applyFont="1" applyFill="1" applyBorder="1" applyAlignment="1">
      <alignment horizontal="right"/>
      <protection/>
    </xf>
    <xf numFmtId="3" fontId="30" fillId="0" borderId="128" xfId="20" applyNumberFormat="1" applyFont="1" applyFill="1" applyBorder="1" applyAlignment="1">
      <alignment horizontal="right"/>
      <protection/>
    </xf>
    <xf numFmtId="3" fontId="30" fillId="3" borderId="43" xfId="20" applyNumberFormat="1" applyFont="1" applyFill="1" applyBorder="1" applyAlignment="1">
      <alignment horizontal="right"/>
      <protection/>
    </xf>
    <xf numFmtId="3" fontId="30" fillId="2" borderId="146" xfId="20" applyNumberFormat="1" applyFont="1" applyFill="1" applyBorder="1">
      <alignment/>
      <protection/>
    </xf>
    <xf numFmtId="3" fontId="30" fillId="4" borderId="94" xfId="20" applyNumberFormat="1" applyFont="1" applyFill="1" applyBorder="1">
      <alignment/>
      <protection/>
    </xf>
    <xf numFmtId="3" fontId="30" fillId="4" borderId="93" xfId="20" applyNumberFormat="1" applyFont="1" applyFill="1" applyBorder="1">
      <alignment/>
      <protection/>
    </xf>
    <xf numFmtId="3" fontId="30" fillId="2" borderId="98" xfId="20" applyNumberFormat="1" applyFont="1" applyFill="1" applyBorder="1">
      <alignment/>
      <protection/>
    </xf>
    <xf numFmtId="3" fontId="30" fillId="2" borderId="98" xfId="20" applyNumberFormat="1" applyFont="1" applyFill="1" applyBorder="1" applyAlignment="1">
      <alignment horizontal="right"/>
      <protection/>
    </xf>
    <xf numFmtId="3" fontId="30" fillId="0" borderId="129" xfId="20" applyNumberFormat="1" applyFont="1" applyFill="1" applyBorder="1" applyAlignment="1">
      <alignment horizontal="right"/>
      <protection/>
    </xf>
    <xf numFmtId="3" fontId="30" fillId="0" borderId="93" xfId="20" applyNumberFormat="1" applyFont="1" applyFill="1" applyBorder="1">
      <alignment/>
      <protection/>
    </xf>
    <xf numFmtId="3" fontId="41" fillId="2" borderId="98" xfId="20" applyNumberFormat="1" applyFont="1" applyFill="1" applyBorder="1">
      <alignment/>
      <protection/>
    </xf>
    <xf numFmtId="3" fontId="41" fillId="2" borderId="98" xfId="20" applyNumberFormat="1" applyFont="1" applyFill="1" applyBorder="1" applyAlignment="1">
      <alignment horizontal="right"/>
      <protection/>
    </xf>
    <xf numFmtId="3" fontId="30" fillId="0" borderId="98" xfId="20" applyNumberFormat="1" applyFont="1" applyBorder="1" applyAlignment="1">
      <alignment horizontal="right"/>
      <protection/>
    </xf>
    <xf numFmtId="3" fontId="30" fillId="0" borderId="43" xfId="20" applyNumberFormat="1" applyFont="1" applyFill="1" applyBorder="1">
      <alignment/>
      <protection/>
    </xf>
    <xf numFmtId="3" fontId="43" fillId="3" borderId="111" xfId="20" applyNumberFormat="1" applyFont="1" applyFill="1" applyBorder="1" applyAlignment="1">
      <alignment horizontal="right"/>
      <protection/>
    </xf>
    <xf numFmtId="3" fontId="43" fillId="2" borderId="153" xfId="20" applyNumberFormat="1" applyFont="1" applyFill="1" applyBorder="1">
      <alignment/>
      <protection/>
    </xf>
    <xf numFmtId="3" fontId="43" fillId="4" borderId="154" xfId="20" applyNumberFormat="1" applyFont="1" applyFill="1" applyBorder="1">
      <alignment/>
      <protection/>
    </xf>
    <xf numFmtId="3" fontId="43" fillId="4" borderId="4" xfId="20" applyNumberFormat="1" applyFont="1" applyFill="1" applyBorder="1">
      <alignment/>
      <protection/>
    </xf>
    <xf numFmtId="3" fontId="43" fillId="0" borderId="56" xfId="20" applyNumberFormat="1" applyFont="1" applyFill="1" applyBorder="1" applyAlignment="1">
      <alignment horizontal="right"/>
      <protection/>
    </xf>
    <xf numFmtId="3" fontId="43" fillId="0" borderId="56" xfId="20" applyNumberFormat="1" applyFont="1" applyFill="1" applyBorder="1">
      <alignment/>
      <protection/>
    </xf>
    <xf numFmtId="3" fontId="47" fillId="2" borderId="150" xfId="20" applyNumberFormat="1" applyFont="1" applyFill="1" applyBorder="1">
      <alignment/>
      <protection/>
    </xf>
    <xf numFmtId="3" fontId="43" fillId="0" borderId="155" xfId="20" applyNumberFormat="1" applyFont="1" applyFill="1" applyBorder="1" applyAlignment="1">
      <alignment horizontal="right"/>
      <protection/>
    </xf>
    <xf numFmtId="3" fontId="43" fillId="0" borderId="156" xfId="20" applyNumberFormat="1" applyFont="1" applyFill="1" applyBorder="1" applyAlignment="1">
      <alignment horizontal="right"/>
      <protection/>
    </xf>
    <xf numFmtId="3" fontId="43" fillId="0" borderId="4" xfId="20" applyNumberFormat="1" applyFont="1" applyFill="1" applyBorder="1" applyAlignment="1">
      <alignment horizontal="right"/>
      <protection/>
    </xf>
    <xf numFmtId="3" fontId="47" fillId="2" borderId="150" xfId="20" applyNumberFormat="1" applyFont="1" applyFill="1" applyBorder="1" applyAlignment="1">
      <alignment horizontal="right"/>
      <protection/>
    </xf>
    <xf numFmtId="3" fontId="43" fillId="0" borderId="150" xfId="20" applyNumberFormat="1" applyFont="1" applyFill="1" applyBorder="1" applyAlignment="1">
      <alignment horizontal="right"/>
      <protection/>
    </xf>
    <xf numFmtId="3" fontId="43" fillId="0" borderId="111" xfId="20" applyNumberFormat="1" applyFont="1" applyBorder="1">
      <alignment/>
      <protection/>
    </xf>
    <xf numFmtId="3" fontId="43" fillId="0" borderId="0" xfId="20" applyNumberFormat="1" applyFont="1" applyFill="1" applyBorder="1">
      <alignment/>
      <protection/>
    </xf>
    <xf numFmtId="4" fontId="26" fillId="0" borderId="0" xfId="20" applyNumberFormat="1" applyFont="1" applyFill="1" applyBorder="1">
      <alignment/>
      <protection/>
    </xf>
    <xf numFmtId="0" fontId="43" fillId="0" borderId="147" xfId="20" applyFont="1" applyBorder="1" applyAlignment="1">
      <alignment horizontal="center"/>
      <protection/>
    </xf>
    <xf numFmtId="3" fontId="43" fillId="0" borderId="35" xfId="20" applyNumberFormat="1" applyFont="1" applyBorder="1">
      <alignment/>
      <protection/>
    </xf>
    <xf numFmtId="3" fontId="43" fillId="0" borderId="29" xfId="20" applyNumberFormat="1" applyFont="1" applyBorder="1">
      <alignment/>
      <protection/>
    </xf>
    <xf numFmtId="3" fontId="43" fillId="3" borderId="149" xfId="20" applyNumberFormat="1" applyFont="1" applyFill="1" applyBorder="1">
      <alignment/>
      <protection/>
    </xf>
    <xf numFmtId="3" fontId="43" fillId="0" borderId="5" xfId="20" applyNumberFormat="1" applyFont="1" applyBorder="1">
      <alignment/>
      <protection/>
    </xf>
    <xf numFmtId="0" fontId="30" fillId="0" borderId="100" xfId="20" applyFont="1" applyBorder="1">
      <alignment/>
      <protection/>
    </xf>
    <xf numFmtId="0" fontId="30" fillId="0" borderId="100" xfId="20" applyFont="1" applyFill="1" applyBorder="1">
      <alignment/>
      <protection/>
    </xf>
    <xf numFmtId="0" fontId="30" fillId="0" borderId="110" xfId="20" applyFont="1" applyFill="1" applyBorder="1">
      <alignment/>
      <protection/>
    </xf>
    <xf numFmtId="0" fontId="11" fillId="3" borderId="96" xfId="20" applyFont="1" applyFill="1" applyBorder="1" applyAlignment="1">
      <alignment horizontal="center"/>
      <protection/>
    </xf>
    <xf numFmtId="0" fontId="5" fillId="0" borderId="41" xfId="20" applyFont="1" applyBorder="1" applyAlignment="1">
      <alignment horizontal="center"/>
      <protection/>
    </xf>
    <xf numFmtId="0" fontId="12" fillId="0" borderId="3" xfId="0" applyFont="1" applyBorder="1" applyAlignment="1">
      <alignment horizontal="center"/>
    </xf>
    <xf numFmtId="0" fontId="5" fillId="0" borderId="15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5" fillId="0" borderId="15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8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27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5" fillId="0" borderId="69" xfId="0" applyFont="1" applyBorder="1" applyAlignment="1">
      <alignment horizontal="center"/>
    </xf>
    <xf numFmtId="0" fontId="42" fillId="0" borderId="0" xfId="0" applyFont="1" applyAlignment="1">
      <alignment/>
    </xf>
    <xf numFmtId="0" fontId="0" fillId="5" borderId="97" xfId="0" applyFont="1" applyFill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8" fillId="0" borderId="0" xfId="0" applyFont="1" applyAlignment="1">
      <alignment/>
    </xf>
    <xf numFmtId="0" fontId="39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6" borderId="107" xfId="20" applyFont="1" applyFill="1" applyBorder="1" applyAlignment="1">
      <alignment horizontal="center"/>
      <protection/>
    </xf>
    <xf numFmtId="0" fontId="5" fillId="6" borderId="107" xfId="20" applyFont="1" applyFill="1" applyBorder="1">
      <alignment/>
      <protection/>
    </xf>
    <xf numFmtId="3" fontId="6" fillId="6" borderId="124" xfId="20" applyNumberFormat="1" applyFont="1" applyFill="1" applyBorder="1">
      <alignment/>
      <protection/>
    </xf>
    <xf numFmtId="3" fontId="5" fillId="6" borderId="124" xfId="20" applyNumberFormat="1" applyFont="1" applyFill="1" applyBorder="1">
      <alignment/>
      <protection/>
    </xf>
    <xf numFmtId="3" fontId="30" fillId="6" borderId="124" xfId="20" applyNumberFormat="1" applyFont="1" applyFill="1" applyBorder="1">
      <alignment/>
      <protection/>
    </xf>
    <xf numFmtId="0" fontId="37" fillId="0" borderId="84" xfId="20" applyFont="1" applyBorder="1" applyAlignment="1">
      <alignment horizontal="center"/>
      <protection/>
    </xf>
    <xf numFmtId="3" fontId="28" fillId="0" borderId="50" xfId="0" applyNumberFormat="1" applyFont="1" applyFill="1" applyBorder="1" applyAlignment="1">
      <alignment/>
    </xf>
    <xf numFmtId="0" fontId="24" fillId="0" borderId="7" xfId="0" applyFont="1" applyFill="1" applyBorder="1" applyAlignment="1">
      <alignment/>
    </xf>
    <xf numFmtId="3" fontId="28" fillId="0" borderId="92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1" fontId="28" fillId="0" borderId="0" xfId="0" applyNumberFormat="1" applyFont="1" applyFill="1" applyAlignment="1">
      <alignment/>
    </xf>
    <xf numFmtId="0" fontId="24" fillId="0" borderId="159" xfId="0" applyFont="1" applyFill="1" applyBorder="1" applyAlignment="1">
      <alignment/>
    </xf>
    <xf numFmtId="3" fontId="28" fillId="0" borderId="140" xfId="0" applyNumberFormat="1" applyFont="1" applyFill="1" applyBorder="1" applyAlignment="1">
      <alignment/>
    </xf>
    <xf numFmtId="3" fontId="24" fillId="0" borderId="41" xfId="0" applyNumberFormat="1" applyFont="1" applyFill="1" applyBorder="1" applyAlignment="1">
      <alignment/>
    </xf>
    <xf numFmtId="3" fontId="24" fillId="0" borderId="127" xfId="0" applyNumberFormat="1" applyFont="1" applyFill="1" applyBorder="1" applyAlignment="1">
      <alignment/>
    </xf>
    <xf numFmtId="0" fontId="24" fillId="0" borderId="55" xfId="0" applyFont="1" applyFill="1" applyBorder="1" applyAlignment="1">
      <alignment/>
    </xf>
    <xf numFmtId="3" fontId="28" fillId="0" borderId="100" xfId="0" applyNumberFormat="1" applyFont="1" applyFill="1" applyBorder="1" applyAlignment="1">
      <alignment/>
    </xf>
    <xf numFmtId="0" fontId="24" fillId="0" borderId="92" xfId="0" applyFont="1" applyFill="1" applyBorder="1" applyAlignment="1">
      <alignment horizontal="center"/>
    </xf>
    <xf numFmtId="0" fontId="24" fillId="0" borderId="84" xfId="0" applyFont="1" applyFill="1" applyBorder="1" applyAlignment="1">
      <alignment horizontal="center"/>
    </xf>
    <xf numFmtId="0" fontId="28" fillId="0" borderId="3" xfId="0" applyFont="1" applyFill="1" applyBorder="1" applyAlignment="1">
      <alignment/>
    </xf>
    <xf numFmtId="0" fontId="28" fillId="0" borderId="7" xfId="0" applyFont="1" applyFill="1" applyBorder="1" applyAlignment="1">
      <alignment/>
    </xf>
    <xf numFmtId="0" fontId="28" fillId="0" borderId="32" xfId="0" applyFont="1" applyFill="1" applyBorder="1" applyAlignment="1">
      <alignment/>
    </xf>
    <xf numFmtId="0" fontId="28" fillId="0" borderId="82" xfId="0" applyFont="1" applyFill="1" applyBorder="1" applyAlignment="1">
      <alignment horizontal="center"/>
    </xf>
    <xf numFmtId="0" fontId="28" fillId="0" borderId="41" xfId="0" applyFont="1" applyFill="1" applyBorder="1" applyAlignment="1">
      <alignment horizontal="center"/>
    </xf>
    <xf numFmtId="0" fontId="28" fillId="0" borderId="92" xfId="0" applyFont="1" applyFill="1" applyBorder="1" applyAlignment="1">
      <alignment horizontal="center"/>
    </xf>
    <xf numFmtId="0" fontId="28" fillId="0" borderId="36" xfId="0" applyFont="1" applyFill="1" applyBorder="1" applyAlignment="1">
      <alignment horizontal="center"/>
    </xf>
    <xf numFmtId="0" fontId="28" fillId="0" borderId="93" xfId="0" applyFont="1" applyFill="1" applyBorder="1" applyAlignment="1">
      <alignment horizontal="center"/>
    </xf>
    <xf numFmtId="0" fontId="28" fillId="0" borderId="84" xfId="0" applyFont="1" applyFill="1" applyBorder="1" applyAlignment="1">
      <alignment horizontal="center"/>
    </xf>
    <xf numFmtId="3" fontId="28" fillId="0" borderId="76" xfId="0" applyNumberFormat="1" applyFont="1" applyFill="1" applyBorder="1" applyAlignment="1">
      <alignment/>
    </xf>
    <xf numFmtId="0" fontId="28" fillId="0" borderId="55" xfId="0" applyFont="1" applyFill="1" applyBorder="1" applyAlignment="1">
      <alignment/>
    </xf>
    <xf numFmtId="3" fontId="28" fillId="0" borderId="66" xfId="0" applyNumberFormat="1" applyFont="1" applyFill="1" applyBorder="1" applyAlignment="1">
      <alignment/>
    </xf>
    <xf numFmtId="3" fontId="28" fillId="0" borderId="146" xfId="0" applyNumberFormat="1" applyFont="1" applyFill="1" applyBorder="1" applyAlignment="1">
      <alignment/>
    </xf>
    <xf numFmtId="3" fontId="24" fillId="0" borderId="33" xfId="0" applyNumberFormat="1" applyFont="1" applyFill="1" applyBorder="1" applyAlignment="1">
      <alignment/>
    </xf>
    <xf numFmtId="3" fontId="24" fillId="0" borderId="84" xfId="0" applyNumberFormat="1" applyFont="1" applyFill="1" applyBorder="1" applyAlignment="1">
      <alignment/>
    </xf>
    <xf numFmtId="3" fontId="24" fillId="0" borderId="6" xfId="0" applyNumberFormat="1" applyFont="1" applyFill="1" applyBorder="1" applyAlignment="1">
      <alignment/>
    </xf>
    <xf numFmtId="3" fontId="24" fillId="0" borderId="36" xfId="0" applyNumberFormat="1" applyFont="1" applyFill="1" applyBorder="1" applyAlignment="1">
      <alignment/>
    </xf>
    <xf numFmtId="3" fontId="24" fillId="0" borderId="160" xfId="0" applyNumberFormat="1" applyFont="1" applyFill="1" applyBorder="1" applyAlignment="1">
      <alignment/>
    </xf>
    <xf numFmtId="3" fontId="24" fillId="0" borderId="103" xfId="0" applyNumberFormat="1" applyFont="1" applyFill="1" applyBorder="1" applyAlignment="1">
      <alignment/>
    </xf>
    <xf numFmtId="3" fontId="24" fillId="0" borderId="161" xfId="0" applyNumberFormat="1" applyFont="1" applyFill="1" applyBorder="1" applyAlignment="1">
      <alignment/>
    </xf>
    <xf numFmtId="3" fontId="28" fillId="0" borderId="55" xfId="0" applyNumberFormat="1" applyFont="1" applyFill="1" applyBorder="1" applyAlignment="1">
      <alignment/>
    </xf>
    <xf numFmtId="0" fontId="24" fillId="0" borderId="3" xfId="0" applyFont="1" applyFill="1" applyBorder="1" applyAlignment="1">
      <alignment horizontal="center"/>
    </xf>
    <xf numFmtId="0" fontId="24" fillId="0" borderId="76" xfId="0" applyFont="1" applyFill="1" applyBorder="1" applyAlignment="1">
      <alignment horizontal="center"/>
    </xf>
    <xf numFmtId="3" fontId="28" fillId="0" borderId="7" xfId="0" applyNumberFormat="1" applyFont="1" applyFill="1" applyBorder="1" applyAlignment="1">
      <alignment/>
    </xf>
    <xf numFmtId="3" fontId="28" fillId="0" borderId="107" xfId="0" applyNumberFormat="1" applyFont="1" applyFill="1" applyBorder="1" applyAlignment="1">
      <alignment/>
    </xf>
    <xf numFmtId="3" fontId="24" fillId="0" borderId="82" xfId="0" applyNumberFormat="1" applyFont="1" applyFill="1" applyBorder="1" applyAlignment="1">
      <alignment/>
    </xf>
    <xf numFmtId="3" fontId="28" fillId="0" borderId="159" xfId="0" applyNumberFormat="1" applyFont="1" applyFill="1" applyBorder="1" applyAlignment="1">
      <alignment/>
    </xf>
    <xf numFmtId="0" fontId="19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3" fontId="28" fillId="0" borderId="12" xfId="0" applyNumberFormat="1" applyFont="1" applyFill="1" applyBorder="1" applyAlignment="1">
      <alignment/>
    </xf>
    <xf numFmtId="3" fontId="28" fillId="0" borderId="13" xfId="0" applyNumberFormat="1" applyFont="1" applyFill="1" applyBorder="1" applyAlignment="1">
      <alignment/>
    </xf>
    <xf numFmtId="3" fontId="28" fillId="0" borderId="29" xfId="0" applyNumberFormat="1" applyFont="1" applyFill="1" applyBorder="1" applyAlignment="1">
      <alignment/>
    </xf>
    <xf numFmtId="3" fontId="28" fillId="0" borderId="35" xfId="0" applyNumberFormat="1" applyFont="1" applyFill="1" applyBorder="1" applyAlignment="1">
      <alignment/>
    </xf>
    <xf numFmtId="3" fontId="28" fillId="0" borderId="19" xfId="0" applyNumberFormat="1" applyFont="1" applyFill="1" applyBorder="1" applyAlignment="1">
      <alignment/>
    </xf>
    <xf numFmtId="0" fontId="28" fillId="0" borderId="76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35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3" fontId="28" fillId="0" borderId="84" xfId="0" applyNumberFormat="1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8" fillId="0" borderId="160" xfId="0" applyFont="1" applyFill="1" applyBorder="1" applyAlignment="1">
      <alignment horizontal="left"/>
    </xf>
    <xf numFmtId="0" fontId="28" fillId="0" borderId="162" xfId="0" applyFont="1" applyFill="1" applyBorder="1" applyAlignment="1">
      <alignment horizontal="left"/>
    </xf>
    <xf numFmtId="0" fontId="28" fillId="0" borderId="6" xfId="0" applyFont="1" applyFill="1" applyBorder="1" applyAlignment="1">
      <alignment horizontal="center"/>
    </xf>
    <xf numFmtId="49" fontId="28" fillId="0" borderId="6" xfId="0" applyNumberFormat="1" applyFont="1" applyFill="1" applyBorder="1" applyAlignment="1">
      <alignment horizontal="center"/>
    </xf>
    <xf numFmtId="0" fontId="28" fillId="0" borderId="127" xfId="0" applyFont="1" applyFill="1" applyBorder="1" applyAlignment="1">
      <alignment horizontal="center"/>
    </xf>
    <xf numFmtId="0" fontId="28" fillId="0" borderId="65" xfId="0" applyFont="1" applyFill="1" applyBorder="1" applyAlignment="1">
      <alignment/>
    </xf>
    <xf numFmtId="3" fontId="28" fillId="0" borderId="163" xfId="0" applyNumberFormat="1" applyFont="1" applyFill="1" applyBorder="1" applyAlignment="1">
      <alignment/>
    </xf>
    <xf numFmtId="4" fontId="28" fillId="0" borderId="72" xfId="0" applyNumberFormat="1" applyFont="1" applyFill="1" applyBorder="1" applyAlignment="1">
      <alignment/>
    </xf>
    <xf numFmtId="3" fontId="28" fillId="0" borderId="75" xfId="0" applyNumberFormat="1" applyFont="1" applyFill="1" applyBorder="1" applyAlignment="1">
      <alignment/>
    </xf>
    <xf numFmtId="0" fontId="24" fillId="0" borderId="33" xfId="0" applyFont="1" applyFill="1" applyBorder="1" applyAlignment="1">
      <alignment/>
    </xf>
    <xf numFmtId="4" fontId="24" fillId="0" borderId="84" xfId="0" applyNumberFormat="1" applyFont="1" applyFill="1" applyBorder="1" applyAlignment="1">
      <alignment/>
    </xf>
    <xf numFmtId="0" fontId="24" fillId="0" borderId="61" xfId="0" applyFont="1" applyFill="1" applyBorder="1" applyAlignment="1">
      <alignment/>
    </xf>
    <xf numFmtId="4" fontId="28" fillId="0" borderId="140" xfId="0" applyNumberFormat="1" applyFont="1" applyFill="1" applyBorder="1" applyAlignment="1">
      <alignment/>
    </xf>
    <xf numFmtId="3" fontId="24" fillId="0" borderId="83" xfId="0" applyNumberFormat="1" applyFont="1" applyFill="1" applyBorder="1" applyAlignment="1">
      <alignment/>
    </xf>
    <xf numFmtId="3" fontId="24" fillId="0" borderId="5" xfId="0" applyNumberFormat="1" applyFont="1" applyFill="1" applyBorder="1" applyAlignment="1">
      <alignment/>
    </xf>
    <xf numFmtId="0" fontId="28" fillId="0" borderId="61" xfId="0" applyFont="1" applyFill="1" applyBorder="1" applyAlignment="1">
      <alignment/>
    </xf>
    <xf numFmtId="3" fontId="28" fillId="0" borderId="107" xfId="0" applyNumberFormat="1" applyFont="1" applyFill="1" applyBorder="1" applyAlignment="1">
      <alignment/>
    </xf>
    <xf numFmtId="3" fontId="28" fillId="0" borderId="129" xfId="0" applyNumberFormat="1" applyFont="1" applyFill="1" applyBorder="1" applyAlignment="1">
      <alignment/>
    </xf>
    <xf numFmtId="0" fontId="28" fillId="0" borderId="91" xfId="0" applyFont="1" applyFill="1" applyBorder="1" applyAlignment="1">
      <alignment horizontal="center"/>
    </xf>
    <xf numFmtId="4" fontId="28" fillId="0" borderId="92" xfId="0" applyNumberFormat="1" applyFont="1" applyFill="1" applyBorder="1" applyAlignment="1">
      <alignment horizontal="center"/>
    </xf>
    <xf numFmtId="4" fontId="28" fillId="0" borderId="100" xfId="0" applyNumberFormat="1" applyFont="1" applyFill="1" applyBorder="1" applyAlignment="1">
      <alignment horizontal="center"/>
    </xf>
    <xf numFmtId="4" fontId="28" fillId="0" borderId="107" xfId="0" applyNumberFormat="1" applyFont="1" applyFill="1" applyBorder="1" applyAlignment="1">
      <alignment horizontal="center"/>
    </xf>
    <xf numFmtId="4" fontId="24" fillId="0" borderId="83" xfId="0" applyNumberFormat="1" applyFont="1" applyFill="1" applyBorder="1" applyAlignment="1">
      <alignment horizontal="center"/>
    </xf>
    <xf numFmtId="0" fontId="24" fillId="0" borderId="76" xfId="0" applyFont="1" applyFill="1" applyBorder="1" applyAlignment="1">
      <alignment/>
    </xf>
    <xf numFmtId="0" fontId="24" fillId="0" borderId="78" xfId="0" applyFont="1" applyFill="1" applyBorder="1" applyAlignment="1">
      <alignment horizontal="left"/>
    </xf>
    <xf numFmtId="0" fontId="24" fillId="0" borderId="8" xfId="0" applyFont="1" applyFill="1" applyBorder="1" applyAlignment="1">
      <alignment horizontal="left"/>
    </xf>
    <xf numFmtId="0" fontId="24" fillId="0" borderId="21" xfId="0" applyFont="1" applyFill="1" applyBorder="1" applyAlignment="1">
      <alignment horizontal="left"/>
    </xf>
    <xf numFmtId="3" fontId="24" fillId="0" borderId="8" xfId="0" applyNumberFormat="1" applyFont="1" applyFill="1" applyBorder="1" applyAlignment="1">
      <alignment horizontal="left"/>
    </xf>
    <xf numFmtId="3" fontId="24" fillId="0" borderId="86" xfId="0" applyNumberFormat="1" applyFont="1" applyFill="1" applyBorder="1" applyAlignment="1">
      <alignment horizontal="left"/>
    </xf>
    <xf numFmtId="3" fontId="24" fillId="0" borderId="123" xfId="0" applyNumberFormat="1" applyFont="1" applyFill="1" applyBorder="1" applyAlignment="1">
      <alignment horizontal="left"/>
    </xf>
    <xf numFmtId="3" fontId="24" fillId="0" borderId="21" xfId="0" applyNumberFormat="1" applyFont="1" applyFill="1" applyBorder="1" applyAlignment="1">
      <alignment horizontal="left"/>
    </xf>
    <xf numFmtId="3" fontId="24" fillId="0" borderId="144" xfId="0" applyNumberFormat="1" applyFont="1" applyFill="1" applyBorder="1" applyAlignment="1">
      <alignment horizontal="left"/>
    </xf>
    <xf numFmtId="0" fontId="24" fillId="0" borderId="16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0" fontId="24" fillId="0" borderId="5" xfId="0" applyFont="1" applyFill="1" applyBorder="1" applyAlignment="1">
      <alignment/>
    </xf>
    <xf numFmtId="3" fontId="24" fillId="0" borderId="70" xfId="0" applyNumberFormat="1" applyFont="1" applyFill="1" applyBorder="1" applyAlignment="1">
      <alignment/>
    </xf>
    <xf numFmtId="3" fontId="24" fillId="0" borderId="5" xfId="0" applyNumberFormat="1" applyFont="1" applyFill="1" applyBorder="1" applyAlignment="1">
      <alignment/>
    </xf>
    <xf numFmtId="3" fontId="6" fillId="0" borderId="147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0" fontId="24" fillId="0" borderId="84" xfId="0" applyFont="1" applyFill="1" applyBorder="1" applyAlignment="1">
      <alignment/>
    </xf>
    <xf numFmtId="3" fontId="28" fillId="0" borderId="84" xfId="0" applyNumberFormat="1" applyFont="1" applyFill="1" applyBorder="1" applyAlignment="1">
      <alignment/>
    </xf>
    <xf numFmtId="3" fontId="28" fillId="0" borderId="140" xfId="0" applyNumberFormat="1" applyFont="1" applyFill="1" applyBorder="1" applyAlignment="1">
      <alignment/>
    </xf>
    <xf numFmtId="0" fontId="30" fillId="0" borderId="0" xfId="20" applyFont="1">
      <alignment/>
      <protection/>
    </xf>
    <xf numFmtId="3" fontId="38" fillId="0" borderId="29" xfId="20" applyNumberFormat="1" applyFont="1" applyBorder="1">
      <alignment/>
      <protection/>
    </xf>
    <xf numFmtId="3" fontId="0" fillId="0" borderId="66" xfId="0" applyNumberFormat="1" applyFont="1" applyBorder="1" applyAlignment="1">
      <alignment/>
    </xf>
    <xf numFmtId="3" fontId="0" fillId="0" borderId="124" xfId="0" applyNumberFormat="1" applyFont="1" applyBorder="1" applyAlignment="1">
      <alignment/>
    </xf>
    <xf numFmtId="3" fontId="1" fillId="0" borderId="164" xfId="0" applyNumberFormat="1" applyFont="1" applyBorder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134" xfId="0" applyFont="1" applyFill="1" applyBorder="1" applyAlignment="1">
      <alignment horizontal="center"/>
    </xf>
    <xf numFmtId="0" fontId="45" fillId="0" borderId="97" xfId="0" applyFont="1" applyFill="1" applyBorder="1" applyAlignment="1">
      <alignment horizontal="center"/>
    </xf>
    <xf numFmtId="0" fontId="45" fillId="0" borderId="98" xfId="0" applyFont="1" applyFill="1" applyBorder="1" applyAlignment="1">
      <alignment horizontal="center"/>
    </xf>
    <xf numFmtId="0" fontId="45" fillId="2" borderId="97" xfId="0" applyFont="1" applyFill="1" applyBorder="1" applyAlignment="1">
      <alignment horizontal="center"/>
    </xf>
    <xf numFmtId="3" fontId="28" fillId="0" borderId="41" xfId="0" applyNumberFormat="1" applyFont="1" applyFill="1" applyBorder="1" applyAlignment="1">
      <alignment/>
    </xf>
    <xf numFmtId="0" fontId="26" fillId="0" borderId="0" xfId="20" applyFont="1" applyAlignment="1">
      <alignment horizontal="center"/>
      <protection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3" fontId="28" fillId="0" borderId="0" xfId="0" applyNumberFormat="1" applyFont="1" applyBorder="1" applyAlignment="1">
      <alignment/>
    </xf>
    <xf numFmtId="4" fontId="28" fillId="0" borderId="0" xfId="0" applyNumberFormat="1" applyFont="1" applyBorder="1" applyAlignment="1">
      <alignment/>
    </xf>
    <xf numFmtId="1" fontId="28" fillId="0" borderId="0" xfId="0" applyNumberFormat="1" applyFont="1" applyBorder="1" applyAlignment="1">
      <alignment/>
    </xf>
    <xf numFmtId="3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4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28" fillId="0" borderId="106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3" fontId="28" fillId="0" borderId="6" xfId="0" applyNumberFormat="1" applyFont="1" applyFill="1" applyBorder="1" applyAlignment="1">
      <alignment horizontal="center"/>
    </xf>
    <xf numFmtId="189" fontId="28" fillId="0" borderId="0" xfId="0" applyNumberFormat="1" applyFont="1" applyFill="1" applyBorder="1" applyAlignment="1">
      <alignment/>
    </xf>
    <xf numFmtId="0" fontId="28" fillId="0" borderId="103" xfId="0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/>
    </xf>
    <xf numFmtId="3" fontId="0" fillId="0" borderId="92" xfId="0" applyNumberFormat="1" applyFont="1" applyFill="1" applyBorder="1" applyAlignment="1">
      <alignment/>
    </xf>
    <xf numFmtId="3" fontId="0" fillId="0" borderId="86" xfId="0" applyNumberFormat="1" applyFont="1" applyFill="1" applyBorder="1" applyAlignment="1">
      <alignment/>
    </xf>
    <xf numFmtId="3" fontId="0" fillId="0" borderId="100" xfId="0" applyNumberFormat="1" applyFont="1" applyFill="1" applyBorder="1" applyAlignment="1">
      <alignment/>
    </xf>
    <xf numFmtId="3" fontId="0" fillId="0" borderId="88" xfId="0" applyNumberFormat="1" applyFont="1" applyFill="1" applyBorder="1" applyAlignment="1">
      <alignment/>
    </xf>
    <xf numFmtId="3" fontId="0" fillId="0" borderId="71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1" fillId="0" borderId="0" xfId="0" applyFont="1" applyAlignment="1">
      <alignment/>
    </xf>
    <xf numFmtId="3" fontId="56" fillId="0" borderId="55" xfId="0" applyNumberFormat="1" applyFont="1" applyBorder="1" applyAlignment="1">
      <alignment horizontal="right"/>
    </xf>
    <xf numFmtId="3" fontId="56" fillId="0" borderId="100" xfId="0" applyNumberFormat="1" applyFont="1" applyBorder="1" applyAlignment="1">
      <alignment horizontal="right"/>
    </xf>
    <xf numFmtId="3" fontId="56" fillId="0" borderId="128" xfId="0" applyNumberFormat="1" applyFont="1" applyFill="1" applyBorder="1" applyAlignment="1">
      <alignment/>
    </xf>
    <xf numFmtId="14" fontId="19" fillId="0" borderId="0" xfId="20" applyNumberFormat="1" applyFont="1">
      <alignment/>
      <protection/>
    </xf>
    <xf numFmtId="0" fontId="19" fillId="0" borderId="0" xfId="20" applyFont="1" applyAlignment="1">
      <alignment horizontal="center" wrapText="1"/>
      <protection/>
    </xf>
    <xf numFmtId="0" fontId="5" fillId="0" borderId="15" xfId="20" applyFont="1" applyBorder="1" applyAlignment="1">
      <alignment horizontal="center"/>
      <protection/>
    </xf>
    <xf numFmtId="0" fontId="5" fillId="0" borderId="101" xfId="20" applyFont="1" applyBorder="1" applyAlignment="1">
      <alignment horizontal="center"/>
      <protection/>
    </xf>
    <xf numFmtId="3" fontId="30" fillId="3" borderId="111" xfId="20" applyNumberFormat="1" applyFont="1" applyFill="1" applyBorder="1" applyAlignment="1">
      <alignment horizontal="right"/>
      <protection/>
    </xf>
    <xf numFmtId="3" fontId="30" fillId="2" borderId="153" xfId="20" applyNumberFormat="1" applyFont="1" applyFill="1" applyBorder="1">
      <alignment/>
      <protection/>
    </xf>
    <xf numFmtId="3" fontId="30" fillId="4" borderId="154" xfId="20" applyNumberFormat="1" applyFont="1" applyFill="1" applyBorder="1">
      <alignment/>
      <protection/>
    </xf>
    <xf numFmtId="3" fontId="30" fillId="4" borderId="4" xfId="20" applyNumberFormat="1" applyFont="1" applyFill="1" applyBorder="1">
      <alignment/>
      <protection/>
    </xf>
    <xf numFmtId="3" fontId="30" fillId="2" borderId="150" xfId="20" applyNumberFormat="1" applyFont="1" applyFill="1" applyBorder="1">
      <alignment/>
      <protection/>
    </xf>
    <xf numFmtId="3" fontId="30" fillId="2" borderId="150" xfId="20" applyNumberFormat="1" applyFont="1" applyFill="1" applyBorder="1" applyAlignment="1">
      <alignment horizontal="right"/>
      <protection/>
    </xf>
    <xf numFmtId="3" fontId="30" fillId="0" borderId="154" xfId="20" applyNumberFormat="1" applyFont="1" applyFill="1" applyBorder="1" applyAlignment="1">
      <alignment horizontal="right"/>
      <protection/>
    </xf>
    <xf numFmtId="3" fontId="30" fillId="0" borderId="56" xfId="20" applyNumberFormat="1" applyFont="1" applyFill="1" applyBorder="1" applyAlignment="1">
      <alignment horizontal="right"/>
      <protection/>
    </xf>
    <xf numFmtId="3" fontId="28" fillId="7" borderId="154" xfId="20" applyNumberFormat="1" applyFont="1" applyFill="1" applyBorder="1">
      <alignment/>
      <protection/>
    </xf>
    <xf numFmtId="3" fontId="30" fillId="0" borderId="56" xfId="20" applyNumberFormat="1" applyFont="1" applyFill="1" applyBorder="1">
      <alignment/>
      <protection/>
    </xf>
    <xf numFmtId="0" fontId="5" fillId="0" borderId="0" xfId="20" applyFont="1" applyFill="1">
      <alignment/>
      <protection/>
    </xf>
    <xf numFmtId="0" fontId="10" fillId="0" borderId="0" xfId="20" applyFont="1" applyFill="1">
      <alignment/>
      <protection/>
    </xf>
    <xf numFmtId="0" fontId="39" fillId="0" borderId="8" xfId="20" applyFont="1" applyBorder="1">
      <alignment/>
      <protection/>
    </xf>
    <xf numFmtId="0" fontId="39" fillId="0" borderId="138" xfId="20" applyFont="1" applyBorder="1" applyAlignment="1">
      <alignment horizontal="center"/>
      <protection/>
    </xf>
    <xf numFmtId="3" fontId="42" fillId="0" borderId="138" xfId="20" applyNumberFormat="1" applyFont="1" applyFill="1" applyBorder="1">
      <alignment/>
      <protection/>
    </xf>
    <xf numFmtId="3" fontId="39" fillId="0" borderId="138" xfId="20" applyNumberFormat="1" applyFont="1" applyFill="1" applyBorder="1">
      <alignment/>
      <protection/>
    </xf>
    <xf numFmtId="3" fontId="39" fillId="0" borderId="165" xfId="20" applyNumberFormat="1" applyFont="1" applyFill="1" applyBorder="1">
      <alignment/>
      <protection/>
    </xf>
    <xf numFmtId="0" fontId="59" fillId="0" borderId="0" xfId="20" applyFont="1" applyFill="1">
      <alignment/>
      <protection/>
    </xf>
    <xf numFmtId="0" fontId="59" fillId="0" borderId="0" xfId="20" applyFont="1">
      <alignment/>
      <protection/>
    </xf>
    <xf numFmtId="3" fontId="30" fillId="0" borderId="138" xfId="20" applyNumberFormat="1" applyFont="1" applyFill="1" applyBorder="1">
      <alignment/>
      <protection/>
    </xf>
    <xf numFmtId="3" fontId="30" fillId="0" borderId="165" xfId="20" applyNumberFormat="1" applyFont="1" applyFill="1" applyBorder="1">
      <alignment/>
      <protection/>
    </xf>
    <xf numFmtId="3" fontId="43" fillId="0" borderId="165" xfId="20" applyNumberFormat="1" applyFont="1" applyFill="1" applyBorder="1">
      <alignment/>
      <protection/>
    </xf>
    <xf numFmtId="3" fontId="30" fillId="6" borderId="166" xfId="20" applyNumberFormat="1" applyFont="1" applyFill="1" applyBorder="1">
      <alignment/>
      <protection/>
    </xf>
    <xf numFmtId="3" fontId="30" fillId="0" borderId="154" xfId="20" applyNumberFormat="1" applyFont="1" applyFill="1" applyBorder="1">
      <alignment/>
      <protection/>
    </xf>
    <xf numFmtId="3" fontId="11" fillId="0" borderId="154" xfId="20" applyNumberFormat="1" applyFont="1" applyFill="1" applyBorder="1">
      <alignment/>
      <protection/>
    </xf>
    <xf numFmtId="3" fontId="11" fillId="0" borderId="56" xfId="20" applyNumberFormat="1" applyFont="1" applyFill="1" applyBorder="1">
      <alignment/>
      <protection/>
    </xf>
    <xf numFmtId="0" fontId="60" fillId="0" borderId="8" xfId="20" applyFont="1" applyBorder="1">
      <alignment/>
      <protection/>
    </xf>
    <xf numFmtId="3" fontId="61" fillId="0" borderId="137" xfId="20" applyNumberFormat="1" applyFont="1" applyFill="1" applyBorder="1">
      <alignment/>
      <protection/>
    </xf>
    <xf numFmtId="3" fontId="60" fillId="0" borderId="137" xfId="20" applyNumberFormat="1" applyFont="1" applyFill="1" applyBorder="1">
      <alignment/>
      <protection/>
    </xf>
    <xf numFmtId="3" fontId="20" fillId="0" borderId="94" xfId="20" applyNumberFormat="1" applyFont="1" applyFill="1" applyBorder="1">
      <alignment/>
      <protection/>
    </xf>
    <xf numFmtId="3" fontId="20" fillId="0" borderId="56" xfId="20" applyNumberFormat="1" applyFont="1" applyFill="1" applyBorder="1">
      <alignment/>
      <protection/>
    </xf>
    <xf numFmtId="3" fontId="43" fillId="0" borderId="56" xfId="20" applyNumberFormat="1" applyFont="1" applyFill="1" applyBorder="1">
      <alignment/>
      <protection/>
    </xf>
    <xf numFmtId="0" fontId="41" fillId="0" borderId="8" xfId="20" applyFont="1" applyBorder="1">
      <alignment/>
      <protection/>
    </xf>
    <xf numFmtId="0" fontId="30" fillId="0" borderId="138" xfId="20" applyFont="1" applyBorder="1" applyAlignment="1">
      <alignment horizontal="center"/>
      <protection/>
    </xf>
    <xf numFmtId="0" fontId="30" fillId="0" borderId="77" xfId="20" applyFont="1" applyBorder="1">
      <alignment/>
      <protection/>
    </xf>
    <xf numFmtId="3" fontId="26" fillId="0" borderId="137" xfId="20" applyNumberFormat="1" applyFont="1" applyBorder="1">
      <alignment/>
      <protection/>
    </xf>
    <xf numFmtId="3" fontId="41" fillId="0" borderId="137" xfId="20" applyNumberFormat="1" applyFont="1" applyBorder="1">
      <alignment/>
      <protection/>
    </xf>
    <xf numFmtId="3" fontId="30" fillId="0" borderId="94" xfId="20" applyNumberFormat="1" applyFont="1" applyFill="1" applyBorder="1">
      <alignment/>
      <protection/>
    </xf>
    <xf numFmtId="3" fontId="41" fillId="2" borderId="150" xfId="20" applyNumberFormat="1" applyFont="1" applyFill="1" applyBorder="1">
      <alignment/>
      <protection/>
    </xf>
    <xf numFmtId="3" fontId="30" fillId="0" borderId="155" xfId="20" applyNumberFormat="1" applyFont="1" applyFill="1" applyBorder="1" applyAlignment="1">
      <alignment horizontal="right"/>
      <protection/>
    </xf>
    <xf numFmtId="3" fontId="30" fillId="0" borderId="156" xfId="20" applyNumberFormat="1" applyFont="1" applyFill="1" applyBorder="1" applyAlignment="1">
      <alignment horizontal="right"/>
      <protection/>
    </xf>
    <xf numFmtId="3" fontId="30" fillId="0" borderId="4" xfId="20" applyNumberFormat="1" applyFont="1" applyFill="1" applyBorder="1" applyAlignment="1">
      <alignment horizontal="right"/>
      <protection/>
    </xf>
    <xf numFmtId="3" fontId="42" fillId="0" borderId="66" xfId="20" applyNumberFormat="1" applyFont="1" applyBorder="1" applyAlignment="1">
      <alignment horizontal="center"/>
      <protection/>
    </xf>
    <xf numFmtId="3" fontId="42" fillId="0" borderId="66" xfId="20" applyNumberFormat="1" applyFont="1" applyBorder="1" applyAlignment="1">
      <alignment horizontal="right"/>
      <protection/>
    </xf>
    <xf numFmtId="3" fontId="39" fillId="0" borderId="66" xfId="20" applyNumberFormat="1" applyFont="1" applyBorder="1" applyAlignment="1">
      <alignment horizontal="right"/>
      <protection/>
    </xf>
    <xf numFmtId="3" fontId="39" fillId="0" borderId="128" xfId="20" applyNumberFormat="1" applyFont="1" applyBorder="1" applyAlignment="1">
      <alignment horizontal="right"/>
      <protection/>
    </xf>
    <xf numFmtId="3" fontId="39" fillId="0" borderId="56" xfId="20" applyNumberFormat="1" applyFont="1" applyFill="1" applyBorder="1" applyAlignment="1">
      <alignment horizontal="right"/>
      <protection/>
    </xf>
    <xf numFmtId="3" fontId="58" fillId="0" borderId="56" xfId="20" applyNumberFormat="1" applyFont="1" applyFill="1" applyBorder="1" applyAlignment="1">
      <alignment horizontal="right"/>
      <protection/>
    </xf>
    <xf numFmtId="3" fontId="41" fillId="2" borderId="150" xfId="20" applyNumberFormat="1" applyFont="1" applyFill="1" applyBorder="1" applyAlignment="1">
      <alignment horizontal="right"/>
      <protection/>
    </xf>
    <xf numFmtId="3" fontId="30" fillId="0" borderId="150" xfId="20" applyNumberFormat="1" applyFont="1" applyFill="1" applyBorder="1" applyAlignment="1">
      <alignment horizontal="right"/>
      <protection/>
    </xf>
    <xf numFmtId="3" fontId="30" fillId="0" borderId="111" xfId="20" applyNumberFormat="1" applyFont="1" applyBorder="1">
      <alignment/>
      <protection/>
    </xf>
    <xf numFmtId="3" fontId="30" fillId="0" borderId="0" xfId="20" applyNumberFormat="1" applyFont="1" applyFill="1" applyBorder="1">
      <alignment/>
      <protection/>
    </xf>
    <xf numFmtId="3" fontId="43" fillId="8" borderId="29" xfId="20" applyNumberFormat="1" applyFont="1" applyFill="1" applyBorder="1">
      <alignment/>
      <protection/>
    </xf>
    <xf numFmtId="3" fontId="63" fillId="0" borderId="0" xfId="20" applyNumberFormat="1" applyFont="1">
      <alignment/>
      <protection/>
    </xf>
    <xf numFmtId="3" fontId="61" fillId="0" borderId="0" xfId="0" applyNumberFormat="1" applyFont="1" applyAlignment="1">
      <alignment/>
    </xf>
    <xf numFmtId="3" fontId="19" fillId="0" borderId="71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/>
    </xf>
    <xf numFmtId="0" fontId="24" fillId="0" borderId="106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24" fillId="0" borderId="6" xfId="0" applyFont="1" applyFill="1" applyBorder="1" applyAlignment="1">
      <alignment/>
    </xf>
    <xf numFmtId="3" fontId="24" fillId="0" borderId="66" xfId="0" applyNumberFormat="1" applyFont="1" applyFill="1" applyBorder="1" applyAlignment="1">
      <alignment/>
    </xf>
    <xf numFmtId="3" fontId="24" fillId="0" borderId="124" xfId="0" applyNumberFormat="1" applyFont="1" applyFill="1" applyBorder="1" applyAlignment="1">
      <alignment/>
    </xf>
    <xf numFmtId="3" fontId="28" fillId="0" borderId="142" xfId="0" applyNumberFormat="1" applyFont="1" applyFill="1" applyBorder="1" applyAlignment="1">
      <alignment/>
    </xf>
    <xf numFmtId="3" fontId="28" fillId="0" borderId="32" xfId="0" applyNumberFormat="1" applyFont="1" applyFill="1" applyBorder="1" applyAlignment="1">
      <alignment/>
    </xf>
    <xf numFmtId="3" fontId="28" fillId="0" borderId="76" xfId="0" applyNumberFormat="1" applyFont="1" applyFill="1" applyBorder="1" applyAlignment="1">
      <alignment/>
    </xf>
    <xf numFmtId="0" fontId="28" fillId="0" borderId="1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3" fontId="28" fillId="0" borderId="53" xfId="0" applyNumberFormat="1" applyFont="1" applyFill="1" applyBorder="1" applyAlignment="1">
      <alignment/>
    </xf>
    <xf numFmtId="3" fontId="28" fillId="0" borderId="28" xfId="0" applyNumberFormat="1" applyFont="1" applyFill="1" applyBorder="1" applyAlignment="1">
      <alignment/>
    </xf>
    <xf numFmtId="3" fontId="28" fillId="0" borderId="9" xfId="0" applyNumberFormat="1" applyFont="1" applyFill="1" applyBorder="1" applyAlignment="1">
      <alignment/>
    </xf>
    <xf numFmtId="3" fontId="28" fillId="0" borderId="10" xfId="0" applyNumberFormat="1" applyFont="1" applyFill="1" applyBorder="1" applyAlignment="1">
      <alignment/>
    </xf>
    <xf numFmtId="3" fontId="28" fillId="0" borderId="37" xfId="0" applyNumberFormat="1" applyFont="1" applyFill="1" applyBorder="1" applyAlignment="1">
      <alignment/>
    </xf>
    <xf numFmtId="0" fontId="28" fillId="0" borderId="36" xfId="0" applyFont="1" applyFill="1" applyBorder="1" applyAlignment="1">
      <alignment/>
    </xf>
    <xf numFmtId="3" fontId="28" fillId="0" borderId="50" xfId="0" applyNumberFormat="1" applyFont="1" applyFill="1" applyBorder="1" applyAlignment="1">
      <alignment/>
    </xf>
    <xf numFmtId="3" fontId="28" fillId="0" borderId="106" xfId="0" applyNumberFormat="1" applyFont="1" applyFill="1" applyBorder="1" applyAlignment="1">
      <alignment/>
    </xf>
    <xf numFmtId="3" fontId="28" fillId="0" borderId="17" xfId="0" applyNumberFormat="1" applyFont="1" applyFill="1" applyBorder="1" applyAlignment="1">
      <alignment/>
    </xf>
    <xf numFmtId="3" fontId="28" fillId="0" borderId="36" xfId="0" applyNumberFormat="1" applyFont="1" applyFill="1" applyBorder="1" applyAlignment="1">
      <alignment/>
    </xf>
    <xf numFmtId="0" fontId="28" fillId="0" borderId="5" xfId="0" applyFont="1" applyFill="1" applyBorder="1" applyAlignment="1">
      <alignment horizontal="center"/>
    </xf>
    <xf numFmtId="3" fontId="28" fillId="0" borderId="35" xfId="0" applyNumberFormat="1" applyFont="1" applyFill="1" applyBorder="1" applyAlignment="1">
      <alignment/>
    </xf>
    <xf numFmtId="3" fontId="24" fillId="0" borderId="167" xfId="0" applyNumberFormat="1" applyFont="1" applyFill="1" applyBorder="1" applyAlignment="1">
      <alignment/>
    </xf>
    <xf numFmtId="1" fontId="28" fillId="0" borderId="33" xfId="0" applyNumberFormat="1" applyFont="1" applyFill="1" applyBorder="1" applyAlignment="1">
      <alignment horizontal="center"/>
    </xf>
    <xf numFmtId="4" fontId="28" fillId="0" borderId="92" xfId="0" applyNumberFormat="1" applyFont="1" applyFill="1" applyBorder="1" applyAlignment="1">
      <alignment/>
    </xf>
    <xf numFmtId="4" fontId="28" fillId="0" borderId="100" xfId="0" applyNumberFormat="1" applyFont="1" applyFill="1" applyBorder="1" applyAlignment="1">
      <alignment/>
    </xf>
    <xf numFmtId="4" fontId="28" fillId="0" borderId="107" xfId="0" applyNumberFormat="1" applyFont="1" applyFill="1" applyBorder="1" applyAlignment="1">
      <alignment/>
    </xf>
    <xf numFmtId="2" fontId="28" fillId="0" borderId="92" xfId="0" applyNumberFormat="1" applyFont="1" applyFill="1" applyBorder="1" applyAlignment="1">
      <alignment/>
    </xf>
    <xf numFmtId="2" fontId="28" fillId="0" borderId="100" xfId="0" applyNumberFormat="1" applyFont="1" applyFill="1" applyBorder="1" applyAlignment="1">
      <alignment/>
    </xf>
    <xf numFmtId="2" fontId="28" fillId="0" borderId="107" xfId="0" applyNumberFormat="1" applyFont="1" applyFill="1" applyBorder="1" applyAlignment="1">
      <alignment/>
    </xf>
    <xf numFmtId="3" fontId="28" fillId="0" borderId="0" xfId="0" applyNumberFormat="1" applyFont="1" applyFill="1" applyAlignment="1">
      <alignment horizontal="center"/>
    </xf>
    <xf numFmtId="3" fontId="64" fillId="0" borderId="0" xfId="0" applyNumberFormat="1" applyFont="1" applyAlignment="1">
      <alignment/>
    </xf>
    <xf numFmtId="3" fontId="28" fillId="0" borderId="72" xfId="0" applyNumberFormat="1" applyFont="1" applyFill="1" applyBorder="1" applyAlignment="1">
      <alignment/>
    </xf>
    <xf numFmtId="0" fontId="30" fillId="0" borderId="77" xfId="20" applyFont="1" applyFill="1" applyBorder="1">
      <alignment/>
      <protection/>
    </xf>
    <xf numFmtId="0" fontId="5" fillId="0" borderId="107" xfId="20" applyFont="1" applyBorder="1" applyAlignment="1">
      <alignment horizontal="center"/>
      <protection/>
    </xf>
    <xf numFmtId="0" fontId="5" fillId="0" borderId="84" xfId="20" applyFont="1" applyBorder="1" applyAlignment="1">
      <alignment horizontal="center"/>
      <protection/>
    </xf>
    <xf numFmtId="0" fontId="30" fillId="0" borderId="153" xfId="20" applyFont="1" applyBorder="1" applyAlignment="1">
      <alignment horizontal="center"/>
      <protection/>
    </xf>
    <xf numFmtId="3" fontId="30" fillId="0" borderId="4" xfId="20" applyNumberFormat="1" applyFont="1" applyBorder="1">
      <alignment/>
      <protection/>
    </xf>
    <xf numFmtId="3" fontId="30" fillId="0" borderId="56" xfId="20" applyNumberFormat="1" applyFont="1" applyBorder="1">
      <alignment/>
      <protection/>
    </xf>
    <xf numFmtId="3" fontId="39" fillId="0" borderId="56" xfId="20" applyNumberFormat="1" applyFont="1" applyBorder="1">
      <alignment/>
      <protection/>
    </xf>
    <xf numFmtId="3" fontId="30" fillId="3" borderId="150" xfId="20" applyNumberFormat="1" applyFont="1" applyFill="1" applyBorder="1">
      <alignment/>
      <protection/>
    </xf>
    <xf numFmtId="3" fontId="30" fillId="0" borderId="101" xfId="20" applyNumberFormat="1" applyFont="1" applyBorder="1">
      <alignment/>
      <protection/>
    </xf>
    <xf numFmtId="4" fontId="26" fillId="0" borderId="0" xfId="20" applyNumberFormat="1" applyFont="1">
      <alignment/>
      <protection/>
    </xf>
    <xf numFmtId="3" fontId="28" fillId="0" borderId="127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Alignment="1">
      <alignment/>
    </xf>
    <xf numFmtId="0" fontId="28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4" xfId="0" applyFont="1" applyBorder="1" applyAlignment="1">
      <alignment/>
    </xf>
    <xf numFmtId="4" fontId="67" fillId="0" borderId="0" xfId="20" applyNumberFormat="1" applyFont="1" applyFill="1" applyBorder="1">
      <alignment/>
      <protection/>
    </xf>
    <xf numFmtId="0" fontId="68" fillId="0" borderId="0" xfId="0" applyFont="1" applyFill="1" applyAlignment="1">
      <alignment/>
    </xf>
    <xf numFmtId="172" fontId="68" fillId="0" borderId="0" xfId="0" applyNumberFormat="1" applyFont="1" applyFill="1" applyBorder="1" applyAlignment="1">
      <alignment/>
    </xf>
    <xf numFmtId="168" fontId="68" fillId="0" borderId="0" xfId="0" applyNumberFormat="1" applyFont="1" applyFill="1" applyBorder="1" applyAlignment="1">
      <alignment/>
    </xf>
    <xf numFmtId="168" fontId="68" fillId="0" borderId="0" xfId="0" applyNumberFormat="1" applyFont="1" applyFill="1" applyAlignment="1">
      <alignment/>
    </xf>
    <xf numFmtId="3" fontId="43" fillId="2" borderId="150" xfId="20" applyNumberFormat="1" applyFont="1" applyFill="1" applyBorder="1">
      <alignment/>
      <protection/>
    </xf>
    <xf numFmtId="3" fontId="43" fillId="0" borderId="154" xfId="20" applyNumberFormat="1" applyFont="1" applyFill="1" applyBorder="1" applyAlignment="1">
      <alignment horizontal="right"/>
      <protection/>
    </xf>
    <xf numFmtId="3" fontId="69" fillId="2" borderId="100" xfId="0" applyNumberFormat="1" applyFont="1" applyFill="1" applyBorder="1" applyAlignment="1">
      <alignment horizontal="right"/>
    </xf>
    <xf numFmtId="3" fontId="70" fillId="2" borderId="84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2" fontId="68" fillId="0" borderId="0" xfId="0" applyNumberFormat="1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68" fillId="0" borderId="0" xfId="0" applyFont="1" applyAlignment="1">
      <alignment/>
    </xf>
    <xf numFmtId="0" fontId="12" fillId="2" borderId="15" xfId="0" applyFont="1" applyFill="1" applyBorder="1" applyAlignment="1">
      <alignment horizontal="center"/>
    </xf>
    <xf numFmtId="0" fontId="12" fillId="2" borderId="101" xfId="0" applyFont="1" applyFill="1" applyBorder="1" applyAlignment="1">
      <alignment horizontal="center"/>
    </xf>
    <xf numFmtId="3" fontId="12" fillId="2" borderId="58" xfId="0" applyNumberFormat="1" applyFont="1" applyFill="1" applyBorder="1" applyAlignment="1">
      <alignment/>
    </xf>
    <xf numFmtId="3" fontId="12" fillId="2" borderId="4" xfId="0" applyNumberFormat="1" applyFont="1" applyFill="1" applyBorder="1" applyAlignment="1">
      <alignment/>
    </xf>
    <xf numFmtId="3" fontId="12" fillId="2" borderId="111" xfId="0" applyNumberFormat="1" applyFont="1" applyFill="1" applyBorder="1" applyAlignment="1">
      <alignment/>
    </xf>
    <xf numFmtId="4" fontId="25" fillId="0" borderId="152" xfId="23" applyNumberFormat="1" applyFont="1" applyBorder="1">
      <alignment/>
      <protection/>
    </xf>
    <xf numFmtId="4" fontId="25" fillId="0" borderId="0" xfId="22" applyNumberFormat="1" applyFont="1" applyFill="1" applyBorder="1" applyAlignment="1">
      <alignment horizontal="right"/>
      <protection/>
    </xf>
    <xf numFmtId="4" fontId="25" fillId="0" borderId="168" xfId="22" applyNumberFormat="1" applyFont="1" applyFill="1" applyBorder="1" applyAlignment="1">
      <alignment horizontal="right"/>
      <protection/>
    </xf>
    <xf numFmtId="3" fontId="25" fillId="0" borderId="130" xfId="0" applyNumberFormat="1" applyFont="1" applyBorder="1" applyAlignment="1">
      <alignment horizontal="right"/>
    </xf>
    <xf numFmtId="3" fontId="25" fillId="0" borderId="61" xfId="0" applyNumberFormat="1" applyFont="1" applyBorder="1" applyAlignment="1">
      <alignment horizontal="right"/>
    </xf>
    <xf numFmtId="3" fontId="75" fillId="2" borderId="7" xfId="0" applyNumberFormat="1" applyFont="1" applyFill="1" applyBorder="1" applyAlignment="1">
      <alignment/>
    </xf>
    <xf numFmtId="3" fontId="75" fillId="2" borderId="55" xfId="0" applyNumberFormat="1" applyFont="1" applyFill="1" applyBorder="1" applyAlignment="1">
      <alignment/>
    </xf>
    <xf numFmtId="3" fontId="75" fillId="2" borderId="61" xfId="0" applyNumberFormat="1" applyFont="1" applyFill="1" applyBorder="1" applyAlignment="1">
      <alignment/>
    </xf>
    <xf numFmtId="3" fontId="27" fillId="0" borderId="60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176" fontId="42" fillId="0" borderId="0" xfId="0" applyNumberFormat="1" applyFont="1" applyAlignment="1">
      <alignment/>
    </xf>
    <xf numFmtId="3" fontId="48" fillId="0" borderId="128" xfId="0" applyNumberFormat="1" applyFont="1" applyFill="1" applyBorder="1" applyAlignment="1">
      <alignment/>
    </xf>
    <xf numFmtId="3" fontId="27" fillId="0" borderId="93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 horizontal="center"/>
    </xf>
    <xf numFmtId="4" fontId="6" fillId="0" borderId="27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/>
    </xf>
    <xf numFmtId="4" fontId="9" fillId="0" borderId="5" xfId="0" applyNumberFormat="1" applyFont="1" applyFill="1" applyBorder="1" applyAlignment="1">
      <alignment horizontal="center"/>
    </xf>
    <xf numFmtId="4" fontId="28" fillId="0" borderId="93" xfId="0" applyNumberFormat="1" applyFont="1" applyFill="1" applyBorder="1" applyAlignment="1">
      <alignment/>
    </xf>
    <xf numFmtId="4" fontId="6" fillId="0" borderId="38" xfId="0" applyNumberFormat="1" applyFont="1" applyFill="1" applyBorder="1" applyAlignment="1">
      <alignment/>
    </xf>
    <xf numFmtId="4" fontId="28" fillId="0" borderId="128" xfId="0" applyNumberFormat="1" applyFont="1" applyFill="1" applyBorder="1" applyAlignment="1">
      <alignment/>
    </xf>
    <xf numFmtId="164" fontId="0" fillId="0" borderId="49" xfId="0" applyNumberFormat="1" applyFont="1" applyFill="1" applyBorder="1" applyAlignment="1">
      <alignment/>
    </xf>
    <xf numFmtId="164" fontId="0" fillId="0" borderId="51" xfId="0" applyNumberFormat="1" applyFont="1" applyFill="1" applyBorder="1" applyAlignment="1">
      <alignment/>
    </xf>
    <xf numFmtId="164" fontId="0" fillId="0" borderId="169" xfId="0" applyNumberFormat="1" applyFont="1" applyFill="1" applyBorder="1" applyAlignment="1">
      <alignment/>
    </xf>
    <xf numFmtId="168" fontId="0" fillId="0" borderId="50" xfId="0" applyNumberFormat="1" applyFont="1" applyFill="1" applyBorder="1" applyAlignment="1">
      <alignment/>
    </xf>
    <xf numFmtId="164" fontId="0" fillId="0" borderId="36" xfId="0" applyNumberFormat="1" applyFont="1" applyFill="1" applyBorder="1" applyAlignment="1">
      <alignment/>
    </xf>
    <xf numFmtId="164" fontId="0" fillId="0" borderId="34" xfId="0" applyNumberFormat="1" applyFont="1" applyFill="1" applyBorder="1" applyAlignment="1">
      <alignment/>
    </xf>
    <xf numFmtId="164" fontId="0" fillId="0" borderId="143" xfId="0" applyNumberFormat="1" applyFont="1" applyFill="1" applyBorder="1" applyAlignment="1">
      <alignment/>
    </xf>
    <xf numFmtId="168" fontId="0" fillId="0" borderId="92" xfId="0" applyNumberFormat="1" applyFont="1" applyFill="1" applyBorder="1" applyAlignment="1">
      <alignment/>
    </xf>
    <xf numFmtId="164" fontId="0" fillId="0" borderId="66" xfId="0" applyNumberFormat="1" applyFont="1" applyFill="1" applyBorder="1" applyAlignment="1">
      <alignment/>
    </xf>
    <xf numFmtId="164" fontId="0" fillId="0" borderId="67" xfId="0" applyNumberFormat="1" applyFont="1" applyFill="1" applyBorder="1" applyAlignment="1">
      <alignment/>
    </xf>
    <xf numFmtId="164" fontId="0" fillId="0" borderId="133" xfId="0" applyNumberFormat="1" applyFont="1" applyFill="1" applyBorder="1" applyAlignment="1">
      <alignment/>
    </xf>
    <xf numFmtId="168" fontId="0" fillId="0" borderId="100" xfId="0" applyNumberFormat="1" applyFont="1" applyFill="1" applyBorder="1" applyAlignment="1">
      <alignment/>
    </xf>
    <xf numFmtId="0" fontId="0" fillId="0" borderId="170" xfId="0" applyFill="1" applyBorder="1" applyAlignment="1">
      <alignment horizontal="center"/>
    </xf>
    <xf numFmtId="0" fontId="0" fillId="0" borderId="171" xfId="0" applyFill="1" applyBorder="1" applyAlignment="1">
      <alignment/>
    </xf>
    <xf numFmtId="3" fontId="0" fillId="0" borderId="151" xfId="0" applyNumberFormat="1" applyFill="1" applyBorder="1" applyAlignment="1">
      <alignment/>
    </xf>
    <xf numFmtId="168" fontId="0" fillId="0" borderId="13" xfId="0" applyNumberFormat="1" applyFont="1" applyFill="1" applyBorder="1" applyAlignment="1">
      <alignment/>
    </xf>
    <xf numFmtId="3" fontId="27" fillId="0" borderId="128" xfId="0" applyNumberFormat="1" applyFont="1" applyFill="1" applyBorder="1" applyAlignment="1">
      <alignment/>
    </xf>
    <xf numFmtId="0" fontId="36" fillId="0" borderId="35" xfId="0" applyFont="1" applyFill="1" applyBorder="1" applyAlignment="1">
      <alignment horizontal="right" vertical="center" wrapText="1"/>
    </xf>
    <xf numFmtId="176" fontId="68" fillId="0" borderId="0" xfId="0" applyNumberFormat="1" applyFont="1" applyAlignment="1">
      <alignment horizontal="right"/>
    </xf>
    <xf numFmtId="4" fontId="25" fillId="0" borderId="100" xfId="0" applyNumberFormat="1" applyFont="1" applyFill="1" applyBorder="1" applyAlignment="1">
      <alignment horizontal="right"/>
    </xf>
    <xf numFmtId="3" fontId="25" fillId="0" borderId="77" xfId="0" applyNumberFormat="1" applyFont="1" applyFill="1" applyBorder="1" applyAlignment="1">
      <alignment horizontal="right"/>
    </xf>
    <xf numFmtId="3" fontId="25" fillId="0" borderId="92" xfId="0" applyNumberFormat="1" applyFont="1" applyFill="1" applyBorder="1" applyAlignment="1">
      <alignment horizontal="right"/>
    </xf>
    <xf numFmtId="3" fontId="25" fillId="0" borderId="100" xfId="0" applyNumberFormat="1" applyFont="1" applyFill="1" applyBorder="1" applyAlignment="1">
      <alignment horizontal="right"/>
    </xf>
    <xf numFmtId="3" fontId="25" fillId="0" borderId="77" xfId="0" applyNumberFormat="1" applyFont="1" applyBorder="1" applyAlignment="1">
      <alignment horizontal="right"/>
    </xf>
    <xf numFmtId="3" fontId="25" fillId="2" borderId="100" xfId="0" applyNumberFormat="1" applyFont="1" applyFill="1" applyBorder="1" applyAlignment="1">
      <alignment horizontal="right"/>
    </xf>
    <xf numFmtId="3" fontId="25" fillId="2" borderId="77" xfId="0" applyNumberFormat="1" applyFont="1" applyFill="1" applyBorder="1" applyAlignment="1">
      <alignment horizontal="right"/>
    </xf>
    <xf numFmtId="3" fontId="25" fillId="2" borderId="41" xfId="0" applyNumberFormat="1" applyFont="1" applyFill="1" applyBorder="1" applyAlignment="1">
      <alignment horizontal="right"/>
    </xf>
    <xf numFmtId="3" fontId="56" fillId="2" borderId="77" xfId="0" applyNumberFormat="1" applyFont="1" applyFill="1" applyBorder="1" applyAlignment="1">
      <alignment horizontal="right"/>
    </xf>
    <xf numFmtId="0" fontId="25" fillId="0" borderId="0" xfId="23" applyFont="1" applyFill="1" applyAlignment="1">
      <alignment horizontal="left"/>
      <protection/>
    </xf>
    <xf numFmtId="0" fontId="25" fillId="0" borderId="0" xfId="23" applyFont="1" applyFill="1" applyAlignment="1">
      <alignment/>
      <protection/>
    </xf>
    <xf numFmtId="3" fontId="69" fillId="0" borderId="100" xfId="0" applyNumberFormat="1" applyFont="1" applyFill="1" applyBorder="1" applyAlignment="1">
      <alignment horizontal="right"/>
    </xf>
    <xf numFmtId="0" fontId="57" fillId="0" borderId="26" xfId="0" applyFont="1" applyFill="1" applyBorder="1" applyAlignment="1">
      <alignment vertical="center" wrapText="1"/>
    </xf>
    <xf numFmtId="0" fontId="57" fillId="0" borderId="26" xfId="0" applyFont="1" applyFill="1" applyBorder="1" applyAlignment="1">
      <alignment horizontal="left"/>
    </xf>
    <xf numFmtId="3" fontId="55" fillId="0" borderId="132" xfId="0" applyNumberFormat="1" applyFont="1" applyFill="1" applyBorder="1" applyAlignment="1">
      <alignment horizontal="right"/>
    </xf>
    <xf numFmtId="0" fontId="55" fillId="0" borderId="67" xfId="0" applyFont="1" applyFill="1" applyBorder="1" applyAlignment="1">
      <alignment vertical="center" wrapText="1"/>
    </xf>
    <xf numFmtId="0" fontId="57" fillId="0" borderId="67" xfId="0" applyFont="1" applyFill="1" applyBorder="1" applyAlignment="1">
      <alignment horizontal="left"/>
    </xf>
    <xf numFmtId="3" fontId="57" fillId="0" borderId="60" xfId="0" applyNumberFormat="1" applyFont="1" applyFill="1" applyBorder="1" applyAlignment="1">
      <alignment horizontal="right"/>
    </xf>
    <xf numFmtId="0" fontId="55" fillId="0" borderId="172" xfId="0" applyFont="1" applyFill="1" applyBorder="1" applyAlignment="1">
      <alignment vertical="center" wrapText="1"/>
    </xf>
    <xf numFmtId="0" fontId="57" fillId="0" borderId="172" xfId="0" applyFont="1" applyFill="1" applyBorder="1" applyAlignment="1">
      <alignment horizontal="left"/>
    </xf>
    <xf numFmtId="3" fontId="55" fillId="0" borderId="173" xfId="0" applyNumberFormat="1" applyFont="1" applyFill="1" applyBorder="1" applyAlignment="1">
      <alignment horizontal="right"/>
    </xf>
    <xf numFmtId="0" fontId="77" fillId="2" borderId="174" xfId="0" applyFont="1" applyFill="1" applyBorder="1" applyAlignment="1">
      <alignment horizontal="center" vertical="justify"/>
    </xf>
    <xf numFmtId="0" fontId="55" fillId="2" borderId="175" xfId="0" applyFont="1" applyFill="1" applyBorder="1" applyAlignment="1">
      <alignment vertical="center" wrapText="1"/>
    </xf>
    <xf numFmtId="0" fontId="57" fillId="2" borderId="175" xfId="0" applyFont="1" applyFill="1" applyBorder="1" applyAlignment="1">
      <alignment horizontal="left"/>
    </xf>
    <xf numFmtId="3" fontId="78" fillId="2" borderId="136" xfId="0" applyNumberFormat="1" applyFont="1" applyFill="1" applyBorder="1" applyAlignment="1">
      <alignment horizontal="right"/>
    </xf>
    <xf numFmtId="0" fontId="55" fillId="0" borderId="67" xfId="0" applyFont="1" applyFill="1" applyBorder="1" applyAlignment="1">
      <alignment horizontal="left"/>
    </xf>
    <xf numFmtId="3" fontId="57" fillId="0" borderId="60" xfId="0" applyNumberFormat="1" applyFont="1" applyFill="1" applyBorder="1" applyAlignment="1">
      <alignment/>
    </xf>
    <xf numFmtId="0" fontId="55" fillId="0" borderId="172" xfId="0" applyFont="1" applyFill="1" applyBorder="1" applyAlignment="1">
      <alignment horizontal="left"/>
    </xf>
    <xf numFmtId="3" fontId="57" fillId="0" borderId="173" xfId="0" applyNumberFormat="1" applyFont="1" applyFill="1" applyBorder="1" applyAlignment="1">
      <alignment/>
    </xf>
    <xf numFmtId="0" fontId="57" fillId="2" borderId="175" xfId="0" applyFont="1" applyFill="1" applyBorder="1" applyAlignment="1">
      <alignment vertical="center" wrapText="1"/>
    </xf>
    <xf numFmtId="0" fontId="57" fillId="0" borderId="67" xfId="0" applyFont="1" applyFill="1" applyBorder="1" applyAlignment="1">
      <alignment vertical="center" wrapText="1"/>
    </xf>
    <xf numFmtId="0" fontId="57" fillId="0" borderId="172" xfId="0" applyFont="1" applyFill="1" applyBorder="1" applyAlignment="1">
      <alignment vertical="center" wrapText="1"/>
    </xf>
    <xf numFmtId="3" fontId="57" fillId="0" borderId="173" xfId="0" applyNumberFormat="1" applyFont="1" applyFill="1" applyBorder="1" applyAlignment="1">
      <alignment horizontal="right"/>
    </xf>
    <xf numFmtId="3" fontId="57" fillId="0" borderId="132" xfId="0" applyNumberFormat="1" applyFont="1" applyFill="1" applyBorder="1" applyAlignment="1">
      <alignment horizontal="right"/>
    </xf>
    <xf numFmtId="0" fontId="78" fillId="9" borderId="67" xfId="0" applyFont="1" applyFill="1" applyBorder="1" applyAlignment="1">
      <alignment wrapText="1"/>
    </xf>
    <xf numFmtId="3" fontId="78" fillId="9" borderId="60" xfId="0" applyNumberFormat="1" applyFont="1" applyFill="1" applyBorder="1" applyAlignment="1">
      <alignment wrapText="1"/>
    </xf>
    <xf numFmtId="0" fontId="77" fillId="2" borderId="176" xfId="0" applyFont="1" applyFill="1" applyBorder="1" applyAlignment="1">
      <alignment horizontal="left"/>
    </xf>
    <xf numFmtId="0" fontId="77" fillId="2" borderId="67" xfId="0" applyFont="1" applyFill="1" applyBorder="1" applyAlignment="1">
      <alignment horizontal="left"/>
    </xf>
    <xf numFmtId="0" fontId="78" fillId="2" borderId="67" xfId="0" applyFont="1" applyFill="1" applyBorder="1" applyAlignment="1">
      <alignment horizontal="left"/>
    </xf>
    <xf numFmtId="3" fontId="78" fillId="2" borderId="60" xfId="0" applyNumberFormat="1" applyFont="1" applyFill="1" applyBorder="1" applyAlignment="1">
      <alignment horizontal="right"/>
    </xf>
    <xf numFmtId="0" fontId="77" fillId="9" borderId="177" xfId="0" applyFont="1" applyFill="1" applyBorder="1" applyAlignment="1">
      <alignment horizontal="left"/>
    </xf>
    <xf numFmtId="0" fontId="77" fillId="9" borderId="73" xfId="0" applyFont="1" applyFill="1" applyBorder="1" applyAlignment="1">
      <alignment horizontal="left"/>
    </xf>
    <xf numFmtId="0" fontId="78" fillId="9" borderId="73" xfId="0" applyFont="1" applyFill="1" applyBorder="1" applyAlignment="1">
      <alignment horizontal="left"/>
    </xf>
    <xf numFmtId="3" fontId="78" fillId="9" borderId="105" xfId="0" applyNumberFormat="1" applyFont="1" applyFill="1" applyBorder="1" applyAlignment="1">
      <alignment horizontal="right"/>
    </xf>
    <xf numFmtId="0" fontId="79" fillId="0" borderId="0" xfId="0" applyFont="1" applyAlignment="1">
      <alignment horizontal="left"/>
    </xf>
    <xf numFmtId="3" fontId="79" fillId="0" borderId="0" xfId="0" applyNumberFormat="1" applyFont="1" applyAlignment="1">
      <alignment horizontal="right"/>
    </xf>
    <xf numFmtId="0" fontId="76" fillId="3" borderId="178" xfId="0" applyFont="1" applyFill="1" applyBorder="1" applyAlignment="1">
      <alignment horizontal="center"/>
    </xf>
    <xf numFmtId="0" fontId="76" fillId="3" borderId="40" xfId="0" applyFont="1" applyFill="1" applyBorder="1" applyAlignment="1">
      <alignment wrapText="1"/>
    </xf>
    <xf numFmtId="0" fontId="76" fillId="3" borderId="40" xfId="0" applyFont="1" applyFill="1" applyBorder="1" applyAlignment="1">
      <alignment horizontal="center"/>
    </xf>
    <xf numFmtId="3" fontId="76" fillId="3" borderId="126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1" xfId="0" applyFont="1" applyBorder="1" applyAlignment="1">
      <alignment horizontal="center"/>
    </xf>
    <xf numFmtId="3" fontId="12" fillId="2" borderId="10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3" fontId="11" fillId="2" borderId="40" xfId="0" applyNumberFormat="1" applyFont="1" applyFill="1" applyBorder="1" applyAlignment="1">
      <alignment/>
    </xf>
    <xf numFmtId="3" fontId="6" fillId="2" borderId="111" xfId="0" applyNumberFormat="1" applyFont="1" applyFill="1" applyBorder="1" applyAlignment="1">
      <alignment/>
    </xf>
    <xf numFmtId="3" fontId="0" fillId="0" borderId="57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6" fillId="0" borderId="58" xfId="0" applyNumberFormat="1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3" fontId="1" fillId="0" borderId="130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79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9" fillId="0" borderId="154" xfId="0" applyNumberFormat="1" applyFont="1" applyBorder="1" applyAlignment="1">
      <alignment/>
    </xf>
    <xf numFmtId="0" fontId="10" fillId="0" borderId="0" xfId="0" applyFont="1" applyAlignment="1">
      <alignment/>
    </xf>
    <xf numFmtId="3" fontId="0" fillId="0" borderId="130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79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6" fillId="0" borderId="154" xfId="0" applyNumberFormat="1" applyFont="1" applyBorder="1" applyAlignment="1">
      <alignment/>
    </xf>
    <xf numFmtId="0" fontId="19" fillId="0" borderId="29" xfId="0" applyFont="1" applyFill="1" applyBorder="1" applyAlignment="1">
      <alignment horizontal="left"/>
    </xf>
    <xf numFmtId="3" fontId="0" fillId="0" borderId="55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67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5" fillId="0" borderId="69" xfId="0" applyNumberFormat="1" applyFont="1" applyBorder="1" applyAlignment="1">
      <alignment/>
    </xf>
    <xf numFmtId="3" fontId="6" fillId="0" borderId="166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6" fillId="0" borderId="101" xfId="0" applyNumberFormat="1" applyFont="1" applyBorder="1" applyAlignment="1">
      <alignment/>
    </xf>
    <xf numFmtId="0" fontId="42" fillId="0" borderId="0" xfId="0" applyFont="1" applyAlignment="1">
      <alignment/>
    </xf>
    <xf numFmtId="0" fontId="43" fillId="0" borderId="15" xfId="20" applyFont="1" applyBorder="1" applyAlignment="1">
      <alignment horizontal="center"/>
      <protection/>
    </xf>
    <xf numFmtId="0" fontId="43" fillId="0" borderId="101" xfId="20" applyFont="1" applyBorder="1" applyAlignment="1">
      <alignment horizontal="center"/>
      <protection/>
    </xf>
    <xf numFmtId="0" fontId="37" fillId="0" borderId="92" xfId="20" applyFont="1" applyBorder="1" applyAlignment="1">
      <alignment horizontal="center"/>
      <protection/>
    </xf>
    <xf numFmtId="0" fontId="10" fillId="0" borderId="0" xfId="20" applyFont="1" applyBorder="1">
      <alignment/>
      <protection/>
    </xf>
    <xf numFmtId="3" fontId="30" fillId="0" borderId="4" xfId="20" applyNumberFormat="1" applyFont="1" applyFill="1" applyBorder="1">
      <alignment/>
      <protection/>
    </xf>
    <xf numFmtId="3" fontId="43" fillId="0" borderId="4" xfId="20" applyNumberFormat="1" applyFont="1" applyFill="1" applyBorder="1">
      <alignment/>
      <protection/>
    </xf>
    <xf numFmtId="0" fontId="5" fillId="0" borderId="66" xfId="20" applyFont="1" applyFill="1" applyBorder="1" applyAlignment="1">
      <alignment horizontal="center"/>
      <protection/>
    </xf>
    <xf numFmtId="0" fontId="30" fillId="5" borderId="110" xfId="20" applyFont="1" applyFill="1" applyBorder="1">
      <alignment/>
      <protection/>
    </xf>
    <xf numFmtId="14" fontId="19" fillId="0" borderId="0" xfId="20" applyNumberFormat="1" applyFont="1" applyAlignment="1">
      <alignment horizontal="center"/>
      <protection/>
    </xf>
    <xf numFmtId="3" fontId="58" fillId="2" borderId="150" xfId="20" applyNumberFormat="1" applyFont="1" applyFill="1" applyBorder="1">
      <alignment/>
      <protection/>
    </xf>
    <xf numFmtId="3" fontId="58" fillId="2" borderId="150" xfId="20" applyNumberFormat="1" applyFont="1" applyFill="1" applyBorder="1" applyAlignment="1">
      <alignment horizontal="right"/>
      <protection/>
    </xf>
    <xf numFmtId="0" fontId="9" fillId="0" borderId="0" xfId="20" applyFont="1">
      <alignment/>
      <protection/>
    </xf>
    <xf numFmtId="3" fontId="58" fillId="0" borderId="154" xfId="20" applyNumberFormat="1" applyFont="1" applyFill="1" applyBorder="1" applyAlignment="1">
      <alignment horizontal="right"/>
      <protection/>
    </xf>
    <xf numFmtId="3" fontId="43" fillId="0" borderId="166" xfId="20" applyNumberFormat="1" applyFont="1" applyFill="1" applyBorder="1" applyAlignment="1">
      <alignment horizontal="right"/>
      <protection/>
    </xf>
    <xf numFmtId="3" fontId="9" fillId="0" borderId="92" xfId="20" applyNumberFormat="1" applyFont="1" applyBorder="1" applyAlignment="1">
      <alignment horizontal="center"/>
      <protection/>
    </xf>
    <xf numFmtId="3" fontId="30" fillId="0" borderId="112" xfId="0" applyNumberFormat="1" applyFont="1" applyFill="1" applyBorder="1" applyAlignment="1">
      <alignment/>
    </xf>
    <xf numFmtId="3" fontId="43" fillId="0" borderId="112" xfId="0" applyNumberFormat="1" applyFont="1" applyFill="1" applyBorder="1" applyAlignment="1">
      <alignment/>
    </xf>
    <xf numFmtId="0" fontId="37" fillId="0" borderId="100" xfId="20" applyFont="1" applyBorder="1" applyAlignment="1">
      <alignment horizontal="center"/>
      <protection/>
    </xf>
    <xf numFmtId="3" fontId="9" fillId="0" borderId="66" xfId="20" applyNumberFormat="1" applyFont="1" applyBorder="1">
      <alignment/>
      <protection/>
    </xf>
    <xf numFmtId="3" fontId="10" fillId="0" borderId="66" xfId="20" applyNumberFormat="1" applyFont="1" applyBorder="1">
      <alignment/>
      <protection/>
    </xf>
    <xf numFmtId="3" fontId="28" fillId="0" borderId="154" xfId="20" applyNumberFormat="1" applyFont="1" applyFill="1" applyBorder="1">
      <alignment/>
      <protection/>
    </xf>
    <xf numFmtId="3" fontId="24" fillId="0" borderId="154" xfId="20" applyNumberFormat="1" applyFont="1" applyFill="1" applyBorder="1">
      <alignment/>
      <protection/>
    </xf>
    <xf numFmtId="0" fontId="6" fillId="0" borderId="0" xfId="20" applyFont="1" applyFill="1">
      <alignment/>
      <protection/>
    </xf>
    <xf numFmtId="0" fontId="5" fillId="0" borderId="138" xfId="20" applyFont="1" applyBorder="1" applyAlignment="1">
      <alignment horizontal="center"/>
      <protection/>
    </xf>
    <xf numFmtId="3" fontId="43" fillId="0" borderId="165" xfId="20" applyNumberFormat="1" applyFont="1" applyFill="1" applyBorder="1">
      <alignment/>
      <protection/>
    </xf>
    <xf numFmtId="3" fontId="43" fillId="6" borderId="166" xfId="20" applyNumberFormat="1" applyFont="1" applyFill="1" applyBorder="1">
      <alignment/>
      <protection/>
    </xf>
    <xf numFmtId="3" fontId="5" fillId="0" borderId="154" xfId="20" applyNumberFormat="1" applyFont="1" applyFill="1" applyBorder="1">
      <alignment/>
      <protection/>
    </xf>
    <xf numFmtId="3" fontId="5" fillId="0" borderId="56" xfId="20" applyNumberFormat="1" applyFont="1" applyFill="1" applyBorder="1">
      <alignment/>
      <protection/>
    </xf>
    <xf numFmtId="0" fontId="5" fillId="0" borderId="137" xfId="20" applyFont="1" applyBorder="1" applyAlignment="1">
      <alignment horizontal="center"/>
      <protection/>
    </xf>
    <xf numFmtId="3" fontId="58" fillId="0" borderId="56" xfId="20" applyNumberFormat="1" applyFont="1" applyFill="1" applyBorder="1">
      <alignment/>
      <protection/>
    </xf>
    <xf numFmtId="3" fontId="58" fillId="0" borderId="56" xfId="20" applyNumberFormat="1" applyFont="1" applyFill="1" applyBorder="1" applyAlignment="1">
      <alignment horizontal="right"/>
      <protection/>
    </xf>
    <xf numFmtId="4" fontId="65" fillId="0" borderId="0" xfId="20" applyNumberFormat="1" applyFont="1" applyFill="1" applyBorder="1">
      <alignment/>
      <protection/>
    </xf>
    <xf numFmtId="3" fontId="58" fillId="0" borderId="29" xfId="20" applyNumberFormat="1" applyFont="1" applyBorder="1">
      <alignment/>
      <protection/>
    </xf>
    <xf numFmtId="3" fontId="38" fillId="0" borderId="29" xfId="20" applyNumberFormat="1" applyFont="1" applyFill="1" applyBorder="1">
      <alignment/>
      <protection/>
    </xf>
    <xf numFmtId="4" fontId="82" fillId="0" borderId="0" xfId="20" applyNumberFormat="1" applyFont="1">
      <alignment/>
      <protection/>
    </xf>
    <xf numFmtId="0" fontId="11" fillId="0" borderId="0" xfId="20" applyFont="1">
      <alignment/>
      <protection/>
    </xf>
    <xf numFmtId="0" fontId="6" fillId="0" borderId="0" xfId="20" applyFont="1" applyAlignment="1">
      <alignment horizontal="center"/>
      <protection/>
    </xf>
    <xf numFmtId="3" fontId="6" fillId="0" borderId="0" xfId="20" applyNumberFormat="1" applyFont="1">
      <alignment/>
      <protection/>
    </xf>
    <xf numFmtId="3" fontId="15" fillId="0" borderId="0" xfId="20" applyNumberFormat="1" applyFont="1">
      <alignment/>
      <protection/>
    </xf>
    <xf numFmtId="0" fontId="9" fillId="0" borderId="0" xfId="20" applyFont="1" applyAlignment="1">
      <alignment horizontal="center"/>
      <protection/>
    </xf>
    <xf numFmtId="0" fontId="6" fillId="0" borderId="9" xfId="20" applyFont="1" applyBorder="1">
      <alignment/>
      <protection/>
    </xf>
    <xf numFmtId="3" fontId="6" fillId="0" borderId="9" xfId="20" applyNumberFormat="1" applyFont="1" applyBorder="1">
      <alignment/>
      <protection/>
    </xf>
    <xf numFmtId="3" fontId="6" fillId="0" borderId="0" xfId="20" applyNumberFormat="1" applyFont="1">
      <alignment/>
      <protection/>
    </xf>
    <xf numFmtId="0" fontId="15" fillId="0" borderId="0" xfId="20" applyFont="1">
      <alignment/>
      <protection/>
    </xf>
    <xf numFmtId="0" fontId="9" fillId="0" borderId="0" xfId="20" applyFont="1" applyAlignment="1">
      <alignment horizontal="center"/>
      <protection/>
    </xf>
    <xf numFmtId="0" fontId="9" fillId="0" borderId="9" xfId="20" applyFont="1" applyBorder="1">
      <alignment/>
      <protection/>
    </xf>
    <xf numFmtId="3" fontId="9" fillId="0" borderId="9" xfId="20" applyNumberFormat="1" applyFont="1" applyBorder="1">
      <alignment/>
      <protection/>
    </xf>
    <xf numFmtId="3" fontId="23" fillId="0" borderId="9" xfId="20" applyNumberFormat="1" applyFont="1" applyBorder="1">
      <alignment/>
      <protection/>
    </xf>
    <xf numFmtId="0" fontId="62" fillId="0" borderId="0" xfId="20" applyFont="1">
      <alignment/>
      <protection/>
    </xf>
    <xf numFmtId="0" fontId="71" fillId="0" borderId="0" xfId="20" applyFont="1">
      <alignment/>
      <protection/>
    </xf>
    <xf numFmtId="0" fontId="68" fillId="0" borderId="0" xfId="20" applyFont="1">
      <alignment/>
      <protection/>
    </xf>
    <xf numFmtId="3" fontId="68" fillId="0" borderId="0" xfId="20" applyNumberFormat="1" applyFont="1">
      <alignment/>
      <protection/>
    </xf>
    <xf numFmtId="0" fontId="63" fillId="0" borderId="0" xfId="20" applyFont="1">
      <alignment/>
      <protection/>
    </xf>
    <xf numFmtId="0" fontId="83" fillId="0" borderId="0" xfId="20" applyFont="1">
      <alignment/>
      <protection/>
    </xf>
    <xf numFmtId="0" fontId="68" fillId="0" borderId="0" xfId="0" applyFont="1" applyAlignment="1">
      <alignment wrapText="1"/>
    </xf>
    <xf numFmtId="0" fontId="68" fillId="0" borderId="0" xfId="20" applyFont="1" applyFill="1">
      <alignment/>
      <protection/>
    </xf>
    <xf numFmtId="0" fontId="63" fillId="0" borderId="0" xfId="20" applyFont="1" applyFill="1">
      <alignment/>
      <protection/>
    </xf>
    <xf numFmtId="4" fontId="68" fillId="0" borderId="0" xfId="20" applyNumberFormat="1" applyFont="1">
      <alignment/>
      <protection/>
    </xf>
    <xf numFmtId="3" fontId="6" fillId="0" borderId="0" xfId="20" applyNumberFormat="1" applyFont="1" applyFill="1">
      <alignment/>
      <protection/>
    </xf>
    <xf numFmtId="3" fontId="15" fillId="0" borderId="0" xfId="20" applyNumberFormat="1" applyFont="1" applyFill="1">
      <alignment/>
      <protection/>
    </xf>
    <xf numFmtId="0" fontId="43" fillId="0" borderId="0" xfId="20" applyFont="1">
      <alignment/>
      <protection/>
    </xf>
    <xf numFmtId="0" fontId="40" fillId="0" borderId="0" xfId="0" applyFont="1" applyFill="1" applyBorder="1" applyAlignment="1">
      <alignment/>
    </xf>
    <xf numFmtId="3" fontId="84" fillId="0" borderId="34" xfId="0" applyNumberFormat="1" applyFont="1" applyBorder="1" applyAlignment="1">
      <alignment/>
    </xf>
    <xf numFmtId="0" fontId="36" fillId="0" borderId="128" xfId="0" applyFont="1" applyFill="1" applyBorder="1" applyAlignment="1">
      <alignment horizontal="right" vertical="center" wrapText="1"/>
    </xf>
    <xf numFmtId="3" fontId="85" fillId="0" borderId="56" xfId="0" applyNumberFormat="1" applyFont="1" applyFill="1" applyBorder="1" applyAlignment="1">
      <alignment/>
    </xf>
    <xf numFmtId="3" fontId="58" fillId="0" borderId="156" xfId="20" applyNumberFormat="1" applyFont="1" applyFill="1" applyBorder="1" applyAlignment="1">
      <alignment horizontal="right"/>
      <protection/>
    </xf>
    <xf numFmtId="0" fontId="45" fillId="0" borderId="96" xfId="23" applyFont="1" applyBorder="1" applyAlignment="1">
      <alignment/>
      <protection/>
    </xf>
    <xf numFmtId="0" fontId="44" fillId="0" borderId="28" xfId="23" applyFont="1" applyBorder="1" applyAlignment="1">
      <alignment/>
      <protection/>
    </xf>
    <xf numFmtId="4" fontId="25" fillId="0" borderId="92" xfId="0" applyNumberFormat="1" applyFont="1" applyFill="1" applyBorder="1" applyAlignment="1">
      <alignment horizontal="right"/>
    </xf>
    <xf numFmtId="4" fontId="25" fillId="0" borderId="93" xfId="0" applyNumberFormat="1" applyFont="1" applyFill="1" applyBorder="1" applyAlignment="1">
      <alignment/>
    </xf>
    <xf numFmtId="4" fontId="25" fillId="0" borderId="128" xfId="0" applyNumberFormat="1" applyFont="1" applyFill="1" applyBorder="1" applyAlignment="1">
      <alignment/>
    </xf>
    <xf numFmtId="4" fontId="25" fillId="0" borderId="41" xfId="0" applyNumberFormat="1" applyFont="1" applyFill="1" applyBorder="1" applyAlignment="1">
      <alignment horizontal="right"/>
    </xf>
    <xf numFmtId="4" fontId="25" fillId="0" borderId="129" xfId="0" applyNumberFormat="1" applyFont="1" applyFill="1" applyBorder="1" applyAlignment="1">
      <alignment/>
    </xf>
    <xf numFmtId="4" fontId="25" fillId="0" borderId="94" xfId="0" applyNumberFormat="1" applyFont="1" applyFill="1" applyBorder="1" applyAlignment="1">
      <alignment/>
    </xf>
    <xf numFmtId="4" fontId="25" fillId="0" borderId="42" xfId="0" applyNumberFormat="1" applyFont="1" applyFill="1" applyBorder="1" applyAlignment="1">
      <alignment/>
    </xf>
    <xf numFmtId="0" fontId="44" fillId="0" borderId="100" xfId="23" applyFont="1" applyBorder="1" applyAlignment="1">
      <alignment/>
      <protection/>
    </xf>
    <xf numFmtId="4" fontId="25" fillId="0" borderId="86" xfId="0" applyNumberFormat="1" applyFont="1" applyBorder="1" applyAlignment="1">
      <alignment horizontal="right"/>
    </xf>
    <xf numFmtId="4" fontId="25" fillId="0" borderId="123" xfId="0" applyNumberFormat="1" applyFont="1" applyBorder="1" applyAlignment="1">
      <alignment horizontal="right"/>
    </xf>
    <xf numFmtId="4" fontId="25" fillId="0" borderId="80" xfId="0" applyNumberFormat="1" applyFont="1" applyBorder="1" applyAlignment="1">
      <alignment horizontal="right"/>
    </xf>
    <xf numFmtId="4" fontId="25" fillId="0" borderId="180" xfId="0" applyNumberFormat="1" applyFont="1" applyBorder="1" applyAlignment="1">
      <alignment horizontal="right"/>
    </xf>
    <xf numFmtId="4" fontId="25" fillId="0" borderId="107" xfId="0" applyNumberFormat="1" applyFont="1" applyBorder="1" applyAlignment="1">
      <alignment horizontal="right"/>
    </xf>
    <xf numFmtId="4" fontId="25" fillId="0" borderId="77" xfId="0" applyNumberFormat="1" applyFont="1" applyBorder="1" applyAlignment="1">
      <alignment horizontal="right"/>
    </xf>
    <xf numFmtId="4" fontId="86" fillId="0" borderId="86" xfId="0" applyNumberFormat="1" applyFont="1" applyBorder="1" applyAlignment="1">
      <alignment horizontal="right"/>
    </xf>
    <xf numFmtId="4" fontId="86" fillId="0" borderId="107" xfId="0" applyNumberFormat="1" applyFont="1" applyBorder="1" applyAlignment="1">
      <alignment horizontal="right"/>
    </xf>
    <xf numFmtId="0" fontId="87" fillId="0" borderId="0" xfId="23" applyFont="1">
      <alignment/>
      <protection/>
    </xf>
    <xf numFmtId="0" fontId="88" fillId="0" borderId="0" xfId="23" applyFont="1" applyAlignment="1">
      <alignment horizontal="left"/>
      <protection/>
    </xf>
    <xf numFmtId="0" fontId="68" fillId="0" borderId="0" xfId="20" applyFont="1" applyFill="1" applyAlignment="1">
      <alignment horizontal="center"/>
      <protection/>
    </xf>
    <xf numFmtId="4" fontId="68" fillId="0" borderId="0" xfId="20" applyNumberFormat="1" applyFont="1" applyFill="1">
      <alignment/>
      <protection/>
    </xf>
    <xf numFmtId="3" fontId="68" fillId="0" borderId="0" xfId="20" applyNumberFormat="1" applyFont="1" applyFill="1">
      <alignment/>
      <protection/>
    </xf>
    <xf numFmtId="0" fontId="12" fillId="0" borderId="37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center"/>
    </xf>
    <xf numFmtId="0" fontId="12" fillId="0" borderId="144" xfId="0" applyFont="1" applyFill="1" applyBorder="1" applyAlignment="1">
      <alignment horizontal="center"/>
    </xf>
    <xf numFmtId="0" fontId="12" fillId="0" borderId="145" xfId="0" applyFont="1" applyFill="1" applyBorder="1" applyAlignment="1">
      <alignment horizontal="center"/>
    </xf>
    <xf numFmtId="0" fontId="12" fillId="0" borderId="147" xfId="0" applyFont="1" applyFill="1" applyBorder="1" applyAlignment="1">
      <alignment horizontal="center"/>
    </xf>
    <xf numFmtId="0" fontId="0" fillId="0" borderId="144" xfId="0" applyFill="1" applyBorder="1" applyAlignment="1">
      <alignment horizontal="center"/>
    </xf>
    <xf numFmtId="0" fontId="0" fillId="0" borderId="145" xfId="0" applyFill="1" applyBorder="1" applyAlignment="1">
      <alignment horizontal="center"/>
    </xf>
    <xf numFmtId="0" fontId="0" fillId="0" borderId="147" xfId="0" applyFill="1" applyBorder="1" applyAlignment="1">
      <alignment horizontal="center"/>
    </xf>
    <xf numFmtId="0" fontId="27" fillId="0" borderId="142" xfId="0" applyFont="1" applyFill="1" applyBorder="1" applyAlignment="1">
      <alignment horizontal="center"/>
    </xf>
    <xf numFmtId="0" fontId="0" fillId="0" borderId="145" xfId="0" applyBorder="1" applyAlignment="1">
      <alignment horizontal="center"/>
    </xf>
    <xf numFmtId="0" fontId="0" fillId="0" borderId="147" xfId="0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2" fillId="0" borderId="144" xfId="0" applyFont="1" applyBorder="1" applyAlignment="1">
      <alignment horizontal="center"/>
    </xf>
    <xf numFmtId="0" fontId="12" fillId="0" borderId="145" xfId="0" applyFont="1" applyBorder="1" applyAlignment="1">
      <alignment horizontal="center"/>
    </xf>
    <xf numFmtId="0" fontId="0" fillId="0" borderId="108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144" xfId="0" applyFont="1" applyBorder="1" applyAlignment="1">
      <alignment horizontal="center"/>
    </xf>
    <xf numFmtId="0" fontId="0" fillId="0" borderId="145" xfId="0" applyFont="1" applyBorder="1" applyAlignment="1">
      <alignment horizontal="center"/>
    </xf>
    <xf numFmtId="0" fontId="0" fillId="0" borderId="14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7" xfId="0" applyBorder="1" applyAlignment="1">
      <alignment horizontal="center"/>
    </xf>
    <xf numFmtId="0" fontId="5" fillId="0" borderId="11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7" fillId="0" borderId="181" xfId="0" applyFont="1" applyFill="1" applyBorder="1" applyAlignment="1">
      <alignment horizontal="center" vertical="justify"/>
    </xf>
    <xf numFmtId="0" fontId="77" fillId="0" borderId="182" xfId="0" applyFont="1" applyFill="1" applyBorder="1" applyAlignment="1">
      <alignment horizontal="center" vertical="justify"/>
    </xf>
    <xf numFmtId="0" fontId="77" fillId="0" borderId="176" xfId="0" applyFont="1" applyFill="1" applyBorder="1" applyAlignment="1">
      <alignment horizontal="center" vertical="justify"/>
    </xf>
    <xf numFmtId="0" fontId="78" fillId="9" borderId="176" xfId="0" applyFont="1" applyFill="1" applyBorder="1" applyAlignment="1">
      <alignment wrapText="1"/>
    </xf>
    <xf numFmtId="0" fontId="78" fillId="9" borderId="67" xfId="0" applyFont="1" applyFill="1" applyBorder="1" applyAlignment="1">
      <alignment wrapText="1"/>
    </xf>
    <xf numFmtId="0" fontId="36" fillId="0" borderId="0" xfId="0" applyFont="1" applyBorder="1" applyAlignment="1">
      <alignment horizontal="left"/>
    </xf>
    <xf numFmtId="0" fontId="25" fillId="0" borderId="2" xfId="0" applyFont="1" applyBorder="1" applyAlignment="1">
      <alignment horizontal="center" wrapText="1"/>
    </xf>
    <xf numFmtId="0" fontId="76" fillId="0" borderId="144" xfId="0" applyFont="1" applyFill="1" applyBorder="1" applyAlignment="1">
      <alignment horizontal="center"/>
    </xf>
    <xf numFmtId="0" fontId="76" fillId="0" borderId="145" xfId="0" applyFont="1" applyFill="1" applyBorder="1" applyAlignment="1">
      <alignment horizontal="center"/>
    </xf>
    <xf numFmtId="0" fontId="76" fillId="0" borderId="147" xfId="0" applyFont="1" applyFill="1" applyBorder="1" applyAlignment="1">
      <alignment horizontal="center"/>
    </xf>
    <xf numFmtId="0" fontId="44" fillId="0" borderId="142" xfId="0" applyFont="1" applyFill="1" applyBorder="1" applyAlignment="1">
      <alignment horizontal="center"/>
    </xf>
    <xf numFmtId="0" fontId="44" fillId="0" borderId="145" xfId="0" applyFont="1" applyFill="1" applyBorder="1" applyAlignment="1">
      <alignment horizontal="center"/>
    </xf>
    <xf numFmtId="0" fontId="44" fillId="0" borderId="144" xfId="23" applyFont="1" applyFill="1" applyBorder="1" applyAlignment="1">
      <alignment horizontal="center" wrapText="1"/>
      <protection/>
    </xf>
    <xf numFmtId="0" fontId="44" fillId="0" borderId="145" xfId="23" applyFont="1" applyFill="1" applyBorder="1" applyAlignment="1">
      <alignment horizontal="center" wrapText="1"/>
      <protection/>
    </xf>
    <xf numFmtId="0" fontId="44" fillId="0" borderId="147" xfId="23" applyFont="1" applyFill="1" applyBorder="1" applyAlignment="1">
      <alignment horizontal="center" wrapText="1"/>
      <protection/>
    </xf>
    <xf numFmtId="3" fontId="48" fillId="0" borderId="63" xfId="0" applyNumberFormat="1" applyFont="1" applyBorder="1" applyAlignment="1">
      <alignment/>
    </xf>
    <xf numFmtId="3" fontId="89" fillId="0" borderId="68" xfId="0" applyNumberFormat="1" applyFont="1" applyBorder="1" applyAlignment="1">
      <alignment/>
    </xf>
    <xf numFmtId="3" fontId="43" fillId="0" borderId="29" xfId="20" applyNumberFormat="1" applyFont="1" applyFill="1" applyBorder="1">
      <alignment/>
      <protection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návrh CP k 23.11.03" xfId="20"/>
    <cellStyle name="normální_Normativ A,výpočet IV,16.1.03" xfId="21"/>
    <cellStyle name="normální_odpisy 04az07_060208" xfId="22"/>
    <cellStyle name="normální_odpisy 04az07_270906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workbookViewId="0" topLeftCell="A1">
      <selection activeCell="I96" sqref="I96"/>
    </sheetView>
  </sheetViews>
  <sheetFormatPr defaultColWidth="9.00390625" defaultRowHeight="12.75"/>
  <cols>
    <col min="1" max="1" width="5.25390625" style="0" customWidth="1"/>
    <col min="2" max="2" width="7.375" style="0" customWidth="1"/>
    <col min="3" max="8" width="11.75390625" style="0" customWidth="1"/>
    <col min="9" max="10" width="12.00390625" style="0" customWidth="1"/>
    <col min="11" max="11" width="10.875" style="0" bestFit="1" customWidth="1"/>
    <col min="12" max="12" width="11.125" style="115" customWidth="1"/>
    <col min="13" max="13" width="8.875" style="115" customWidth="1"/>
    <col min="14" max="14" width="6.00390625" style="115" bestFit="1" customWidth="1"/>
    <col min="15" max="15" width="8.375" style="0" bestFit="1" customWidth="1"/>
    <col min="16" max="16" width="5.375" style="0" bestFit="1" customWidth="1"/>
    <col min="17" max="18" width="6.00390625" style="0" bestFit="1" customWidth="1"/>
    <col min="19" max="19" width="7.125" style="0" bestFit="1" customWidth="1"/>
  </cols>
  <sheetData>
    <row r="1" spans="1:11" ht="12.75">
      <c r="A1" s="169"/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26.25">
      <c r="A2" s="171" t="s">
        <v>403</v>
      </c>
      <c r="B2" s="172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6.7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12.75">
      <c r="A4" s="170" t="s">
        <v>404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ht="12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1" ht="12.75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</row>
    <row r="7" spans="1:11" ht="12.75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</row>
    <row r="8" spans="1:14" s="2" customFormat="1" ht="16.5" thickBot="1">
      <c r="A8" s="173" t="s">
        <v>237</v>
      </c>
      <c r="B8" s="174"/>
      <c r="C8" s="174"/>
      <c r="D8" s="174"/>
      <c r="E8" s="174"/>
      <c r="F8" s="174"/>
      <c r="G8" s="175" t="s">
        <v>5</v>
      </c>
      <c r="H8" s="174"/>
      <c r="I8" s="174"/>
      <c r="J8" s="174"/>
      <c r="K8" s="174"/>
      <c r="L8" s="115"/>
      <c r="M8" s="115"/>
      <c r="N8" s="115"/>
    </row>
    <row r="9" spans="1:11" s="2" customFormat="1" ht="12.75">
      <c r="A9" s="353"/>
      <c r="B9" s="354"/>
      <c r="C9" s="355"/>
      <c r="D9" s="356"/>
      <c r="E9" s="540"/>
      <c r="F9" s="1065"/>
      <c r="G9" s="357" t="s">
        <v>6</v>
      </c>
      <c r="H9" s="174"/>
      <c r="I9" s="339"/>
      <c r="J9" s="339"/>
      <c r="K9" s="174"/>
    </row>
    <row r="10" spans="1:11" s="2" customFormat="1" ht="13.5" thickBot="1">
      <c r="A10" s="358" t="s">
        <v>7</v>
      </c>
      <c r="B10" s="359" t="s">
        <v>8</v>
      </c>
      <c r="C10" s="360"/>
      <c r="D10" s="361"/>
      <c r="E10" s="541" t="s">
        <v>347</v>
      </c>
      <c r="F10" s="1066" t="s">
        <v>405</v>
      </c>
      <c r="G10" s="362" t="s">
        <v>406</v>
      </c>
      <c r="H10" s="174"/>
      <c r="I10" s="339"/>
      <c r="J10" s="339"/>
      <c r="K10" s="174"/>
    </row>
    <row r="11" spans="1:11" s="2" customFormat="1" ht="12.75">
      <c r="A11" s="363">
        <v>1</v>
      </c>
      <c r="B11" s="364" t="s">
        <v>239</v>
      </c>
      <c r="C11" s="365"/>
      <c r="D11" s="366"/>
      <c r="E11" s="542">
        <v>1786179</v>
      </c>
      <c r="F11" s="1067">
        <v>1856937</v>
      </c>
      <c r="G11" s="367">
        <f>F11/E11</f>
        <v>1.039614170808189</v>
      </c>
      <c r="H11" s="174"/>
      <c r="I11" s="368"/>
      <c r="J11" s="368"/>
      <c r="K11" s="174"/>
    </row>
    <row r="12" spans="1:11" s="2" customFormat="1" ht="13.5" thickBot="1">
      <c r="A12" s="369">
        <v>2</v>
      </c>
      <c r="B12" s="370" t="s">
        <v>238</v>
      </c>
      <c r="C12" s="93"/>
      <c r="D12" s="339"/>
      <c r="E12" s="268">
        <v>121970</v>
      </c>
      <c r="F12" s="1068">
        <v>123764</v>
      </c>
      <c r="G12" s="371">
        <f>F12/E12</f>
        <v>1.0147085348856275</v>
      </c>
      <c r="H12" s="174"/>
      <c r="I12" s="339"/>
      <c r="J12" s="339"/>
      <c r="K12" s="174"/>
    </row>
    <row r="13" spans="1:11" s="2" customFormat="1" ht="13.5" thickBot="1">
      <c r="A13" s="372">
        <v>3</v>
      </c>
      <c r="B13" s="373" t="s">
        <v>9</v>
      </c>
      <c r="C13" s="374"/>
      <c r="D13" s="340"/>
      <c r="E13" s="543">
        <f>SUM(E11:E12)</f>
        <v>1908149</v>
      </c>
      <c r="F13" s="1069">
        <f>SUM(F11:F12)</f>
        <v>1980701</v>
      </c>
      <c r="G13" s="376">
        <f>F13/E13</f>
        <v>1.038022187994753</v>
      </c>
      <c r="H13" s="174"/>
      <c r="I13" s="174"/>
      <c r="J13" s="174"/>
      <c r="K13" s="174"/>
    </row>
    <row r="14" spans="1:11" ht="12.75">
      <c r="A14" s="170"/>
      <c r="B14" s="170"/>
      <c r="C14" s="170"/>
      <c r="D14" s="170"/>
      <c r="E14" s="170"/>
      <c r="F14" s="170"/>
      <c r="G14" s="170"/>
      <c r="H14" s="170"/>
      <c r="I14" s="170"/>
      <c r="J14" s="170"/>
      <c r="K14" s="170"/>
    </row>
    <row r="15" spans="1:11" ht="12.75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</row>
    <row r="16" spans="1:11" ht="12.75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K16" s="170"/>
    </row>
    <row r="17" spans="1:11" ht="16.5" thickBot="1">
      <c r="A17" s="173" t="s">
        <v>407</v>
      </c>
      <c r="B17" s="170"/>
      <c r="C17" s="170"/>
      <c r="D17" s="170"/>
      <c r="E17" s="170"/>
      <c r="F17" s="170"/>
      <c r="G17" s="170"/>
      <c r="H17" s="176"/>
      <c r="I17" s="170"/>
      <c r="J17" s="170"/>
      <c r="K17" s="170"/>
    </row>
    <row r="18" spans="1:12" ht="12.75">
      <c r="A18" s="177" t="s">
        <v>10</v>
      </c>
      <c r="B18" s="178"/>
      <c r="C18" s="179" t="s">
        <v>29</v>
      </c>
      <c r="D18" s="180" t="s">
        <v>29</v>
      </c>
      <c r="E18" s="179" t="s">
        <v>32</v>
      </c>
      <c r="F18" s="181" t="s">
        <v>151</v>
      </c>
      <c r="G18" s="1083"/>
      <c r="H18" s="182" t="s">
        <v>28</v>
      </c>
      <c r="J18" s="170"/>
      <c r="K18" s="170"/>
      <c r="L18" s="170"/>
    </row>
    <row r="19" spans="1:12" ht="12.75">
      <c r="A19" s="183"/>
      <c r="B19" s="184"/>
      <c r="C19" s="185" t="s">
        <v>30</v>
      </c>
      <c r="D19" s="186" t="s">
        <v>31</v>
      </c>
      <c r="E19" s="185" t="s">
        <v>33</v>
      </c>
      <c r="F19" s="187" t="s">
        <v>152</v>
      </c>
      <c r="G19" s="1084"/>
      <c r="H19" s="188" t="s">
        <v>21</v>
      </c>
      <c r="J19" s="170"/>
      <c r="K19" s="170"/>
      <c r="L19" s="170"/>
    </row>
    <row r="20" spans="1:12" ht="12.75">
      <c r="A20" s="189" t="s">
        <v>27</v>
      </c>
      <c r="B20" s="190"/>
      <c r="C20" s="191">
        <v>0.1</v>
      </c>
      <c r="D20" s="192">
        <v>0.1</v>
      </c>
      <c r="E20" s="191">
        <v>0.8</v>
      </c>
      <c r="F20" s="193">
        <v>1</v>
      </c>
      <c r="G20" s="1085"/>
      <c r="H20" s="194"/>
      <c r="J20" s="195"/>
      <c r="K20" s="195"/>
      <c r="L20" s="121"/>
    </row>
    <row r="21" spans="1:12" ht="13.5" thickBot="1">
      <c r="A21" s="196"/>
      <c r="B21" s="197"/>
      <c r="C21" s="198">
        <v>1</v>
      </c>
      <c r="D21" s="199">
        <v>2</v>
      </c>
      <c r="E21" s="198">
        <v>3</v>
      </c>
      <c r="F21" s="200">
        <v>4</v>
      </c>
      <c r="G21" s="1086"/>
      <c r="H21" s="201">
        <v>5</v>
      </c>
      <c r="J21" s="202"/>
      <c r="K21" s="202"/>
      <c r="L21" s="168"/>
    </row>
    <row r="22" spans="1:12" ht="12.75">
      <c r="A22" s="203">
        <v>11</v>
      </c>
      <c r="B22" s="204" t="s">
        <v>11</v>
      </c>
      <c r="C22" s="1090">
        <v>19.911951396212725</v>
      </c>
      <c r="D22" s="1091">
        <v>19.952671586924637</v>
      </c>
      <c r="E22" s="1092">
        <v>19.613786718146123</v>
      </c>
      <c r="F22" s="1093">
        <f>C22*$C$20+D22*$D$20+E22*$E$20</f>
        <v>19.677491672830637</v>
      </c>
      <c r="G22" s="1087">
        <f>$F$11*F22/100</f>
        <v>365398.62354471104</v>
      </c>
      <c r="H22" s="1082">
        <v>365399</v>
      </c>
      <c r="I22" s="1080"/>
      <c r="J22" s="295"/>
      <c r="K22" s="207"/>
      <c r="L22" s="207"/>
    </row>
    <row r="23" spans="1:12" ht="12.75">
      <c r="A23" s="208">
        <v>21</v>
      </c>
      <c r="B23" s="209" t="s">
        <v>12</v>
      </c>
      <c r="C23" s="1098">
        <v>17.910800109825534</v>
      </c>
      <c r="D23" s="1099">
        <v>18.177513261297918</v>
      </c>
      <c r="E23" s="1100">
        <v>18.389992133972385</v>
      </c>
      <c r="F23" s="1101">
        <f aca="true" t="shared" si="0" ref="F23:F30">C23*$C$20+D23*$D$20+E23*$E$20</f>
        <v>18.320825044290252</v>
      </c>
      <c r="G23" s="1089">
        <f aca="true" t="shared" si="1" ref="G23:G30">$F$11*F23/100</f>
        <v>340206.1789526921</v>
      </c>
      <c r="H23" s="547">
        <v>340206</v>
      </c>
      <c r="I23" s="1080"/>
      <c r="J23" s="295"/>
      <c r="K23" s="207"/>
      <c r="L23" s="207"/>
    </row>
    <row r="24" spans="1:12" ht="12.75">
      <c r="A24" s="208">
        <v>22</v>
      </c>
      <c r="B24" s="209" t="s">
        <v>13</v>
      </c>
      <c r="C24" s="1098">
        <v>6.498866248063726</v>
      </c>
      <c r="D24" s="1099">
        <v>6.512156511170861</v>
      </c>
      <c r="E24" s="1100">
        <v>6.532389151112463</v>
      </c>
      <c r="F24" s="1101">
        <f t="shared" si="0"/>
        <v>6.527013596813429</v>
      </c>
      <c r="G24" s="1089">
        <f t="shared" si="1"/>
        <v>121202.53047425939</v>
      </c>
      <c r="H24" s="1081">
        <v>121202</v>
      </c>
      <c r="I24" s="1080"/>
      <c r="J24" s="295"/>
      <c r="K24" s="207"/>
      <c r="L24" s="207"/>
    </row>
    <row r="25" spans="1:12" ht="12.75">
      <c r="A25" s="208">
        <v>23</v>
      </c>
      <c r="B25" s="209" t="s">
        <v>14</v>
      </c>
      <c r="C25" s="1098">
        <v>7.705578606943472</v>
      </c>
      <c r="D25" s="1099">
        <v>7.5578041741911886</v>
      </c>
      <c r="E25" s="1100">
        <v>7.58935855615751</v>
      </c>
      <c r="F25" s="1101">
        <f t="shared" si="0"/>
        <v>7.597825123039475</v>
      </c>
      <c r="G25" s="1089">
        <f t="shared" si="1"/>
        <v>141086.82590501552</v>
      </c>
      <c r="H25" s="547">
        <v>141087</v>
      </c>
      <c r="I25" s="1080"/>
      <c r="J25" s="295"/>
      <c r="K25" s="207"/>
      <c r="L25" s="207"/>
    </row>
    <row r="26" spans="1:12" ht="12.75">
      <c r="A26" s="208">
        <v>31</v>
      </c>
      <c r="B26" s="209" t="s">
        <v>15</v>
      </c>
      <c r="C26" s="1098">
        <v>16.329534772526845</v>
      </c>
      <c r="D26" s="1099">
        <v>15.956240502390845</v>
      </c>
      <c r="E26" s="1100">
        <v>15.223527058117647</v>
      </c>
      <c r="F26" s="1101">
        <f t="shared" si="0"/>
        <v>15.407399173985887</v>
      </c>
      <c r="G26" s="1089">
        <f t="shared" si="1"/>
        <v>286105.6959994383</v>
      </c>
      <c r="H26" s="547">
        <v>286106</v>
      </c>
      <c r="I26" s="1080"/>
      <c r="J26" s="295"/>
      <c r="K26" s="207"/>
      <c r="L26" s="207"/>
    </row>
    <row r="27" spans="1:12" ht="12.75">
      <c r="A27" s="208">
        <v>33</v>
      </c>
      <c r="B27" s="209" t="s">
        <v>16</v>
      </c>
      <c r="C27" s="1098">
        <v>6.716036837743032</v>
      </c>
      <c r="D27" s="1099">
        <v>6.760626394375444</v>
      </c>
      <c r="E27" s="1100">
        <v>6.474119593984866</v>
      </c>
      <c r="F27" s="1101">
        <f t="shared" si="0"/>
        <v>6.526961998399741</v>
      </c>
      <c r="G27" s="1089">
        <f t="shared" si="1"/>
        <v>121201.5723242242</v>
      </c>
      <c r="H27" s="1081">
        <v>121201</v>
      </c>
      <c r="I27" s="1080"/>
      <c r="J27" s="295"/>
      <c r="K27" s="207"/>
      <c r="L27" s="207"/>
    </row>
    <row r="28" spans="1:12" ht="12.75">
      <c r="A28" s="208">
        <v>41</v>
      </c>
      <c r="B28" s="209" t="s">
        <v>17</v>
      </c>
      <c r="C28" s="1098">
        <v>13.49759264818963</v>
      </c>
      <c r="D28" s="1099">
        <v>14.045705087932964</v>
      </c>
      <c r="E28" s="1100">
        <v>14.95267639049214</v>
      </c>
      <c r="F28" s="1101">
        <f t="shared" si="0"/>
        <v>14.716470886005972</v>
      </c>
      <c r="G28" s="1089">
        <f t="shared" si="1"/>
        <v>273275.5929764727</v>
      </c>
      <c r="H28" s="1106">
        <v>273276</v>
      </c>
      <c r="I28" s="1080"/>
      <c r="J28" s="295"/>
      <c r="K28" s="207"/>
      <c r="L28" s="207"/>
    </row>
    <row r="29" spans="1:12" ht="12.75">
      <c r="A29" s="208">
        <v>51</v>
      </c>
      <c r="B29" s="209" t="s">
        <v>18</v>
      </c>
      <c r="C29" s="1098">
        <v>3.717389128811497</v>
      </c>
      <c r="D29" s="1099">
        <v>3.309260581397242</v>
      </c>
      <c r="E29" s="1100">
        <v>3.325096716596822</v>
      </c>
      <c r="F29" s="1101">
        <f t="shared" si="0"/>
        <v>3.362742344298332</v>
      </c>
      <c r="G29" s="1089">
        <f t="shared" si="1"/>
        <v>62444.00680594312</v>
      </c>
      <c r="H29" s="547">
        <v>62444</v>
      </c>
      <c r="I29" s="1080"/>
      <c r="J29" s="295"/>
      <c r="K29" s="207"/>
      <c r="L29" s="207"/>
    </row>
    <row r="30" spans="1:12" ht="13.5" thickBot="1">
      <c r="A30" s="1102">
        <v>56</v>
      </c>
      <c r="B30" s="1103" t="s">
        <v>19</v>
      </c>
      <c r="C30" s="1094">
        <v>7.712250251683521</v>
      </c>
      <c r="D30" s="1095">
        <v>7.728021900318922</v>
      </c>
      <c r="E30" s="1096">
        <v>7.899053681420037</v>
      </c>
      <c r="F30" s="1097">
        <f t="shared" si="0"/>
        <v>7.863270160336274</v>
      </c>
      <c r="G30" s="1087">
        <f t="shared" si="1"/>
        <v>146015.97301724358</v>
      </c>
      <c r="H30" s="1104">
        <v>146016</v>
      </c>
      <c r="I30" s="1080"/>
      <c r="J30" s="295"/>
      <c r="K30" s="207"/>
      <c r="L30" s="207"/>
    </row>
    <row r="31" spans="1:12" ht="13.5" thickBot="1">
      <c r="A31" s="212" t="s">
        <v>133</v>
      </c>
      <c r="B31" s="213"/>
      <c r="C31" s="214">
        <f aca="true" t="shared" si="2" ref="C31:H31">SUM(C22:C30)</f>
        <v>99.99999999999997</v>
      </c>
      <c r="D31" s="215">
        <f t="shared" si="2"/>
        <v>100.00000000000001</v>
      </c>
      <c r="E31" s="214">
        <f t="shared" si="2"/>
        <v>99.99999999999999</v>
      </c>
      <c r="F31" s="1105">
        <f t="shared" si="2"/>
        <v>99.99999999999999</v>
      </c>
      <c r="G31" s="1088">
        <f t="shared" si="2"/>
        <v>1856937.0000000002</v>
      </c>
      <c r="H31" s="216">
        <f t="shared" si="2"/>
        <v>1856937</v>
      </c>
      <c r="I31" s="1080"/>
      <c r="J31" s="218"/>
      <c r="K31" s="219"/>
      <c r="L31" s="217"/>
    </row>
    <row r="32" spans="1:12" ht="12.75">
      <c r="A32" s="220"/>
      <c r="B32" s="220"/>
      <c r="C32" s="205"/>
      <c r="D32" s="205"/>
      <c r="E32" s="205"/>
      <c r="F32" s="205"/>
      <c r="G32" s="205"/>
      <c r="I32" s="1079"/>
      <c r="J32" s="221"/>
      <c r="K32" s="222"/>
      <c r="L32" s="170"/>
    </row>
    <row r="33" spans="1:12" ht="12.75">
      <c r="A33" s="170"/>
      <c r="B33" s="170"/>
      <c r="C33" s="170"/>
      <c r="D33" s="170"/>
      <c r="E33" s="170"/>
      <c r="F33" s="170"/>
      <c r="G33" s="222"/>
      <c r="H33" s="170"/>
      <c r="I33" s="222"/>
      <c r="J33" s="170"/>
      <c r="K33" s="170"/>
      <c r="L33" s="909"/>
    </row>
    <row r="34" spans="1:11" ht="12.75">
      <c r="A34" s="170"/>
      <c r="B34" s="170"/>
      <c r="C34" s="170"/>
      <c r="D34" s="170"/>
      <c r="E34" s="170"/>
      <c r="F34" s="170"/>
      <c r="G34" s="222"/>
      <c r="H34" s="170"/>
      <c r="I34" s="170"/>
      <c r="J34" s="170"/>
      <c r="K34" s="170"/>
    </row>
    <row r="35" spans="1:11" ht="15.75">
      <c r="A35" s="173" t="s">
        <v>408</v>
      </c>
      <c r="B35" s="170"/>
      <c r="C35" s="170"/>
      <c r="D35" s="170"/>
      <c r="E35" s="170"/>
      <c r="F35" s="170"/>
      <c r="G35" s="170"/>
      <c r="H35" s="176"/>
      <c r="I35" s="170"/>
      <c r="J35" s="170"/>
      <c r="K35" s="170"/>
    </row>
    <row r="36" spans="1:11" ht="13.5" thickBo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</row>
    <row r="37" spans="1:14" s="110" customFormat="1" ht="12.75">
      <c r="A37" s="223"/>
      <c r="B37" s="224"/>
      <c r="C37" s="166" t="s">
        <v>129</v>
      </c>
      <c r="D37" s="166" t="s">
        <v>44</v>
      </c>
      <c r="E37" s="134" t="s">
        <v>105</v>
      </c>
      <c r="F37" s="166" t="s">
        <v>105</v>
      </c>
      <c r="G37" s="134" t="s">
        <v>105</v>
      </c>
      <c r="H37" s="166" t="s">
        <v>41</v>
      </c>
      <c r="I37" s="134" t="s">
        <v>41</v>
      </c>
      <c r="J37" s="225" t="s">
        <v>106</v>
      </c>
      <c r="K37" s="132"/>
      <c r="L37" s="115"/>
      <c r="M37" s="115"/>
      <c r="N37" s="115"/>
    </row>
    <row r="38" spans="1:14" s="110" customFormat="1" ht="12.75">
      <c r="A38" s="226" t="s">
        <v>10</v>
      </c>
      <c r="B38" s="133"/>
      <c r="C38" s="227" t="s">
        <v>134</v>
      </c>
      <c r="D38" s="227" t="s">
        <v>107</v>
      </c>
      <c r="E38" s="135" t="s">
        <v>108</v>
      </c>
      <c r="F38" s="227" t="s">
        <v>109</v>
      </c>
      <c r="G38" s="135" t="s">
        <v>110</v>
      </c>
      <c r="H38" s="227" t="s">
        <v>111</v>
      </c>
      <c r="I38" s="135" t="s">
        <v>112</v>
      </c>
      <c r="J38" s="228" t="s">
        <v>113</v>
      </c>
      <c r="K38" s="132"/>
      <c r="L38" s="115"/>
      <c r="M38" s="115"/>
      <c r="N38" s="115"/>
    </row>
    <row r="39" spans="1:14" s="110" customFormat="1" ht="12.75">
      <c r="A39" s="226"/>
      <c r="B39" s="133"/>
      <c r="C39" s="227">
        <v>2008</v>
      </c>
      <c r="D39" s="227">
        <v>2008</v>
      </c>
      <c r="E39" s="227">
        <v>2008</v>
      </c>
      <c r="F39" s="227">
        <v>2008</v>
      </c>
      <c r="G39" s="227">
        <v>2008</v>
      </c>
      <c r="H39" s="227">
        <v>2008</v>
      </c>
      <c r="I39" s="227">
        <v>2008</v>
      </c>
      <c r="J39" s="228" t="s">
        <v>116</v>
      </c>
      <c r="K39" s="132"/>
      <c r="L39" s="115"/>
      <c r="M39" s="115"/>
      <c r="N39" s="115"/>
    </row>
    <row r="40" spans="1:14" s="110" customFormat="1" ht="12.75">
      <c r="A40" s="229"/>
      <c r="B40" s="230"/>
      <c r="C40" s="167" t="s">
        <v>114</v>
      </c>
      <c r="D40" s="167" t="s">
        <v>115</v>
      </c>
      <c r="E40" s="230"/>
      <c r="F40" s="167"/>
      <c r="G40" s="230"/>
      <c r="H40" s="167"/>
      <c r="I40" s="230"/>
      <c r="J40" s="231"/>
      <c r="K40" s="132"/>
      <c r="L40" s="115"/>
      <c r="M40" s="115"/>
      <c r="N40" s="115"/>
    </row>
    <row r="41" spans="1:14" s="111" customFormat="1" ht="12.75">
      <c r="A41" s="232" t="s">
        <v>27</v>
      </c>
      <c r="B41" s="233"/>
      <c r="C41" s="234">
        <v>1</v>
      </c>
      <c r="D41" s="234">
        <v>0.68</v>
      </c>
      <c r="E41" s="235">
        <v>0.666</v>
      </c>
      <c r="F41" s="234">
        <v>0.334</v>
      </c>
      <c r="G41" s="235">
        <v>0.175</v>
      </c>
      <c r="H41" s="234">
        <v>0.025</v>
      </c>
      <c r="I41" s="235">
        <v>0.975</v>
      </c>
      <c r="J41" s="236"/>
      <c r="K41" s="237"/>
      <c r="L41" s="115"/>
      <c r="M41" s="115"/>
      <c r="N41" s="115"/>
    </row>
    <row r="42" spans="1:14" s="111" customFormat="1" ht="12.75">
      <c r="A42" s="238"/>
      <c r="B42" s="239"/>
      <c r="C42" s="240" t="s">
        <v>117</v>
      </c>
      <c r="D42" s="240" t="s">
        <v>156</v>
      </c>
      <c r="E42" s="239" t="s">
        <v>118</v>
      </c>
      <c r="F42" s="240" t="s">
        <v>37</v>
      </c>
      <c r="G42" s="239" t="s">
        <v>119</v>
      </c>
      <c r="H42" s="240" t="s">
        <v>120</v>
      </c>
      <c r="I42" s="239" t="s">
        <v>121</v>
      </c>
      <c r="J42" s="241" t="s">
        <v>122</v>
      </c>
      <c r="K42" s="237"/>
      <c r="L42" s="115"/>
      <c r="M42" s="115"/>
      <c r="N42" s="115"/>
    </row>
    <row r="43" spans="1:14" s="111" customFormat="1" ht="12.75">
      <c r="A43" s="242">
        <v>11</v>
      </c>
      <c r="B43" s="243" t="s">
        <v>11</v>
      </c>
      <c r="C43" s="244">
        <v>28673</v>
      </c>
      <c r="D43" s="244">
        <v>144524</v>
      </c>
      <c r="E43" s="544">
        <v>69.456</v>
      </c>
      <c r="F43" s="544">
        <v>59.172</v>
      </c>
      <c r="G43" s="544">
        <v>306.5559999999999</v>
      </c>
      <c r="H43" s="244">
        <v>320</v>
      </c>
      <c r="I43" s="244">
        <v>830</v>
      </c>
      <c r="J43" s="1107">
        <v>1</v>
      </c>
      <c r="K43" s="237"/>
      <c r="L43" s="115"/>
      <c r="M43" s="115"/>
      <c r="N43" s="115"/>
    </row>
    <row r="44" spans="1:14" s="111" customFormat="1" ht="12.75">
      <c r="A44" s="245">
        <v>21</v>
      </c>
      <c r="B44" s="246" t="s">
        <v>12</v>
      </c>
      <c r="C44" s="247">
        <v>13730</v>
      </c>
      <c r="D44" s="247">
        <v>55296</v>
      </c>
      <c r="E44" s="545">
        <v>30.703</v>
      </c>
      <c r="F44" s="545">
        <v>40.596</v>
      </c>
      <c r="G44" s="545">
        <v>251.27</v>
      </c>
      <c r="H44" s="247">
        <v>582</v>
      </c>
      <c r="I44" s="247">
        <v>707</v>
      </c>
      <c r="J44" s="1267">
        <v>1</v>
      </c>
      <c r="K44" s="237"/>
      <c r="L44" s="115"/>
      <c r="M44" s="115"/>
      <c r="N44" s="115"/>
    </row>
    <row r="45" spans="1:14" s="111" customFormat="1" ht="12.75">
      <c r="A45" s="245">
        <v>22</v>
      </c>
      <c r="B45" s="246" t="s">
        <v>13</v>
      </c>
      <c r="C45" s="247">
        <v>2269</v>
      </c>
      <c r="D45" s="247">
        <v>7451</v>
      </c>
      <c r="E45" s="545">
        <v>12.867</v>
      </c>
      <c r="F45" s="545">
        <v>20.501</v>
      </c>
      <c r="G45" s="545">
        <v>81.99600000000001</v>
      </c>
      <c r="H45" s="247">
        <v>439</v>
      </c>
      <c r="I45" s="247">
        <v>154</v>
      </c>
      <c r="J45" s="1267">
        <v>1</v>
      </c>
      <c r="K45" s="237"/>
      <c r="L45" s="115"/>
      <c r="M45" s="115"/>
      <c r="N45" s="115"/>
    </row>
    <row r="46" spans="1:14" s="111" customFormat="1" ht="12.75">
      <c r="A46" s="245">
        <v>23</v>
      </c>
      <c r="B46" s="246" t="s">
        <v>14</v>
      </c>
      <c r="C46" s="247">
        <v>9326</v>
      </c>
      <c r="D46" s="247">
        <v>43963</v>
      </c>
      <c r="E46" s="545">
        <v>10.333</v>
      </c>
      <c r="F46" s="545">
        <v>13.554</v>
      </c>
      <c r="G46" s="545">
        <v>94.523</v>
      </c>
      <c r="H46" s="247">
        <v>238</v>
      </c>
      <c r="I46" s="247">
        <v>244</v>
      </c>
      <c r="J46" s="1267">
        <v>1</v>
      </c>
      <c r="K46" s="237"/>
      <c r="L46" s="115"/>
      <c r="M46" s="115"/>
      <c r="N46" s="115"/>
    </row>
    <row r="47" spans="1:14" s="111" customFormat="1" ht="12.75">
      <c r="A47" s="245">
        <v>31</v>
      </c>
      <c r="B47" s="246" t="s">
        <v>15</v>
      </c>
      <c r="C47" s="247">
        <v>50477</v>
      </c>
      <c r="D47" s="247">
        <v>344144</v>
      </c>
      <c r="E47" s="545">
        <v>45.192</v>
      </c>
      <c r="F47" s="545">
        <v>83.049</v>
      </c>
      <c r="G47" s="545">
        <v>258.872</v>
      </c>
      <c r="H47" s="247">
        <v>301</v>
      </c>
      <c r="I47" s="247">
        <v>810</v>
      </c>
      <c r="J47" s="1267">
        <v>1</v>
      </c>
      <c r="K47" s="237"/>
      <c r="L47" s="115"/>
      <c r="M47" s="115"/>
      <c r="N47" s="115"/>
    </row>
    <row r="48" spans="1:14" s="111" customFormat="1" ht="12.75">
      <c r="A48" s="245">
        <v>33</v>
      </c>
      <c r="B48" s="246" t="s">
        <v>16</v>
      </c>
      <c r="C48" s="247">
        <v>7239</v>
      </c>
      <c r="D48" s="247">
        <v>45172</v>
      </c>
      <c r="E48" s="545">
        <v>10.983</v>
      </c>
      <c r="F48" s="545">
        <v>11.969</v>
      </c>
      <c r="G48" s="545">
        <v>52.615</v>
      </c>
      <c r="H48" s="247">
        <v>127</v>
      </c>
      <c r="I48" s="247">
        <v>93</v>
      </c>
      <c r="J48" s="1267">
        <v>1</v>
      </c>
      <c r="K48" s="237"/>
      <c r="L48" s="115"/>
      <c r="M48" s="115"/>
      <c r="N48" s="115"/>
    </row>
    <row r="49" spans="1:14" s="111" customFormat="1" ht="12.75">
      <c r="A49" s="245">
        <v>41</v>
      </c>
      <c r="B49" s="246" t="s">
        <v>17</v>
      </c>
      <c r="C49" s="247">
        <v>4869</v>
      </c>
      <c r="D49" s="247">
        <v>27549</v>
      </c>
      <c r="E49" s="545">
        <v>8.12</v>
      </c>
      <c r="F49" s="545">
        <v>49.003</v>
      </c>
      <c r="G49" s="545">
        <v>216.944</v>
      </c>
      <c r="H49" s="247">
        <v>695</v>
      </c>
      <c r="I49" s="247">
        <v>193</v>
      </c>
      <c r="J49" s="1267">
        <v>1</v>
      </c>
      <c r="K49" s="237"/>
      <c r="L49" s="115"/>
      <c r="M49" s="115"/>
      <c r="N49" s="115"/>
    </row>
    <row r="50" spans="1:14" s="111" customFormat="1" ht="12.75">
      <c r="A50" s="245">
        <v>51</v>
      </c>
      <c r="B50" s="246" t="s">
        <v>18</v>
      </c>
      <c r="C50" s="247">
        <v>80</v>
      </c>
      <c r="D50" s="247">
        <v>800</v>
      </c>
      <c r="E50" s="545">
        <v>2.756</v>
      </c>
      <c r="F50" s="545">
        <v>10.57</v>
      </c>
      <c r="G50" s="545">
        <v>75.711</v>
      </c>
      <c r="H50" s="247">
        <v>77</v>
      </c>
      <c r="I50" s="247">
        <v>82</v>
      </c>
      <c r="J50" s="1267">
        <v>1</v>
      </c>
      <c r="K50" s="237"/>
      <c r="L50" s="115"/>
      <c r="M50" s="115"/>
      <c r="N50" s="115"/>
    </row>
    <row r="51" spans="1:14" s="111" customFormat="1" ht="13.5" thickBot="1">
      <c r="A51" s="248">
        <v>56</v>
      </c>
      <c r="B51" s="249" t="s">
        <v>19</v>
      </c>
      <c r="C51" s="250">
        <v>5307</v>
      </c>
      <c r="D51" s="250">
        <v>21386</v>
      </c>
      <c r="E51" s="546">
        <v>8.701</v>
      </c>
      <c r="F51" s="546">
        <v>17.166</v>
      </c>
      <c r="G51" s="546">
        <v>93.459</v>
      </c>
      <c r="H51" s="250">
        <v>286</v>
      </c>
      <c r="I51" s="250">
        <v>176</v>
      </c>
      <c r="J51" s="1107">
        <v>1</v>
      </c>
      <c r="K51" s="237"/>
      <c r="L51" s="115"/>
      <c r="M51" s="115"/>
      <c r="N51" s="115"/>
    </row>
    <row r="52" spans="1:11" ht="13.5" thickBot="1">
      <c r="A52" s="251" t="s">
        <v>20</v>
      </c>
      <c r="B52" s="252"/>
      <c r="C52" s="253">
        <f aca="true" t="shared" si="3" ref="C52:I52">SUM(C43:C51)</f>
        <v>121970</v>
      </c>
      <c r="D52" s="253">
        <f t="shared" si="3"/>
        <v>690285</v>
      </c>
      <c r="E52" s="254">
        <f t="shared" si="3"/>
        <v>199.11100000000002</v>
      </c>
      <c r="F52" s="255">
        <f t="shared" si="3"/>
        <v>305.58</v>
      </c>
      <c r="G52" s="254">
        <f t="shared" si="3"/>
        <v>1431.946</v>
      </c>
      <c r="H52" s="253">
        <f t="shared" si="3"/>
        <v>3065</v>
      </c>
      <c r="I52" s="256">
        <f t="shared" si="3"/>
        <v>3289</v>
      </c>
      <c r="J52" s="257"/>
      <c r="K52" s="170"/>
    </row>
    <row r="53" spans="1:11" ht="13.5" thickBot="1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</row>
    <row r="54" spans="1:14" ht="12.75">
      <c r="A54" s="177" t="s">
        <v>10</v>
      </c>
      <c r="B54" s="258"/>
      <c r="C54" s="259"/>
      <c r="D54" s="258"/>
      <c r="E54" s="259"/>
      <c r="F54" s="258"/>
      <c r="G54" s="178"/>
      <c r="H54" s="258"/>
      <c r="I54" s="259"/>
      <c r="J54" s="179" t="s">
        <v>131</v>
      </c>
      <c r="K54" s="260" t="s">
        <v>136</v>
      </c>
      <c r="L54" s="122"/>
      <c r="M54" s="123"/>
      <c r="N54" s="123"/>
    </row>
    <row r="55" spans="1:13" ht="13.5" thickBot="1">
      <c r="A55" s="261"/>
      <c r="B55" s="262"/>
      <c r="C55" s="263" t="s">
        <v>36</v>
      </c>
      <c r="D55" s="264" t="s">
        <v>123</v>
      </c>
      <c r="E55" s="263" t="s">
        <v>35</v>
      </c>
      <c r="F55" s="264" t="s">
        <v>124</v>
      </c>
      <c r="G55" s="265" t="s">
        <v>125</v>
      </c>
      <c r="H55" s="264" t="s">
        <v>126</v>
      </c>
      <c r="I55" s="263" t="s">
        <v>127</v>
      </c>
      <c r="J55" s="266" t="s">
        <v>130</v>
      </c>
      <c r="K55" s="267" t="s">
        <v>135</v>
      </c>
      <c r="L55" s="122"/>
      <c r="M55" s="122"/>
    </row>
    <row r="56" spans="1:13" ht="12.75">
      <c r="A56" s="203">
        <v>11</v>
      </c>
      <c r="B56" s="204" t="s">
        <v>11</v>
      </c>
      <c r="C56" s="548">
        <v>0.10440456769983687</v>
      </c>
      <c r="D56" s="548">
        <v>0.25235633931286106</v>
      </c>
      <c r="E56" s="548">
        <v>1.3141327718375204</v>
      </c>
      <c r="F56" s="548">
        <v>0.20936859413140949</v>
      </c>
      <c r="G56" s="548">
        <v>0.24283007623791483</v>
      </c>
      <c r="H56" s="548">
        <v>0.23004698356643039</v>
      </c>
      <c r="I56" s="548">
        <v>0.23508239731081412</v>
      </c>
      <c r="J56" s="548">
        <v>0.23256469043862227</v>
      </c>
      <c r="K56" s="268">
        <v>28783</v>
      </c>
      <c r="L56" s="1108">
        <f>J56*$F$12</f>
        <v>28783.136347445645</v>
      </c>
      <c r="M56" s="296"/>
    </row>
    <row r="57" spans="1:13" ht="12.75">
      <c r="A57" s="208">
        <v>21</v>
      </c>
      <c r="B57" s="209" t="s">
        <v>12</v>
      </c>
      <c r="C57" s="549">
        <v>0.1898858075040783</v>
      </c>
      <c r="D57" s="549">
        <v>0.21495895408938887</v>
      </c>
      <c r="E57" s="549">
        <v>0.8258421570736233</v>
      </c>
      <c r="F57" s="549">
        <v>0.0801060431560877</v>
      </c>
      <c r="G57" s="549">
        <v>0.11837109490632587</v>
      </c>
      <c r="H57" s="549">
        <v>0.11213978822778196</v>
      </c>
      <c r="I57" s="549">
        <v>0.11256866442567845</v>
      </c>
      <c r="J57" s="549">
        <v>0.1123542263267302</v>
      </c>
      <c r="K57" s="269">
        <v>13905</v>
      </c>
      <c r="L57" s="1108">
        <f aca="true" t="shared" si="4" ref="L57:L64">J57*$F$12</f>
        <v>13905.408467101437</v>
      </c>
      <c r="M57" s="296"/>
    </row>
    <row r="58" spans="1:13" ht="12.75">
      <c r="A58" s="208">
        <v>22</v>
      </c>
      <c r="B58" s="209" t="s">
        <v>13</v>
      </c>
      <c r="C58" s="549">
        <v>0.1432300163132137</v>
      </c>
      <c r="D58" s="549">
        <v>0.046822742474916385</v>
      </c>
      <c r="E58" s="549">
        <v>1.1472718912144808</v>
      </c>
      <c r="F58" s="549">
        <v>0.010794092295211399</v>
      </c>
      <c r="G58" s="549">
        <v>0.02092489894513482</v>
      </c>
      <c r="H58" s="549">
        <v>0.0198233676747866</v>
      </c>
      <c r="I58" s="549">
        <v>0.01860293514798721</v>
      </c>
      <c r="J58" s="549">
        <v>0.019213151411386905</v>
      </c>
      <c r="K58" s="269">
        <v>2378</v>
      </c>
      <c r="L58" s="1108">
        <f t="shared" si="4"/>
        <v>2377.896471278889</v>
      </c>
      <c r="M58" s="296"/>
    </row>
    <row r="59" spans="1:13" ht="12.75">
      <c r="A59" s="208">
        <v>23</v>
      </c>
      <c r="B59" s="209" t="s">
        <v>14</v>
      </c>
      <c r="C59" s="549">
        <v>0.07765089722675367</v>
      </c>
      <c r="D59" s="549">
        <v>0.07418668288233506</v>
      </c>
      <c r="E59" s="549">
        <v>0.7364936792442841</v>
      </c>
      <c r="F59" s="549">
        <v>0.06368818676343829</v>
      </c>
      <c r="G59" s="549">
        <v>0.07607138560128915</v>
      </c>
      <c r="H59" s="549">
        <v>0.07206682575905296</v>
      </c>
      <c r="I59" s="549">
        <v>0.07646142494055916</v>
      </c>
      <c r="J59" s="549">
        <v>0.07426412534980606</v>
      </c>
      <c r="K59" s="269">
        <v>9191</v>
      </c>
      <c r="L59" s="1108">
        <f t="shared" si="4"/>
        <v>9191.225209793398</v>
      </c>
      <c r="M59" s="296"/>
    </row>
    <row r="60" spans="1:13" ht="12.75">
      <c r="A60" s="208">
        <v>31</v>
      </c>
      <c r="B60" s="209" t="s">
        <v>15</v>
      </c>
      <c r="C60" s="549">
        <v>0.09820554649265906</v>
      </c>
      <c r="D60" s="549">
        <v>0.246275463666768</v>
      </c>
      <c r="E60" s="549">
        <v>1.3632671766095554</v>
      </c>
      <c r="F60" s="549">
        <v>0.49855349601975996</v>
      </c>
      <c r="G60" s="549">
        <v>0.43609316833574413</v>
      </c>
      <c r="H60" s="549">
        <v>0.41313629466258633</v>
      </c>
      <c r="I60" s="549">
        <v>0.41384766745921125</v>
      </c>
      <c r="J60" s="549">
        <v>0.4134919810608988</v>
      </c>
      <c r="K60" s="1268">
        <v>51176</v>
      </c>
      <c r="L60" s="1108">
        <f t="shared" si="4"/>
        <v>51175.421544021076</v>
      </c>
      <c r="M60" s="296"/>
    </row>
    <row r="61" spans="1:13" ht="12.75">
      <c r="A61" s="208">
        <v>33</v>
      </c>
      <c r="B61" s="209" t="s">
        <v>16</v>
      </c>
      <c r="C61" s="549">
        <v>0.04143556280587276</v>
      </c>
      <c r="D61" s="549">
        <v>0.028276071754332624</v>
      </c>
      <c r="E61" s="549">
        <v>1.3119228061286228</v>
      </c>
      <c r="F61" s="549">
        <v>0.06543963725128027</v>
      </c>
      <c r="G61" s="549">
        <v>0.06221220241510156</v>
      </c>
      <c r="H61" s="549">
        <v>0.05893721950898813</v>
      </c>
      <c r="I61" s="549">
        <v>0.059350659998360256</v>
      </c>
      <c r="J61" s="549">
        <v>0.05914393975367419</v>
      </c>
      <c r="K61" s="269">
        <v>7320</v>
      </c>
      <c r="L61" s="1108">
        <f t="shared" si="4"/>
        <v>7319.890559673733</v>
      </c>
      <c r="M61" s="296"/>
    </row>
    <row r="62" spans="1:13" ht="12.75">
      <c r="A62" s="208">
        <v>41</v>
      </c>
      <c r="B62" s="209" t="s">
        <v>17</v>
      </c>
      <c r="C62" s="549">
        <v>0.2267536704730832</v>
      </c>
      <c r="D62" s="549">
        <v>0.05868044998479781</v>
      </c>
      <c r="E62" s="549">
        <v>0.6124561299010255</v>
      </c>
      <c r="F62" s="549">
        <v>0.03990960255546622</v>
      </c>
      <c r="G62" s="549">
        <v>0.052434882599997866</v>
      </c>
      <c r="H62" s="549">
        <v>0.049674598643913825</v>
      </c>
      <c r="I62" s="549">
        <v>0.039919652373534474</v>
      </c>
      <c r="J62" s="549">
        <v>0.04479712550872415</v>
      </c>
      <c r="K62" s="269">
        <v>5544</v>
      </c>
      <c r="L62" s="1108">
        <f t="shared" si="4"/>
        <v>5544.271441461736</v>
      </c>
      <c r="M62" s="296"/>
    </row>
    <row r="63" spans="1:13" ht="12.75">
      <c r="A63" s="208">
        <v>51</v>
      </c>
      <c r="B63" s="209" t="s">
        <v>18</v>
      </c>
      <c r="C63" s="549">
        <v>0.025122349102773247</v>
      </c>
      <c r="D63" s="549">
        <v>0.024931590148981452</v>
      </c>
      <c r="E63" s="549">
        <v>0.4324617197614306</v>
      </c>
      <c r="F63" s="549">
        <v>0.001158941596586917</v>
      </c>
      <c r="G63" s="549">
        <v>0.0036302693392741186</v>
      </c>
      <c r="H63" s="549">
        <v>0.003439164225338714</v>
      </c>
      <c r="I63" s="549">
        <v>0.0006558989915553005</v>
      </c>
      <c r="J63" s="549">
        <v>0.002047531608447007</v>
      </c>
      <c r="K63" s="1268">
        <v>254</v>
      </c>
      <c r="L63" s="1108">
        <f t="shared" si="4"/>
        <v>253.4107019878354</v>
      </c>
      <c r="M63" s="296"/>
    </row>
    <row r="64" spans="1:13" ht="13.5" thickBot="1">
      <c r="A64" s="210">
        <v>56</v>
      </c>
      <c r="B64" s="211" t="s">
        <v>19</v>
      </c>
      <c r="C64" s="550">
        <v>0.0933115823817292</v>
      </c>
      <c r="D64" s="550">
        <v>0.05351170568561873</v>
      </c>
      <c r="E64" s="550">
        <v>0.752680279648034</v>
      </c>
      <c r="F64" s="550">
        <v>0.030981406230759758</v>
      </c>
      <c r="G64" s="550">
        <v>0.04299933431903025</v>
      </c>
      <c r="H64" s="550">
        <v>0.04073575773112123</v>
      </c>
      <c r="I64" s="550">
        <v>0.043510699352299745</v>
      </c>
      <c r="J64" s="550">
        <v>0.04212322854171049</v>
      </c>
      <c r="K64" s="270">
        <v>5213</v>
      </c>
      <c r="L64" s="1108">
        <f t="shared" si="4"/>
        <v>5213.339257236256</v>
      </c>
      <c r="M64" s="296"/>
    </row>
    <row r="65" spans="1:14" s="2" customFormat="1" ht="13.5" thickBot="1">
      <c r="A65" s="251" t="s">
        <v>20</v>
      </c>
      <c r="B65" s="26"/>
      <c r="C65" s="551">
        <f>SUM(C56:C64)</f>
        <v>1</v>
      </c>
      <c r="D65" s="551">
        <f>SUM(D56:D64)</f>
        <v>1.0000000000000002</v>
      </c>
      <c r="E65" s="551"/>
      <c r="F65" s="551">
        <f aca="true" t="shared" si="5" ref="F65:K65">SUM(F56:F64)</f>
        <v>0.9999999999999999</v>
      </c>
      <c r="G65" s="551"/>
      <c r="H65" s="552">
        <f t="shared" si="5"/>
        <v>1.0000000000000002</v>
      </c>
      <c r="I65" s="551">
        <f t="shared" si="5"/>
        <v>0.9999999999999999</v>
      </c>
      <c r="J65" s="551">
        <f t="shared" si="5"/>
        <v>1.0000000000000002</v>
      </c>
      <c r="K65" s="375">
        <f t="shared" si="5"/>
        <v>123764</v>
      </c>
      <c r="L65" s="1108">
        <f>SUM(L56:L64)</f>
        <v>123763.99999999999</v>
      </c>
      <c r="M65" s="297"/>
      <c r="N65" s="17"/>
    </row>
    <row r="66" spans="1:11" ht="12.75">
      <c r="A66" s="271"/>
      <c r="B66" s="271"/>
      <c r="C66" s="272"/>
      <c r="D66" s="272"/>
      <c r="E66" s="272"/>
      <c r="F66" s="272"/>
      <c r="G66" s="272"/>
      <c r="H66" s="272"/>
      <c r="I66" s="272"/>
      <c r="J66" s="272"/>
      <c r="K66" s="94"/>
    </row>
    <row r="67" spans="1:11" ht="16.5" thickBot="1">
      <c r="A67" s="173" t="s">
        <v>24</v>
      </c>
      <c r="B67" s="170"/>
      <c r="C67" s="170"/>
      <c r="D67" s="170"/>
      <c r="E67" s="170"/>
      <c r="F67" s="170"/>
      <c r="G67" s="170"/>
      <c r="H67" s="170"/>
      <c r="I67" s="170"/>
      <c r="J67" s="170"/>
      <c r="K67" s="170"/>
    </row>
    <row r="68" spans="1:11" ht="12.75">
      <c r="A68" s="177"/>
      <c r="B68" s="258"/>
      <c r="C68" s="1296" t="s">
        <v>409</v>
      </c>
      <c r="D68" s="1297"/>
      <c r="E68" s="1298"/>
      <c r="F68" s="1299" t="s">
        <v>348</v>
      </c>
      <c r="G68" s="1300"/>
      <c r="H68" s="1301"/>
      <c r="I68" s="170"/>
      <c r="J68" s="170"/>
      <c r="K68" s="170"/>
    </row>
    <row r="69" spans="1:11" ht="13.5" thickBot="1">
      <c r="A69" s="261" t="s">
        <v>10</v>
      </c>
      <c r="B69" s="262"/>
      <c r="C69" s="273" t="s">
        <v>25</v>
      </c>
      <c r="D69" s="274" t="s">
        <v>137</v>
      </c>
      <c r="E69" s="275" t="s">
        <v>21</v>
      </c>
      <c r="F69" s="276" t="s">
        <v>25</v>
      </c>
      <c r="G69" s="277" t="s">
        <v>137</v>
      </c>
      <c r="H69" s="278" t="s">
        <v>21</v>
      </c>
      <c r="I69" s="170"/>
      <c r="J69" s="170"/>
      <c r="K69" s="170"/>
    </row>
    <row r="70" spans="1:11" ht="12.75">
      <c r="A70" s="203">
        <v>11</v>
      </c>
      <c r="B70" s="279" t="s">
        <v>11</v>
      </c>
      <c r="C70" s="280">
        <f aca="true" t="shared" si="6" ref="C70:C78">H22</f>
        <v>365399</v>
      </c>
      <c r="D70" s="281">
        <f>K56</f>
        <v>28783</v>
      </c>
      <c r="E70" s="282">
        <f aca="true" t="shared" si="7" ref="E70:E79">SUM(C70:D70)</f>
        <v>394182</v>
      </c>
      <c r="F70" s="923">
        <v>356956</v>
      </c>
      <c r="G70" s="924">
        <v>28673</v>
      </c>
      <c r="H70" s="206">
        <f>SUM(F70:G70)</f>
        <v>385629</v>
      </c>
      <c r="I70" s="170"/>
      <c r="J70" s="170"/>
      <c r="K70" s="170"/>
    </row>
    <row r="71" spans="1:11" ht="12.75">
      <c r="A71" s="208">
        <v>21</v>
      </c>
      <c r="B71" s="283" t="s">
        <v>12</v>
      </c>
      <c r="C71" s="284">
        <f t="shared" si="6"/>
        <v>340206</v>
      </c>
      <c r="D71" s="285">
        <f>K57</f>
        <v>13905</v>
      </c>
      <c r="E71" s="286">
        <f t="shared" si="7"/>
        <v>354111</v>
      </c>
      <c r="F71" s="925">
        <v>321990</v>
      </c>
      <c r="G71" s="926">
        <v>13730</v>
      </c>
      <c r="H71" s="547">
        <f aca="true" t="shared" si="8" ref="H71:H78">SUM(F71:G71)</f>
        <v>335720</v>
      </c>
      <c r="I71" s="170"/>
      <c r="J71" s="170"/>
      <c r="K71" s="170"/>
    </row>
    <row r="72" spans="1:11" ht="12.75">
      <c r="A72" s="208">
        <v>22</v>
      </c>
      <c r="B72" s="283" t="s">
        <v>13</v>
      </c>
      <c r="C72" s="284">
        <f t="shared" si="6"/>
        <v>121202</v>
      </c>
      <c r="D72" s="285">
        <f aca="true" t="shared" si="9" ref="D72:D78">K58</f>
        <v>2378</v>
      </c>
      <c r="E72" s="286">
        <f t="shared" si="7"/>
        <v>123580</v>
      </c>
      <c r="F72" s="925">
        <v>119719</v>
      </c>
      <c r="G72" s="926">
        <v>2269</v>
      </c>
      <c r="H72" s="547">
        <f t="shared" si="8"/>
        <v>121988</v>
      </c>
      <c r="I72" s="170"/>
      <c r="J72" s="170"/>
      <c r="K72" s="170"/>
    </row>
    <row r="73" spans="1:11" ht="12.75">
      <c r="A73" s="208">
        <v>23</v>
      </c>
      <c r="B73" s="283" t="s">
        <v>14</v>
      </c>
      <c r="C73" s="284">
        <f t="shared" si="6"/>
        <v>141087</v>
      </c>
      <c r="D73" s="285">
        <f t="shared" si="9"/>
        <v>9191</v>
      </c>
      <c r="E73" s="286">
        <f t="shared" si="7"/>
        <v>150278</v>
      </c>
      <c r="F73" s="925">
        <v>136446</v>
      </c>
      <c r="G73" s="926">
        <v>9326</v>
      </c>
      <c r="H73" s="547">
        <f t="shared" si="8"/>
        <v>145772</v>
      </c>
      <c r="I73" s="170"/>
      <c r="J73" s="170"/>
      <c r="K73" s="170"/>
    </row>
    <row r="74" spans="1:11" ht="12.75">
      <c r="A74" s="208">
        <v>31</v>
      </c>
      <c r="B74" s="283" t="s">
        <v>15</v>
      </c>
      <c r="C74" s="284">
        <f t="shared" si="6"/>
        <v>286106</v>
      </c>
      <c r="D74" s="285">
        <f t="shared" si="9"/>
        <v>51176</v>
      </c>
      <c r="E74" s="286">
        <f t="shared" si="7"/>
        <v>337282</v>
      </c>
      <c r="F74" s="925">
        <v>273041</v>
      </c>
      <c r="G74" s="926">
        <v>50477</v>
      </c>
      <c r="H74" s="547">
        <f t="shared" si="8"/>
        <v>323518</v>
      </c>
      <c r="I74" s="170"/>
      <c r="J74" s="170"/>
      <c r="K74" s="170"/>
    </row>
    <row r="75" spans="1:11" ht="12.75">
      <c r="A75" s="208">
        <v>33</v>
      </c>
      <c r="B75" s="283" t="s">
        <v>16</v>
      </c>
      <c r="C75" s="284">
        <f t="shared" si="6"/>
        <v>121201</v>
      </c>
      <c r="D75" s="285">
        <f t="shared" si="9"/>
        <v>7320</v>
      </c>
      <c r="E75" s="286">
        <f t="shared" si="7"/>
        <v>128521</v>
      </c>
      <c r="F75" s="925">
        <v>118781</v>
      </c>
      <c r="G75" s="926">
        <v>7239</v>
      </c>
      <c r="H75" s="547">
        <f t="shared" si="8"/>
        <v>126020</v>
      </c>
      <c r="I75" s="170"/>
      <c r="J75" s="170"/>
      <c r="K75" s="170"/>
    </row>
    <row r="76" spans="1:11" ht="12.75">
      <c r="A76" s="208">
        <v>41</v>
      </c>
      <c r="B76" s="283" t="s">
        <v>17</v>
      </c>
      <c r="C76" s="284">
        <f t="shared" si="6"/>
        <v>273276</v>
      </c>
      <c r="D76" s="285">
        <f t="shared" si="9"/>
        <v>5544</v>
      </c>
      <c r="E76" s="286">
        <f t="shared" si="7"/>
        <v>278820</v>
      </c>
      <c r="F76" s="925">
        <v>262887</v>
      </c>
      <c r="G76" s="926">
        <v>4869</v>
      </c>
      <c r="H76" s="547">
        <f t="shared" si="8"/>
        <v>267756</v>
      </c>
      <c r="I76" s="170"/>
      <c r="J76" s="170"/>
      <c r="K76" s="170"/>
    </row>
    <row r="77" spans="1:11" ht="12.75">
      <c r="A77" s="208">
        <v>51</v>
      </c>
      <c r="B77" s="283" t="s">
        <v>18</v>
      </c>
      <c r="C77" s="284">
        <f t="shared" si="6"/>
        <v>62444</v>
      </c>
      <c r="D77" s="285">
        <f t="shared" si="9"/>
        <v>254</v>
      </c>
      <c r="E77" s="286">
        <f t="shared" si="7"/>
        <v>62698</v>
      </c>
      <c r="F77" s="925">
        <v>58702</v>
      </c>
      <c r="G77" s="926">
        <v>80</v>
      </c>
      <c r="H77" s="547">
        <f t="shared" si="8"/>
        <v>58782</v>
      </c>
      <c r="I77" s="170"/>
      <c r="J77" s="170"/>
      <c r="K77" s="170"/>
    </row>
    <row r="78" spans="1:11" ht="13.5" thickBot="1">
      <c r="A78" s="210">
        <v>56</v>
      </c>
      <c r="B78" s="287" t="s">
        <v>19</v>
      </c>
      <c r="C78" s="288">
        <f t="shared" si="6"/>
        <v>146016</v>
      </c>
      <c r="D78" s="289">
        <f t="shared" si="9"/>
        <v>5213</v>
      </c>
      <c r="E78" s="290">
        <f t="shared" si="7"/>
        <v>151229</v>
      </c>
      <c r="F78" s="927">
        <v>137657</v>
      </c>
      <c r="G78" s="928">
        <v>5307</v>
      </c>
      <c r="H78" s="206">
        <f t="shared" si="8"/>
        <v>142964</v>
      </c>
      <c r="I78" s="170"/>
      <c r="J78" s="170"/>
      <c r="K78" s="170"/>
    </row>
    <row r="79" spans="1:11" ht="13.5" thickBot="1">
      <c r="A79" s="251" t="s">
        <v>20</v>
      </c>
      <c r="B79" s="252"/>
      <c r="C79" s="291">
        <f>SUM(C70:C78)</f>
        <v>1856937</v>
      </c>
      <c r="D79" s="292">
        <f>SUM(D70:D78)</f>
        <v>123764</v>
      </c>
      <c r="E79" s="293">
        <f t="shared" si="7"/>
        <v>1980701</v>
      </c>
      <c r="F79" s="294">
        <f>SUM(F70:F78)</f>
        <v>1786179</v>
      </c>
      <c r="G79" s="253">
        <f>SUM(G70:G78)</f>
        <v>121970</v>
      </c>
      <c r="H79" s="216">
        <f>SUM(H70:H78)</f>
        <v>1908149</v>
      </c>
      <c r="I79" s="170"/>
      <c r="J79" s="170"/>
      <c r="K79" s="170"/>
    </row>
    <row r="80" spans="3:6" ht="12.75">
      <c r="C80" s="298"/>
      <c r="D80" s="298"/>
      <c r="E80" s="499"/>
      <c r="F80" s="500"/>
    </row>
    <row r="81" ht="17.25" customHeight="1"/>
    <row r="82" ht="15.75">
      <c r="A82" s="9" t="s">
        <v>34</v>
      </c>
    </row>
    <row r="83" ht="11.25" customHeight="1">
      <c r="A83" s="9"/>
    </row>
    <row r="84" spans="1:14" s="21" customFormat="1" ht="15.75" thickBot="1">
      <c r="A84" s="112" t="s">
        <v>410</v>
      </c>
      <c r="L84" s="115"/>
      <c r="M84" s="115"/>
      <c r="N84" s="115"/>
    </row>
    <row r="85" spans="1:14" s="2" customFormat="1" ht="12.75">
      <c r="A85" s="5">
        <v>5</v>
      </c>
      <c r="B85" s="344" t="s">
        <v>312</v>
      </c>
      <c r="C85" s="3"/>
      <c r="D85" s="3"/>
      <c r="E85" s="3"/>
      <c r="F85" s="3"/>
      <c r="G85" s="3"/>
      <c r="H85" s="3"/>
      <c r="I85" s="30">
        <f>'příl.1-CP'!M7</f>
        <v>99000</v>
      </c>
      <c r="J85" s="7"/>
      <c r="L85" s="115"/>
      <c r="M85" s="115"/>
      <c r="N85" s="115"/>
    </row>
    <row r="86" spans="1:14" s="2" customFormat="1" ht="12.75">
      <c r="A86" s="136">
        <v>6</v>
      </c>
      <c r="B86" s="99" t="s">
        <v>202</v>
      </c>
      <c r="C86" s="99"/>
      <c r="D86" s="99"/>
      <c r="E86" s="99"/>
      <c r="F86" s="99"/>
      <c r="G86" s="99"/>
      <c r="H86" s="99"/>
      <c r="I86" s="137">
        <f>'příl.1-CP'!M10</f>
        <v>46410</v>
      </c>
      <c r="J86" s="7"/>
      <c r="L86" s="115"/>
      <c r="M86" s="115"/>
      <c r="N86" s="115"/>
    </row>
    <row r="87" spans="1:14" s="2" customFormat="1" ht="12.75">
      <c r="A87" s="136">
        <v>7</v>
      </c>
      <c r="B87" s="99" t="s">
        <v>203</v>
      </c>
      <c r="C87" s="99"/>
      <c r="D87" s="99"/>
      <c r="E87" s="99"/>
      <c r="F87" s="99"/>
      <c r="G87" s="99"/>
      <c r="H87" s="99"/>
      <c r="I87" s="137">
        <f>'příl.1-CP'!M11</f>
        <v>16143.274666666666</v>
      </c>
      <c r="J87" s="7"/>
      <c r="L87" s="115"/>
      <c r="M87" s="115"/>
      <c r="N87" s="115"/>
    </row>
    <row r="88" spans="1:14" s="2" customFormat="1" ht="13.5" thickBot="1">
      <c r="A88" s="32">
        <v>8</v>
      </c>
      <c r="B88" s="339" t="s">
        <v>0</v>
      </c>
      <c r="C88" s="7"/>
      <c r="D88" s="7"/>
      <c r="E88" s="7"/>
      <c r="F88" s="7"/>
      <c r="G88" s="7"/>
      <c r="H88" s="7"/>
      <c r="I88" s="337">
        <f>'příl.1-CP'!M23</f>
        <v>28990</v>
      </c>
      <c r="J88" s="7"/>
      <c r="L88" s="115"/>
      <c r="M88" s="115"/>
      <c r="N88" s="115"/>
    </row>
    <row r="89" spans="1:14" s="108" customFormat="1" ht="13.5" thickBot="1">
      <c r="A89" s="342">
        <v>9</v>
      </c>
      <c r="B89" s="1293" t="s">
        <v>315</v>
      </c>
      <c r="C89" s="1294"/>
      <c r="D89" s="1294"/>
      <c r="E89" s="1294"/>
      <c r="F89" s="1294"/>
      <c r="G89" s="1294"/>
      <c r="H89" s="1295"/>
      <c r="I89" s="343">
        <f>SUM(I85:I88)</f>
        <v>190543.27466666666</v>
      </c>
      <c r="J89" s="387"/>
      <c r="L89" s="124"/>
      <c r="M89" s="124"/>
      <c r="N89" s="124"/>
    </row>
    <row r="90" spans="1:14" s="107" customFormat="1" ht="13.5">
      <c r="A90" s="113"/>
      <c r="B90" s="114"/>
      <c r="I90" s="109"/>
      <c r="L90" s="115"/>
      <c r="M90" s="115"/>
      <c r="N90" s="115"/>
    </row>
    <row r="91" spans="1:14" s="21" customFormat="1" ht="15.75" thickBot="1">
      <c r="A91" s="112" t="s">
        <v>1</v>
      </c>
      <c r="L91" s="115"/>
      <c r="M91" s="115"/>
      <c r="N91" s="115"/>
    </row>
    <row r="92" spans="1:10" ht="12.75">
      <c r="A92" s="138">
        <v>10</v>
      </c>
      <c r="B92" s="139" t="s">
        <v>313</v>
      </c>
      <c r="C92" s="139"/>
      <c r="D92" s="139"/>
      <c r="E92" s="139"/>
      <c r="F92" s="139"/>
      <c r="G92" s="139"/>
      <c r="H92" s="139"/>
      <c r="I92" s="140">
        <f>'příl.1-CP'!M28</f>
        <v>142636</v>
      </c>
      <c r="J92" s="341"/>
    </row>
    <row r="93" spans="1:9" ht="13.5" thickBot="1">
      <c r="A93" s="16">
        <v>11</v>
      </c>
      <c r="B93" s="10" t="s">
        <v>314</v>
      </c>
      <c r="C93" s="10"/>
      <c r="D93" s="10"/>
      <c r="E93" s="10"/>
      <c r="F93" s="10"/>
      <c r="G93" s="10"/>
      <c r="H93" s="10"/>
      <c r="I93" s="12">
        <f>'příl.1-CP'!M135</f>
        <v>16000</v>
      </c>
    </row>
    <row r="94" spans="1:14" s="390" customFormat="1" ht="12.75">
      <c r="A94" s="388">
        <v>12</v>
      </c>
      <c r="B94" s="1302" t="s">
        <v>316</v>
      </c>
      <c r="C94" s="1303"/>
      <c r="D94" s="1303"/>
      <c r="E94" s="1303"/>
      <c r="F94" s="1303"/>
      <c r="G94" s="1303"/>
      <c r="H94" s="1304"/>
      <c r="I94" s="389">
        <f>SUM(I92:I93)</f>
        <v>158636</v>
      </c>
      <c r="L94" s="391"/>
      <c r="M94" s="391"/>
      <c r="N94" s="391"/>
    </row>
    <row r="95" spans="1:9" ht="13.5" thickBot="1">
      <c r="A95" s="24">
        <v>13</v>
      </c>
      <c r="B95" s="345" t="s">
        <v>317</v>
      </c>
      <c r="C95" s="345"/>
      <c r="D95" s="345"/>
      <c r="E95" s="345"/>
      <c r="F95" s="345"/>
      <c r="G95" s="345"/>
      <c r="H95" s="345"/>
      <c r="I95" s="346">
        <f>'příl.1-CP'!M150</f>
        <v>236550.1362</v>
      </c>
    </row>
    <row r="96" spans="1:14" s="108" customFormat="1" ht="13.5" thickBot="1">
      <c r="A96" s="342">
        <v>14</v>
      </c>
      <c r="B96" s="1293" t="s">
        <v>3</v>
      </c>
      <c r="C96" s="1294"/>
      <c r="D96" s="1294"/>
      <c r="E96" s="1294"/>
      <c r="F96" s="1294"/>
      <c r="G96" s="1294"/>
      <c r="H96" s="1295"/>
      <c r="I96" s="343">
        <f>SUM(I94:I95)</f>
        <v>395186.1362</v>
      </c>
      <c r="J96" s="347"/>
      <c r="L96" s="124"/>
      <c r="M96" s="124"/>
      <c r="N96" s="124"/>
    </row>
    <row r="97" spans="1:14" s="10" customFormat="1" ht="12.75">
      <c r="A97" s="19"/>
      <c r="I97" s="11"/>
      <c r="J97" s="11"/>
      <c r="L97" s="116"/>
      <c r="M97" s="116"/>
      <c r="N97" s="116"/>
    </row>
    <row r="98" spans="1:14" s="908" customFormat="1" ht="15.75" thickBot="1">
      <c r="A98" s="907" t="s">
        <v>338</v>
      </c>
      <c r="L98" s="909"/>
      <c r="M98" s="909"/>
      <c r="N98" s="909"/>
    </row>
    <row r="99" spans="1:9" s="2" customFormat="1" ht="12.75" customHeight="1">
      <c r="A99" s="348">
        <v>15</v>
      </c>
      <c r="B99" s="382" t="s">
        <v>318</v>
      </c>
      <c r="C99" s="352"/>
      <c r="D99" s="352"/>
      <c r="E99" s="352"/>
      <c r="F99" s="352"/>
      <c r="G99" s="352"/>
      <c r="H99" s="377"/>
      <c r="I99" s="349">
        <f>F13</f>
        <v>1980701</v>
      </c>
    </row>
    <row r="100" spans="1:10" s="20" customFormat="1" ht="12.75" customHeight="1">
      <c r="A100" s="385">
        <v>16</v>
      </c>
      <c r="B100" s="383" t="s">
        <v>319</v>
      </c>
      <c r="C100" s="350"/>
      <c r="D100" s="350"/>
      <c r="E100" s="350"/>
      <c r="F100" s="350"/>
      <c r="G100" s="350"/>
      <c r="H100" s="378"/>
      <c r="I100" s="380">
        <f>I89+I96</f>
        <v>585729.4108666667</v>
      </c>
      <c r="J100" s="442"/>
    </row>
    <row r="101" spans="1:9" s="20" customFormat="1" ht="12.75" customHeight="1" thickBot="1">
      <c r="A101" s="386">
        <v>17</v>
      </c>
      <c r="B101" s="384" t="s">
        <v>320</v>
      </c>
      <c r="C101" s="351"/>
      <c r="D101" s="351"/>
      <c r="E101" s="351"/>
      <c r="F101" s="351"/>
      <c r="G101" s="351"/>
      <c r="H101" s="379"/>
      <c r="I101" s="381">
        <f>I99-I100</f>
        <v>1394971.5891333334</v>
      </c>
    </row>
    <row r="102" ht="13.5" customHeight="1"/>
    <row r="103" ht="12.75">
      <c r="I103" s="8"/>
    </row>
  </sheetData>
  <mergeCells count="5">
    <mergeCell ref="B96:H96"/>
    <mergeCell ref="C68:E68"/>
    <mergeCell ref="F68:H68"/>
    <mergeCell ref="B89:H89"/>
    <mergeCell ref="B94:H94"/>
  </mergeCells>
  <printOptions/>
  <pageMargins left="0.7" right="0.26" top="0.66" bottom="0.62" header="0.4921259845" footer="0.33"/>
  <pageSetup horizontalDpi="600" verticalDpi="600" orientation="landscape" paperSize="9" r:id="rId1"/>
  <headerFooter alignWithMargins="0">
    <oddFooter>&amp;C&amp;P</oddFooter>
  </headerFooter>
  <rowBreaks count="2" manualBreakCount="2">
    <brk id="33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78"/>
  <sheetViews>
    <sheetView workbookViewId="0" topLeftCell="A1">
      <selection activeCell="A13" sqref="A13"/>
    </sheetView>
  </sheetViews>
  <sheetFormatPr defaultColWidth="9.00390625" defaultRowHeight="12.75"/>
  <cols>
    <col min="1" max="1" width="9.00390625" style="448" customWidth="1"/>
    <col min="2" max="3" width="7.375" style="448" customWidth="1"/>
    <col min="4" max="4" width="7.25390625" style="448" customWidth="1"/>
    <col min="5" max="5" width="7.625" style="448" customWidth="1"/>
    <col min="6" max="6" width="8.25390625" style="448" customWidth="1"/>
    <col min="7" max="7" width="8.375" style="448" customWidth="1"/>
    <col min="8" max="8" width="8.125" style="448" customWidth="1"/>
    <col min="9" max="9" width="9.00390625" style="448" customWidth="1"/>
    <col min="10" max="10" width="7.875" style="448" customWidth="1"/>
    <col min="11" max="11" width="8.625" style="448" customWidth="1"/>
    <col min="12" max="12" width="7.875" style="448" customWidth="1"/>
    <col min="13" max="13" width="2.25390625" style="448" customWidth="1"/>
    <col min="14" max="14" width="7.125" style="448" customWidth="1"/>
    <col min="15" max="15" width="7.00390625" style="448" customWidth="1"/>
    <col min="16" max="16" width="7.75390625" style="448" customWidth="1"/>
    <col min="17" max="17" width="2.625" style="448" customWidth="1"/>
    <col min="18" max="18" width="6.375" style="448" customWidth="1"/>
    <col min="19" max="19" width="6.25390625" style="448" customWidth="1"/>
    <col min="20" max="20" width="7.125" style="448" customWidth="1"/>
    <col min="21" max="21" width="7.875" style="448" customWidth="1"/>
    <col min="22" max="22" width="6.875" style="448" bestFit="1" customWidth="1"/>
    <col min="23" max="23" width="7.875" style="448" bestFit="1" customWidth="1"/>
    <col min="24" max="25" width="7.875" style="448" customWidth="1"/>
    <col min="26" max="26" width="2.25390625" style="448" customWidth="1"/>
    <col min="27" max="27" width="8.00390625" style="448" customWidth="1"/>
    <col min="28" max="28" width="7.375" style="448" customWidth="1"/>
    <col min="29" max="30" width="6.875" style="448" customWidth="1"/>
    <col min="31" max="31" width="7.25390625" style="448" customWidth="1"/>
    <col min="32" max="32" width="8.00390625" style="448" customWidth="1"/>
    <col min="33" max="33" width="8.125" style="448" customWidth="1"/>
    <col min="34" max="34" width="6.875" style="448" customWidth="1"/>
    <col min="35" max="35" width="7.875" style="448" customWidth="1"/>
    <col min="36" max="36" width="7.375" style="448" customWidth="1"/>
    <col min="37" max="37" width="8.00390625" style="448" customWidth="1"/>
    <col min="38" max="38" width="8.125" style="448" customWidth="1"/>
    <col min="39" max="39" width="8.375" style="448" customWidth="1"/>
    <col min="40" max="40" width="8.25390625" style="448" customWidth="1"/>
    <col min="41" max="41" width="8.00390625" style="448" customWidth="1"/>
    <col min="42" max="42" width="8.375" style="448" customWidth="1"/>
    <col min="43" max="43" width="7.125" style="448" customWidth="1"/>
    <col min="44" max="44" width="8.125" style="448" customWidth="1"/>
    <col min="45" max="45" width="7.75390625" style="448" customWidth="1"/>
    <col min="46" max="46" width="7.125" style="448" customWidth="1"/>
    <col min="47" max="47" width="7.875" style="448" customWidth="1"/>
    <col min="48" max="54" width="7.75390625" style="448" customWidth="1"/>
    <col min="55" max="55" width="5.75390625" style="448" customWidth="1"/>
    <col min="56" max="16384" width="9.125" style="448" customWidth="1"/>
  </cols>
  <sheetData>
    <row r="1" spans="1:10" s="445" customFormat="1" ht="15.75">
      <c r="A1" s="173" t="s">
        <v>515</v>
      </c>
      <c r="F1" s="446"/>
      <c r="G1" s="446"/>
      <c r="H1" s="446"/>
      <c r="I1" s="446"/>
      <c r="J1" s="447"/>
    </row>
    <row r="2" spans="1:10" s="445" customFormat="1" ht="15.75">
      <c r="A2" s="173"/>
      <c r="F2" s="446"/>
      <c r="G2" s="446"/>
      <c r="H2" s="446"/>
      <c r="I2" s="446"/>
      <c r="J2" s="447"/>
    </row>
    <row r="3" spans="37:40" ht="12" thickBot="1">
      <c r="AK3" s="836" t="s">
        <v>328</v>
      </c>
      <c r="AN3" s="836" t="s">
        <v>329</v>
      </c>
    </row>
    <row r="4" spans="4:5" ht="12" hidden="1" thickBot="1">
      <c r="D4" s="449">
        <v>1</v>
      </c>
      <c r="E4" s="450">
        <v>1</v>
      </c>
    </row>
    <row r="5" spans="1:55" s="453" customFormat="1" ht="12" customHeight="1">
      <c r="A5" s="830"/>
      <c r="B5" s="831" t="s">
        <v>516</v>
      </c>
      <c r="C5" s="831" t="s">
        <v>38</v>
      </c>
      <c r="D5" s="872"/>
      <c r="E5" s="831" t="s">
        <v>139</v>
      </c>
      <c r="F5" s="831" t="s">
        <v>139</v>
      </c>
      <c r="G5" s="831" t="s">
        <v>39</v>
      </c>
      <c r="H5" s="831" t="s">
        <v>39</v>
      </c>
      <c r="I5" s="831" t="s">
        <v>40</v>
      </c>
      <c r="J5" s="831" t="s">
        <v>40</v>
      </c>
      <c r="K5" s="1000" t="s">
        <v>385</v>
      </c>
      <c r="L5" s="867" t="s">
        <v>518</v>
      </c>
      <c r="M5" s="452"/>
      <c r="N5" s="873"/>
      <c r="O5" s="451"/>
      <c r="P5" s="881"/>
      <c r="R5" s="846" t="s">
        <v>167</v>
      </c>
      <c r="S5" s="843" t="s">
        <v>168</v>
      </c>
      <c r="T5" s="843" t="s">
        <v>169</v>
      </c>
      <c r="U5" s="918" t="s">
        <v>157</v>
      </c>
      <c r="V5" s="918" t="s">
        <v>211</v>
      </c>
      <c r="W5" s="918" t="s">
        <v>145</v>
      </c>
      <c r="X5" s="843" t="s">
        <v>145</v>
      </c>
      <c r="Y5" s="844" t="s">
        <v>145</v>
      </c>
      <c r="AA5" s="846" t="s">
        <v>194</v>
      </c>
      <c r="AB5" s="843" t="s">
        <v>196</v>
      </c>
      <c r="AC5" s="843" t="s">
        <v>194</v>
      </c>
      <c r="AD5" s="843" t="s">
        <v>198</v>
      </c>
      <c r="AE5" s="843" t="s">
        <v>200</v>
      </c>
      <c r="AF5" s="843" t="s">
        <v>194</v>
      </c>
      <c r="AG5" s="843" t="s">
        <v>196</v>
      </c>
      <c r="AH5" s="843" t="s">
        <v>194</v>
      </c>
      <c r="AI5" s="843" t="s">
        <v>199</v>
      </c>
      <c r="AJ5" s="843" t="s">
        <v>200</v>
      </c>
      <c r="AK5" s="843" t="s">
        <v>154</v>
      </c>
      <c r="AL5" s="843" t="s">
        <v>199</v>
      </c>
      <c r="AM5" s="843" t="s">
        <v>200</v>
      </c>
      <c r="AN5" s="843" t="s">
        <v>210</v>
      </c>
      <c r="AO5" s="843" t="s">
        <v>199</v>
      </c>
      <c r="AP5" s="843" t="s">
        <v>200</v>
      </c>
      <c r="AQ5" s="843" t="s">
        <v>194</v>
      </c>
      <c r="AR5" s="843" t="s">
        <v>199</v>
      </c>
      <c r="AS5" s="843" t="s">
        <v>200</v>
      </c>
      <c r="AT5" s="843" t="s">
        <v>194</v>
      </c>
      <c r="AU5" s="843" t="s">
        <v>199</v>
      </c>
      <c r="AV5" s="1008" t="s">
        <v>200</v>
      </c>
      <c r="AW5" s="918" t="s">
        <v>194</v>
      </c>
      <c r="AX5" s="843" t="s">
        <v>199</v>
      </c>
      <c r="AY5" s="843" t="s">
        <v>200</v>
      </c>
      <c r="AZ5" s="843" t="s">
        <v>194</v>
      </c>
      <c r="BA5" s="918" t="s">
        <v>199</v>
      </c>
      <c r="BB5" s="843" t="s">
        <v>200</v>
      </c>
      <c r="BC5" s="1305" t="s">
        <v>526</v>
      </c>
    </row>
    <row r="6" spans="1:55" s="453" customFormat="1" ht="12" customHeight="1">
      <c r="A6" s="797" t="s">
        <v>10</v>
      </c>
      <c r="B6" s="807" t="s">
        <v>45</v>
      </c>
      <c r="C6" s="807" t="s">
        <v>41</v>
      </c>
      <c r="D6" s="807" t="s">
        <v>42</v>
      </c>
      <c r="E6" s="807" t="s">
        <v>321</v>
      </c>
      <c r="F6" s="807" t="s">
        <v>157</v>
      </c>
      <c r="G6" s="807" t="s">
        <v>153</v>
      </c>
      <c r="H6" s="807" t="s">
        <v>140</v>
      </c>
      <c r="I6" s="807" t="s">
        <v>43</v>
      </c>
      <c r="J6" s="807" t="s">
        <v>132</v>
      </c>
      <c r="K6" s="1001" t="s">
        <v>21</v>
      </c>
      <c r="L6" s="816" t="s">
        <v>383</v>
      </c>
      <c r="M6" s="452"/>
      <c r="N6" s="874"/>
      <c r="O6" s="454">
        <v>2008</v>
      </c>
      <c r="P6" s="882">
        <v>2009</v>
      </c>
      <c r="R6" s="848" t="s">
        <v>139</v>
      </c>
      <c r="S6" s="814" t="s">
        <v>157</v>
      </c>
      <c r="T6" s="814" t="s">
        <v>147</v>
      </c>
      <c r="U6" s="815" t="s">
        <v>51</v>
      </c>
      <c r="V6" s="815"/>
      <c r="W6" s="815" t="s">
        <v>384</v>
      </c>
      <c r="X6" s="814" t="s">
        <v>32</v>
      </c>
      <c r="Y6" s="845" t="s">
        <v>32</v>
      </c>
      <c r="AA6" s="848" t="s">
        <v>197</v>
      </c>
      <c r="AB6" s="814" t="s">
        <v>195</v>
      </c>
      <c r="AC6" s="814" t="s">
        <v>21</v>
      </c>
      <c r="AD6" s="814" t="s">
        <v>21</v>
      </c>
      <c r="AE6" s="814" t="s">
        <v>21</v>
      </c>
      <c r="AF6" s="814" t="s">
        <v>197</v>
      </c>
      <c r="AG6" s="814" t="s">
        <v>195</v>
      </c>
      <c r="AH6" s="814" t="s">
        <v>21</v>
      </c>
      <c r="AI6" s="814" t="s">
        <v>21</v>
      </c>
      <c r="AJ6" s="814" t="s">
        <v>21</v>
      </c>
      <c r="AK6" s="814" t="s">
        <v>21</v>
      </c>
      <c r="AL6" s="814" t="s">
        <v>21</v>
      </c>
      <c r="AM6" s="814" t="s">
        <v>21</v>
      </c>
      <c r="AN6" s="814" t="s">
        <v>21</v>
      </c>
      <c r="AO6" s="814" t="s">
        <v>21</v>
      </c>
      <c r="AP6" s="814" t="s">
        <v>21</v>
      </c>
      <c r="AQ6" s="814" t="s">
        <v>21</v>
      </c>
      <c r="AR6" s="814" t="s">
        <v>21</v>
      </c>
      <c r="AS6" s="814" t="s">
        <v>21</v>
      </c>
      <c r="AT6" s="814" t="s">
        <v>21</v>
      </c>
      <c r="AU6" s="814" t="s">
        <v>21</v>
      </c>
      <c r="AV6" s="469" t="s">
        <v>21</v>
      </c>
      <c r="AW6" s="815" t="s">
        <v>21</v>
      </c>
      <c r="AX6" s="814" t="s">
        <v>21</v>
      </c>
      <c r="AY6" s="814" t="s">
        <v>21</v>
      </c>
      <c r="AZ6" s="814" t="s">
        <v>21</v>
      </c>
      <c r="BA6" s="815" t="s">
        <v>21</v>
      </c>
      <c r="BB6" s="814" t="s">
        <v>21</v>
      </c>
      <c r="BC6" s="1306"/>
    </row>
    <row r="7" spans="1:54" s="453" customFormat="1" ht="12" customHeight="1" thickBot="1">
      <c r="A7" s="858"/>
      <c r="B7" s="808" t="s">
        <v>517</v>
      </c>
      <c r="C7" s="808" t="s">
        <v>46</v>
      </c>
      <c r="D7" s="808"/>
      <c r="E7" s="808">
        <v>2009</v>
      </c>
      <c r="F7" s="808">
        <v>2009</v>
      </c>
      <c r="G7" s="808" t="s">
        <v>20</v>
      </c>
      <c r="H7" s="808" t="s">
        <v>141</v>
      </c>
      <c r="I7" s="808" t="s">
        <v>47</v>
      </c>
      <c r="J7" s="808" t="s">
        <v>48</v>
      </c>
      <c r="K7" s="1002"/>
      <c r="L7" s="853">
        <v>2008</v>
      </c>
      <c r="M7" s="455"/>
      <c r="N7" s="875"/>
      <c r="O7" s="888"/>
      <c r="P7" s="883"/>
      <c r="R7" s="919" t="s">
        <v>21</v>
      </c>
      <c r="S7" s="817" t="s">
        <v>139</v>
      </c>
      <c r="T7" s="847">
        <v>233330</v>
      </c>
      <c r="U7" s="920" t="s">
        <v>170</v>
      </c>
      <c r="V7" s="920"/>
      <c r="W7" s="851" t="s">
        <v>40</v>
      </c>
      <c r="X7" s="817" t="s">
        <v>385</v>
      </c>
      <c r="Y7" s="1020" t="s">
        <v>382</v>
      </c>
      <c r="AA7" s="1023">
        <v>2002</v>
      </c>
      <c r="AB7" s="817">
        <v>2002</v>
      </c>
      <c r="AC7" s="817">
        <v>2002</v>
      </c>
      <c r="AD7" s="817">
        <v>2002</v>
      </c>
      <c r="AE7" s="817">
        <v>2002</v>
      </c>
      <c r="AF7" s="847">
        <v>2003</v>
      </c>
      <c r="AG7" s="817">
        <v>2003</v>
      </c>
      <c r="AH7" s="817">
        <v>2003</v>
      </c>
      <c r="AI7" s="817">
        <v>2003</v>
      </c>
      <c r="AJ7" s="817">
        <v>2003</v>
      </c>
      <c r="AK7" s="817">
        <v>2004</v>
      </c>
      <c r="AL7" s="817">
        <v>2004</v>
      </c>
      <c r="AM7" s="817">
        <v>2004</v>
      </c>
      <c r="AN7" s="817">
        <v>2005</v>
      </c>
      <c r="AO7" s="817">
        <v>2005</v>
      </c>
      <c r="AP7" s="817">
        <v>2005</v>
      </c>
      <c r="AQ7" s="817">
        <v>2006</v>
      </c>
      <c r="AR7" s="817">
        <v>2006</v>
      </c>
      <c r="AS7" s="817">
        <v>2006</v>
      </c>
      <c r="AT7" s="817">
        <v>2007</v>
      </c>
      <c r="AU7" s="817">
        <v>2007</v>
      </c>
      <c r="AV7" s="1009">
        <v>2007</v>
      </c>
      <c r="AW7" s="851">
        <v>2008</v>
      </c>
      <c r="AX7" s="817">
        <v>2008</v>
      </c>
      <c r="AY7" s="817">
        <v>2008</v>
      </c>
      <c r="AZ7" s="817">
        <v>2009</v>
      </c>
      <c r="BA7" s="817">
        <v>2009</v>
      </c>
      <c r="BB7" s="817">
        <v>2009</v>
      </c>
    </row>
    <row r="8" spans="1:55" ht="12.75" customHeight="1">
      <c r="A8" s="797" t="s">
        <v>11</v>
      </c>
      <c r="B8" s="798">
        <v>3493</v>
      </c>
      <c r="C8" s="1024">
        <v>378.49</v>
      </c>
      <c r="D8" s="798">
        <v>35823</v>
      </c>
      <c r="E8" s="798">
        <f>'příl.4-odhad odpisu09'!L6</f>
        <v>48476</v>
      </c>
      <c r="F8" s="798">
        <f>'příl.4-odhad odpisu09'!K6</f>
        <v>15568</v>
      </c>
      <c r="G8" s="1027">
        <f>D8/$D$17*100</f>
        <v>19.907307070336596</v>
      </c>
      <c r="H8" s="1027">
        <f>E8/$E$17*100</f>
        <v>25.38262968567554</v>
      </c>
      <c r="I8" s="796">
        <f>'str1-3'!H22</f>
        <v>365399</v>
      </c>
      <c r="J8" s="796">
        <f>'str1-3'!K56</f>
        <v>28783</v>
      </c>
      <c r="K8" s="825">
        <f>SUM(I8:J8)</f>
        <v>394182</v>
      </c>
      <c r="L8" s="457">
        <v>595991</v>
      </c>
      <c r="M8" s="458"/>
      <c r="N8" s="876" t="s">
        <v>342</v>
      </c>
      <c r="O8" s="456">
        <v>118992</v>
      </c>
      <c r="P8" s="841">
        <f>'příl.1-CP'!M28-'příl.1-CP'!M75</f>
        <v>126636</v>
      </c>
      <c r="R8" s="832">
        <f>L8/$L$17*$R$17</f>
        <v>20850.709717226266</v>
      </c>
      <c r="S8" s="1007">
        <f>L8/$L$17*$S$17</f>
        <v>9774.559979560314</v>
      </c>
      <c r="T8" s="1007">
        <f>L8/$L$17*$T$17</f>
        <v>6105.677522246358</v>
      </c>
      <c r="U8" s="1007">
        <f>L8/$L$17*$U$17</f>
        <v>3399.9872117183763</v>
      </c>
      <c r="V8" s="798">
        <f>ROUND(SUM(R8:U8),0)</f>
        <v>40131</v>
      </c>
      <c r="W8" s="1017">
        <f>I8-V8</f>
        <v>325268</v>
      </c>
      <c r="X8" s="456">
        <f>K8-V8</f>
        <v>354051</v>
      </c>
      <c r="Y8" s="841">
        <f>L8-V8</f>
        <v>555860</v>
      </c>
      <c r="AA8" s="465">
        <v>30466.138868032474</v>
      </c>
      <c r="AB8" s="456">
        <v>25993.488893479596</v>
      </c>
      <c r="AC8" s="456">
        <f>AA8+AB8</f>
        <v>56459.62776151207</v>
      </c>
      <c r="AD8" s="456">
        <v>182416.06541417688</v>
      </c>
      <c r="AE8" s="456">
        <f>AD8-AC8</f>
        <v>125956.43765266481</v>
      </c>
      <c r="AF8" s="456">
        <v>33752.226374240934</v>
      </c>
      <c r="AG8" s="456">
        <v>29843.98504703223</v>
      </c>
      <c r="AH8" s="456">
        <f>AF8+AG8</f>
        <v>63596.21142127317</v>
      </c>
      <c r="AI8" s="456">
        <v>210434.50101597793</v>
      </c>
      <c r="AJ8" s="818">
        <f>AI8-AH8</f>
        <v>146838.28959470475</v>
      </c>
      <c r="AK8" s="456">
        <v>49017.62782983937</v>
      </c>
      <c r="AL8" s="456">
        <v>260502.95018376264</v>
      </c>
      <c r="AM8" s="818">
        <v>193123</v>
      </c>
      <c r="AN8" s="456">
        <v>86995</v>
      </c>
      <c r="AO8" s="456">
        <v>297360</v>
      </c>
      <c r="AP8" s="818">
        <v>210365</v>
      </c>
      <c r="AQ8" s="456">
        <v>92351</v>
      </c>
      <c r="AR8" s="456">
        <v>332457</v>
      </c>
      <c r="AS8" s="818">
        <v>240106</v>
      </c>
      <c r="AT8" s="456">
        <v>103018</v>
      </c>
      <c r="AU8" s="456">
        <v>373795.97243865277</v>
      </c>
      <c r="AV8" s="456">
        <f>AU8-AT8</f>
        <v>270777.97243865277</v>
      </c>
      <c r="AW8" s="1016">
        <f>AX8-AY8</f>
        <v>110398</v>
      </c>
      <c r="AX8" s="1016">
        <v>385629</v>
      </c>
      <c r="AY8" s="456">
        <v>275231</v>
      </c>
      <c r="AZ8" s="456">
        <f>H27</f>
        <v>111107.98171152055</v>
      </c>
      <c r="BA8" s="1010">
        <f>K8</f>
        <v>394182</v>
      </c>
      <c r="BB8" s="1016">
        <f>BA8-AZ8</f>
        <v>283074.0182884794</v>
      </c>
      <c r="BC8" s="837">
        <f>BB8/AY8</f>
        <v>1.0284961297545676</v>
      </c>
    </row>
    <row r="9" spans="1:55" ht="12.75" customHeight="1">
      <c r="A9" s="805" t="s">
        <v>12</v>
      </c>
      <c r="B9" s="806">
        <v>8908</v>
      </c>
      <c r="C9" s="1025">
        <v>319.73</v>
      </c>
      <c r="D9" s="806">
        <v>21164</v>
      </c>
      <c r="E9" s="806">
        <f>'příl.4-odhad odpisu09'!L7</f>
        <v>7179</v>
      </c>
      <c r="F9" s="806">
        <f>'příl.4-odhad odpisu09'!K7</f>
        <v>2832</v>
      </c>
      <c r="G9" s="1028">
        <f aca="true" t="shared" si="0" ref="G9:G16">D9/$D$17*100</f>
        <v>11.76111009230393</v>
      </c>
      <c r="H9" s="1028">
        <f aca="true" t="shared" si="1" ref="H9:H16">E9/$E$17*100</f>
        <v>3.7590126766536986</v>
      </c>
      <c r="I9" s="806">
        <f>'str1-3'!H23</f>
        <v>340206</v>
      </c>
      <c r="J9" s="806">
        <f>'str1-3'!K57</f>
        <v>13905</v>
      </c>
      <c r="K9" s="1003">
        <f aca="true" t="shared" si="2" ref="K9:K16">SUM(I9:J9)</f>
        <v>354111</v>
      </c>
      <c r="L9" s="462">
        <v>381555</v>
      </c>
      <c r="M9" s="458"/>
      <c r="N9" s="877" t="s">
        <v>159</v>
      </c>
      <c r="O9" s="461">
        <v>48601</v>
      </c>
      <c r="P9" s="840">
        <f>'příl.1-CP'!M10</f>
        <v>46410</v>
      </c>
      <c r="R9" s="829">
        <f aca="true" t="shared" si="3" ref="R9:R16">L9/$L$17*$R$17</f>
        <v>13348.679000448443</v>
      </c>
      <c r="S9" s="806">
        <f aca="true" t="shared" si="4" ref="S9:S16">L9/$L$17*$S$17</f>
        <v>6257.698913240528</v>
      </c>
      <c r="T9" s="806">
        <f aca="true" t="shared" si="5" ref="T9:T16">L9/$L$17*$T$17</f>
        <v>3908.8707497272767</v>
      </c>
      <c r="U9" s="806">
        <f aca="true" t="shared" si="6" ref="U9:U16">L9/$L$17*$U$17</f>
        <v>2176.680722640451</v>
      </c>
      <c r="V9" s="806">
        <f aca="true" t="shared" si="7" ref="V9:V16">ROUND(SUM(R9:U9),0)</f>
        <v>25692</v>
      </c>
      <c r="W9" s="820">
        <f aca="true" t="shared" si="8" ref="W9:W16">I9-V9</f>
        <v>314514</v>
      </c>
      <c r="X9" s="461">
        <f aca="true" t="shared" si="9" ref="X9:X16">K9-V9</f>
        <v>328419</v>
      </c>
      <c r="Y9" s="840">
        <f aca="true" t="shared" si="10" ref="Y9:Y16">L9-V9</f>
        <v>355863</v>
      </c>
      <c r="AA9" s="463">
        <v>24384.466507721078</v>
      </c>
      <c r="AB9" s="461">
        <v>13971.768310068723</v>
      </c>
      <c r="AC9" s="461">
        <f aca="true" t="shared" si="11" ref="AC9:AC16">AA9+AB9</f>
        <v>38356.2348177898</v>
      </c>
      <c r="AD9" s="461">
        <v>115546.304323639</v>
      </c>
      <c r="AE9" s="461">
        <f aca="true" t="shared" si="12" ref="AE9:AE17">AD9-AC9</f>
        <v>77190.06950584918</v>
      </c>
      <c r="AF9" s="461">
        <v>28642.953232499814</v>
      </c>
      <c r="AG9" s="461">
        <v>20667.2700275198</v>
      </c>
      <c r="AH9" s="461">
        <f aca="true" t="shared" si="13" ref="AH9:AH16">AF9+AG9</f>
        <v>49310.223260019615</v>
      </c>
      <c r="AI9" s="461">
        <v>146623.95218527017</v>
      </c>
      <c r="AJ9" s="461">
        <f aca="true" t="shared" si="14" ref="AJ9:AJ17">AI9-AH9</f>
        <v>97313.72892525056</v>
      </c>
      <c r="AK9" s="461">
        <v>39429.65042101713</v>
      </c>
      <c r="AL9" s="461">
        <v>202433.91341668885</v>
      </c>
      <c r="AM9" s="461">
        <v>148735.646197214</v>
      </c>
      <c r="AN9" s="461">
        <v>67705</v>
      </c>
      <c r="AO9" s="461">
        <v>233462</v>
      </c>
      <c r="AP9" s="461">
        <v>165757</v>
      </c>
      <c r="AQ9" s="461">
        <v>79160</v>
      </c>
      <c r="AR9" s="461">
        <v>282980</v>
      </c>
      <c r="AS9" s="461">
        <v>203820</v>
      </c>
      <c r="AT9" s="461">
        <v>88789</v>
      </c>
      <c r="AU9" s="461">
        <v>312204.1474498282</v>
      </c>
      <c r="AV9" s="461">
        <f aca="true" t="shared" si="15" ref="AV9:AV16">AU9-AT9</f>
        <v>223415.14744982822</v>
      </c>
      <c r="AW9" s="461">
        <f aca="true" t="shared" si="16" ref="AW9:AW16">AX9-AY9</f>
        <v>86531</v>
      </c>
      <c r="AX9" s="461">
        <v>335720</v>
      </c>
      <c r="AY9" s="461">
        <v>249189</v>
      </c>
      <c r="AZ9" s="461">
        <f aca="true" t="shared" si="17" ref="AZ9:AZ16">H28</f>
        <v>90126.75353427346</v>
      </c>
      <c r="BA9" s="1011">
        <f aca="true" t="shared" si="18" ref="BA9:BA16">K9</f>
        <v>354111</v>
      </c>
      <c r="BB9" s="461">
        <f aca="true" t="shared" si="19" ref="BB9:BB16">BA9-AZ9</f>
        <v>263984.2464657265</v>
      </c>
      <c r="BC9" s="837">
        <f aca="true" t="shared" si="20" ref="BC9:BC17">BB9/AY9</f>
        <v>1.0593735938011972</v>
      </c>
    </row>
    <row r="10" spans="1:55" ht="12.75" customHeight="1">
      <c r="A10" s="805" t="s">
        <v>13</v>
      </c>
      <c r="B10" s="806">
        <v>3645</v>
      </c>
      <c r="C10" s="1025">
        <v>116.85</v>
      </c>
      <c r="D10" s="806">
        <v>13308</v>
      </c>
      <c r="E10" s="806">
        <f>'příl.4-odhad odpisu09'!L8</f>
        <v>2797</v>
      </c>
      <c r="F10" s="806">
        <f>'příl.4-odhad odpisu09'!K8</f>
        <v>1399</v>
      </c>
      <c r="G10" s="1028">
        <f t="shared" si="0"/>
        <v>7.395428704799693</v>
      </c>
      <c r="H10" s="1028">
        <f t="shared" si="1"/>
        <v>1.4645435933417459</v>
      </c>
      <c r="I10" s="806">
        <f>'str1-3'!H24</f>
        <v>121202</v>
      </c>
      <c r="J10" s="806">
        <f>'str1-3'!K58</f>
        <v>2378</v>
      </c>
      <c r="K10" s="1003">
        <f t="shared" si="2"/>
        <v>123580</v>
      </c>
      <c r="L10" s="462">
        <v>144771</v>
      </c>
      <c r="M10" s="458"/>
      <c r="N10" s="877" t="s">
        <v>160</v>
      </c>
      <c r="O10" s="461">
        <v>99000</v>
      </c>
      <c r="P10" s="840">
        <f>'příl.1-CP'!M7</f>
        <v>99000</v>
      </c>
      <c r="R10" s="829">
        <f t="shared" si="3"/>
        <v>5064.804831738338</v>
      </c>
      <c r="S10" s="806">
        <f t="shared" si="4"/>
        <v>2374.319113545215</v>
      </c>
      <c r="T10" s="806">
        <f t="shared" si="5"/>
        <v>1483.1181017383276</v>
      </c>
      <c r="U10" s="806">
        <f t="shared" si="6"/>
        <v>825.8841972910348</v>
      </c>
      <c r="V10" s="806">
        <f t="shared" si="7"/>
        <v>9748</v>
      </c>
      <c r="W10" s="820">
        <f t="shared" si="8"/>
        <v>111454</v>
      </c>
      <c r="X10" s="461">
        <f t="shared" si="9"/>
        <v>113832</v>
      </c>
      <c r="Y10" s="840">
        <f t="shared" si="10"/>
        <v>135023</v>
      </c>
      <c r="AA10" s="463">
        <v>16620.13216399868</v>
      </c>
      <c r="AB10" s="461">
        <v>11254.824496329738</v>
      </c>
      <c r="AC10" s="461">
        <f t="shared" si="11"/>
        <v>27874.95666032842</v>
      </c>
      <c r="AD10" s="461">
        <v>66471.25428881726</v>
      </c>
      <c r="AE10" s="461">
        <f t="shared" si="12"/>
        <v>38596.29762848884</v>
      </c>
      <c r="AF10" s="461">
        <v>18215.695394173552</v>
      </c>
      <c r="AG10" s="461">
        <v>15672.63979551748</v>
      </c>
      <c r="AH10" s="461">
        <f t="shared" si="13"/>
        <v>33888.33518969103</v>
      </c>
      <c r="AI10" s="461">
        <v>77249.99712111002</v>
      </c>
      <c r="AJ10" s="461">
        <f t="shared" si="14"/>
        <v>43361.66193141899</v>
      </c>
      <c r="AK10" s="461">
        <v>25670.531407292696</v>
      </c>
      <c r="AL10" s="461">
        <v>94599.74642888148</v>
      </c>
      <c r="AM10" s="461">
        <v>62261.322729023435</v>
      </c>
      <c r="AN10" s="461">
        <v>34429</v>
      </c>
      <c r="AO10" s="461">
        <v>105262</v>
      </c>
      <c r="AP10" s="461">
        <v>70833</v>
      </c>
      <c r="AQ10" s="461">
        <v>36740</v>
      </c>
      <c r="AR10" s="461">
        <v>120537</v>
      </c>
      <c r="AS10" s="461">
        <v>83797</v>
      </c>
      <c r="AT10" s="461">
        <v>38572</v>
      </c>
      <c r="AU10" s="461">
        <v>120595.32348249879</v>
      </c>
      <c r="AV10" s="461">
        <f t="shared" si="15"/>
        <v>82023.32348249879</v>
      </c>
      <c r="AW10" s="461">
        <f t="shared" si="16"/>
        <v>37850</v>
      </c>
      <c r="AX10" s="461">
        <v>121988</v>
      </c>
      <c r="AY10" s="461">
        <v>84138</v>
      </c>
      <c r="AZ10" s="461">
        <f t="shared" si="17"/>
        <v>39007.53655605866</v>
      </c>
      <c r="BA10" s="1011">
        <f t="shared" si="18"/>
        <v>123580</v>
      </c>
      <c r="BB10" s="461">
        <f t="shared" si="19"/>
        <v>84572.46344394135</v>
      </c>
      <c r="BC10" s="837">
        <f t="shared" si="20"/>
        <v>1.0051637006339746</v>
      </c>
    </row>
    <row r="11" spans="1:55" ht="12.75" customHeight="1">
      <c r="A11" s="805" t="s">
        <v>14</v>
      </c>
      <c r="B11" s="806">
        <v>4093</v>
      </c>
      <c r="C11" s="1025">
        <v>125.59</v>
      </c>
      <c r="D11" s="806">
        <v>12677</v>
      </c>
      <c r="E11" s="806">
        <f>'příl.4-odhad odpisu09'!L9</f>
        <v>7074</v>
      </c>
      <c r="F11" s="806">
        <f>'příl.4-odhad odpisu09'!K9</f>
        <v>1594</v>
      </c>
      <c r="G11" s="1028">
        <f t="shared" si="0"/>
        <v>7.044773797020267</v>
      </c>
      <c r="H11" s="1028">
        <f t="shared" si="1"/>
        <v>3.704033385520025</v>
      </c>
      <c r="I11" s="806">
        <f>'str1-3'!H25</f>
        <v>141087</v>
      </c>
      <c r="J11" s="806">
        <f>'str1-3'!K59</f>
        <v>9191</v>
      </c>
      <c r="K11" s="1003">
        <f t="shared" si="2"/>
        <v>150278</v>
      </c>
      <c r="L11" s="462">
        <v>197133</v>
      </c>
      <c r="M11" s="458"/>
      <c r="N11" s="877" t="s">
        <v>161</v>
      </c>
      <c r="O11" s="461">
        <v>17164</v>
      </c>
      <c r="P11" s="840">
        <f>'příl.1-CP'!M11</f>
        <v>16143.274666666666</v>
      </c>
      <c r="R11" s="829">
        <f t="shared" si="3"/>
        <v>6896.686290037878</v>
      </c>
      <c r="S11" s="806">
        <f t="shared" si="4"/>
        <v>3233.0829365723025</v>
      </c>
      <c r="T11" s="806">
        <f t="shared" si="5"/>
        <v>2019.5448035171526</v>
      </c>
      <c r="U11" s="806">
        <f t="shared" si="6"/>
        <v>1124.5969805042</v>
      </c>
      <c r="V11" s="806">
        <f t="shared" si="7"/>
        <v>13274</v>
      </c>
      <c r="W11" s="820">
        <f t="shared" si="8"/>
        <v>127813</v>
      </c>
      <c r="X11" s="461">
        <f t="shared" si="9"/>
        <v>137004</v>
      </c>
      <c r="Y11" s="840">
        <f t="shared" si="10"/>
        <v>183859</v>
      </c>
      <c r="AA11" s="463">
        <v>8920.814511917933</v>
      </c>
      <c r="AB11" s="461">
        <v>4806.820542686555</v>
      </c>
      <c r="AC11" s="461">
        <f t="shared" si="11"/>
        <v>13727.635054604489</v>
      </c>
      <c r="AD11" s="461">
        <v>55775.41107024762</v>
      </c>
      <c r="AE11" s="461">
        <f t="shared" si="12"/>
        <v>42047.77601564313</v>
      </c>
      <c r="AF11" s="461">
        <v>10580.122370113882</v>
      </c>
      <c r="AG11" s="461">
        <v>6806.154245980332</v>
      </c>
      <c r="AH11" s="461">
        <f t="shared" si="13"/>
        <v>17386.276616094216</v>
      </c>
      <c r="AI11" s="461">
        <v>56507.99155334817</v>
      </c>
      <c r="AJ11" s="461">
        <f t="shared" si="14"/>
        <v>39121.71493725396</v>
      </c>
      <c r="AK11" s="461">
        <v>13614.929431360433</v>
      </c>
      <c r="AL11" s="461">
        <v>72886.95670118563</v>
      </c>
      <c r="AM11" s="461">
        <v>54134.567655366845</v>
      </c>
      <c r="AN11" s="461">
        <v>28191</v>
      </c>
      <c r="AO11" s="461">
        <v>96439</v>
      </c>
      <c r="AP11" s="461">
        <v>68248</v>
      </c>
      <c r="AQ11" s="461">
        <v>40271</v>
      </c>
      <c r="AR11" s="461">
        <v>123564</v>
      </c>
      <c r="AS11" s="461">
        <v>83293</v>
      </c>
      <c r="AT11" s="461">
        <v>44677</v>
      </c>
      <c r="AU11" s="461">
        <v>139934.9563040681</v>
      </c>
      <c r="AV11" s="461">
        <f t="shared" si="15"/>
        <v>95257.9563040681</v>
      </c>
      <c r="AW11" s="461">
        <f t="shared" si="16"/>
        <v>43028</v>
      </c>
      <c r="AX11" s="461">
        <v>145772</v>
      </c>
      <c r="AY11" s="461">
        <v>102744</v>
      </c>
      <c r="AZ11" s="461">
        <f t="shared" si="17"/>
        <v>43660.400305827185</v>
      </c>
      <c r="BA11" s="1011">
        <f t="shared" si="18"/>
        <v>150278</v>
      </c>
      <c r="BB11" s="461">
        <f t="shared" si="19"/>
        <v>106617.59969417282</v>
      </c>
      <c r="BC11" s="837">
        <f t="shared" si="20"/>
        <v>1.0377014686421866</v>
      </c>
    </row>
    <row r="12" spans="1:55" ht="12.75" customHeight="1">
      <c r="A12" s="805" t="s">
        <v>15</v>
      </c>
      <c r="B12" s="806">
        <v>3311</v>
      </c>
      <c r="C12" s="1025">
        <v>326.63</v>
      </c>
      <c r="D12" s="806">
        <v>53682</v>
      </c>
      <c r="E12" s="806">
        <f>'příl.4-odhad odpisu09'!L10</f>
        <v>91444</v>
      </c>
      <c r="F12" s="806">
        <f>'příl.4-odhad odpisu09'!K10</f>
        <v>18006</v>
      </c>
      <c r="G12" s="1028">
        <f t="shared" si="0"/>
        <v>29.831785672607236</v>
      </c>
      <c r="H12" s="1028">
        <f t="shared" si="1"/>
        <v>47.881202842167546</v>
      </c>
      <c r="I12" s="806">
        <f>'str1-3'!H26</f>
        <v>286106</v>
      </c>
      <c r="J12" s="806">
        <f>'str1-3'!K60</f>
        <v>51176</v>
      </c>
      <c r="K12" s="1003">
        <f t="shared" si="2"/>
        <v>337282</v>
      </c>
      <c r="L12" s="462">
        <v>754089</v>
      </c>
      <c r="M12" s="458"/>
      <c r="N12" s="877" t="s">
        <v>162</v>
      </c>
      <c r="O12" s="461">
        <v>18500</v>
      </c>
      <c r="P12" s="840">
        <f>'příl.1-CP'!M23</f>
        <v>28990</v>
      </c>
      <c r="R12" s="829">
        <f t="shared" si="3"/>
        <v>26381.758851985076</v>
      </c>
      <c r="S12" s="806">
        <f t="shared" si="4"/>
        <v>12367.448770915427</v>
      </c>
      <c r="T12" s="806">
        <f t="shared" si="5"/>
        <v>7725.32514261664</v>
      </c>
      <c r="U12" s="806">
        <f t="shared" si="6"/>
        <v>4301.898781185452</v>
      </c>
      <c r="V12" s="806">
        <f t="shared" si="7"/>
        <v>50776</v>
      </c>
      <c r="W12" s="820">
        <f t="shared" si="8"/>
        <v>235330</v>
      </c>
      <c r="X12" s="461">
        <f t="shared" si="9"/>
        <v>286506</v>
      </c>
      <c r="Y12" s="840">
        <f t="shared" si="10"/>
        <v>703313</v>
      </c>
      <c r="AA12" s="463">
        <v>30124.11003790563</v>
      </c>
      <c r="AB12" s="461">
        <v>41104.42494919906</v>
      </c>
      <c r="AC12" s="461">
        <f t="shared" si="11"/>
        <v>71228.5349871047</v>
      </c>
      <c r="AD12" s="461">
        <v>219282.83560015395</v>
      </c>
      <c r="AE12" s="461">
        <f t="shared" si="12"/>
        <v>148054.30061304924</v>
      </c>
      <c r="AF12" s="461">
        <v>34814.67684000304</v>
      </c>
      <c r="AG12" s="461">
        <v>33908.17785771076</v>
      </c>
      <c r="AH12" s="461">
        <f t="shared" si="13"/>
        <v>68722.8546977138</v>
      </c>
      <c r="AI12" s="461">
        <v>230417.99504949283</v>
      </c>
      <c r="AJ12" s="461">
        <f t="shared" si="14"/>
        <v>161695.14035177903</v>
      </c>
      <c r="AK12" s="461">
        <v>57223.98915803962</v>
      </c>
      <c r="AL12" s="461">
        <v>246618.74843878503</v>
      </c>
      <c r="AM12" s="461">
        <v>172011.76076337264</v>
      </c>
      <c r="AN12" s="461">
        <v>83198</v>
      </c>
      <c r="AO12" s="461">
        <v>258544</v>
      </c>
      <c r="AP12" s="461">
        <v>175346</v>
      </c>
      <c r="AQ12" s="461">
        <v>102801</v>
      </c>
      <c r="AR12" s="461">
        <v>299885</v>
      </c>
      <c r="AS12" s="461">
        <v>197084</v>
      </c>
      <c r="AT12" s="461">
        <v>109883</v>
      </c>
      <c r="AU12" s="461">
        <v>308859.0899060897</v>
      </c>
      <c r="AV12" s="461">
        <f t="shared" si="15"/>
        <v>198976.0899060897</v>
      </c>
      <c r="AW12" s="461">
        <f t="shared" si="16"/>
        <v>123077</v>
      </c>
      <c r="AX12" s="461">
        <v>323518</v>
      </c>
      <c r="AY12" s="461">
        <v>200441</v>
      </c>
      <c r="AZ12" s="461">
        <f t="shared" si="17"/>
        <v>132648.451387254</v>
      </c>
      <c r="BA12" s="1011">
        <f t="shared" si="18"/>
        <v>337282</v>
      </c>
      <c r="BB12" s="461">
        <f t="shared" si="19"/>
        <v>204633.548612746</v>
      </c>
      <c r="BC12" s="837">
        <f t="shared" si="20"/>
        <v>1.020916621912413</v>
      </c>
    </row>
    <row r="13" spans="1:55" ht="12.75" customHeight="1">
      <c r="A13" s="805" t="s">
        <v>16</v>
      </c>
      <c r="B13" s="806">
        <v>2288</v>
      </c>
      <c r="C13" s="1025">
        <v>88.32</v>
      </c>
      <c r="D13" s="806">
        <v>8528</v>
      </c>
      <c r="E13" s="806">
        <f>'příl.4-odhad odpisu09'!L11</f>
        <v>15600</v>
      </c>
      <c r="F13" s="806">
        <f>'příl.4-odhad odpisu09'!K11</f>
        <v>1159</v>
      </c>
      <c r="G13" s="1028">
        <f t="shared" si="0"/>
        <v>4.739120528594213</v>
      </c>
      <c r="H13" s="1028">
        <f t="shared" si="1"/>
        <v>8.168351825574272</v>
      </c>
      <c r="I13" s="806">
        <f>'str1-3'!H27</f>
        <v>121201</v>
      </c>
      <c r="J13" s="806">
        <f>'str1-3'!K61</f>
        <v>7320</v>
      </c>
      <c r="K13" s="1003">
        <f t="shared" si="2"/>
        <v>128521</v>
      </c>
      <c r="L13" s="462">
        <v>218024</v>
      </c>
      <c r="M13" s="458"/>
      <c r="N13" s="877" t="s">
        <v>163</v>
      </c>
      <c r="O13" s="461">
        <v>16000</v>
      </c>
      <c r="P13" s="840">
        <f>'příl.1-CP'!M75</f>
        <v>16000</v>
      </c>
      <c r="R13" s="829">
        <f t="shared" si="3"/>
        <v>7627.556683554852</v>
      </c>
      <c r="S13" s="806">
        <f t="shared" si="4"/>
        <v>3575.7061180179867</v>
      </c>
      <c r="T13" s="806">
        <f t="shared" si="5"/>
        <v>2233.564325820759</v>
      </c>
      <c r="U13" s="806">
        <f t="shared" si="6"/>
        <v>1243.7751775575257</v>
      </c>
      <c r="V13" s="806">
        <f t="shared" si="7"/>
        <v>14681</v>
      </c>
      <c r="W13" s="820">
        <f t="shared" si="8"/>
        <v>106520</v>
      </c>
      <c r="X13" s="461">
        <f t="shared" si="9"/>
        <v>113840</v>
      </c>
      <c r="Y13" s="840">
        <f t="shared" si="10"/>
        <v>203343</v>
      </c>
      <c r="AA13" s="463">
        <v>10398.097679203709</v>
      </c>
      <c r="AB13" s="461">
        <v>12418.427781475253</v>
      </c>
      <c r="AC13" s="461">
        <f t="shared" si="11"/>
        <v>22816.52546067896</v>
      </c>
      <c r="AD13" s="461">
        <v>62247.372315865934</v>
      </c>
      <c r="AE13" s="461">
        <f t="shared" si="12"/>
        <v>39430.846855186974</v>
      </c>
      <c r="AF13" s="461">
        <v>11785.076922076427</v>
      </c>
      <c r="AG13" s="461">
        <v>10852.261415793084</v>
      </c>
      <c r="AH13" s="461">
        <f t="shared" si="13"/>
        <v>22637.33833786951</v>
      </c>
      <c r="AI13" s="461">
        <v>76803.76011384015</v>
      </c>
      <c r="AJ13" s="461">
        <f t="shared" si="14"/>
        <v>54166.42177597064</v>
      </c>
      <c r="AK13" s="461">
        <v>19074.859596729344</v>
      </c>
      <c r="AL13" s="461">
        <v>92308.776775473</v>
      </c>
      <c r="AM13" s="461">
        <v>66727.50458851503</v>
      </c>
      <c r="AN13" s="461">
        <v>28373.755994622974</v>
      </c>
      <c r="AO13" s="461">
        <v>97788.75599462297</v>
      </c>
      <c r="AP13" s="461">
        <v>69415</v>
      </c>
      <c r="AQ13" s="461">
        <v>29437</v>
      </c>
      <c r="AR13" s="461">
        <v>114888</v>
      </c>
      <c r="AS13" s="461">
        <v>85451</v>
      </c>
      <c r="AT13" s="461">
        <v>30989</v>
      </c>
      <c r="AU13" s="461">
        <v>113338.41442572129</v>
      </c>
      <c r="AV13" s="461">
        <f t="shared" si="15"/>
        <v>82349.41442572129</v>
      </c>
      <c r="AW13" s="461">
        <f t="shared" si="16"/>
        <v>33018</v>
      </c>
      <c r="AX13" s="461">
        <v>126020</v>
      </c>
      <c r="AY13" s="461">
        <v>93002</v>
      </c>
      <c r="AZ13" s="461">
        <f t="shared" si="17"/>
        <v>34474.390671332796</v>
      </c>
      <c r="BA13" s="1011">
        <f t="shared" si="18"/>
        <v>128521</v>
      </c>
      <c r="BB13" s="461">
        <f t="shared" si="19"/>
        <v>94046.6093286672</v>
      </c>
      <c r="BC13" s="837">
        <f t="shared" si="20"/>
        <v>1.011232116821866</v>
      </c>
    </row>
    <row r="14" spans="1:55" ht="12.75" customHeight="1">
      <c r="A14" s="805" t="s">
        <v>17</v>
      </c>
      <c r="B14" s="806">
        <v>6498</v>
      </c>
      <c r="C14" s="1025">
        <v>276.97</v>
      </c>
      <c r="D14" s="806">
        <v>17389</v>
      </c>
      <c r="E14" s="806">
        <f>'příl.4-odhad odpisu09'!L12</f>
        <v>8887</v>
      </c>
      <c r="F14" s="806">
        <f>'příl.4-odhad odpisu09'!K12</f>
        <v>1568</v>
      </c>
      <c r="G14" s="1028">
        <f t="shared" si="0"/>
        <v>9.663293488710691</v>
      </c>
      <c r="H14" s="1028">
        <f t="shared" si="1"/>
        <v>4.653342479094779</v>
      </c>
      <c r="I14" s="806">
        <f>'str1-3'!H28</f>
        <v>273276</v>
      </c>
      <c r="J14" s="806">
        <f>'str1-3'!K62</f>
        <v>5544</v>
      </c>
      <c r="K14" s="1003">
        <f t="shared" si="2"/>
        <v>278820</v>
      </c>
      <c r="L14" s="462">
        <v>284724</v>
      </c>
      <c r="M14" s="458"/>
      <c r="N14" s="877" t="s">
        <v>64</v>
      </c>
      <c r="O14" s="461">
        <v>16000</v>
      </c>
      <c r="P14" s="840">
        <f>'příl.1-CP'!M135</f>
        <v>16000</v>
      </c>
      <c r="R14" s="829">
        <f t="shared" si="3"/>
        <v>9961.05221979448</v>
      </c>
      <c r="S14" s="806">
        <f t="shared" si="4"/>
        <v>4669.620540612746</v>
      </c>
      <c r="T14" s="806">
        <f t="shared" si="5"/>
        <v>2916.8778166852726</v>
      </c>
      <c r="U14" s="806">
        <f t="shared" si="6"/>
        <v>1624.2828480116364</v>
      </c>
      <c r="V14" s="806">
        <f t="shared" si="7"/>
        <v>19172</v>
      </c>
      <c r="W14" s="820">
        <f t="shared" si="8"/>
        <v>254104</v>
      </c>
      <c r="X14" s="461">
        <f t="shared" si="9"/>
        <v>259648</v>
      </c>
      <c r="Y14" s="840">
        <f t="shared" si="10"/>
        <v>265552</v>
      </c>
      <c r="AA14" s="463">
        <v>26136.84836162955</v>
      </c>
      <c r="AB14" s="461">
        <v>15455.846521744312</v>
      </c>
      <c r="AC14" s="461">
        <f t="shared" si="11"/>
        <v>41592.69488337386</v>
      </c>
      <c r="AD14" s="461">
        <v>123954.6850479735</v>
      </c>
      <c r="AE14" s="461">
        <f t="shared" si="12"/>
        <v>82361.99016459964</v>
      </c>
      <c r="AF14" s="461">
        <v>28165.321183047992</v>
      </c>
      <c r="AG14" s="461">
        <v>21760.06946853046</v>
      </c>
      <c r="AH14" s="461">
        <f t="shared" si="13"/>
        <v>49925.39065157845</v>
      </c>
      <c r="AI14" s="461">
        <v>135360.91399379508</v>
      </c>
      <c r="AJ14" s="461">
        <f t="shared" si="14"/>
        <v>85435.52334221663</v>
      </c>
      <c r="AK14" s="461">
        <v>40507.62533677509</v>
      </c>
      <c r="AL14" s="461">
        <v>179579.69795653987</v>
      </c>
      <c r="AM14" s="461">
        <v>126414.34224407267</v>
      </c>
      <c r="AN14" s="461">
        <v>62066</v>
      </c>
      <c r="AO14" s="461">
        <v>208613</v>
      </c>
      <c r="AP14" s="461">
        <v>146547</v>
      </c>
      <c r="AQ14" s="461">
        <v>62675</v>
      </c>
      <c r="AR14" s="461">
        <v>224996</v>
      </c>
      <c r="AS14" s="461">
        <v>162321</v>
      </c>
      <c r="AT14" s="461">
        <v>69308</v>
      </c>
      <c r="AU14" s="461">
        <v>247364.11479303328</v>
      </c>
      <c r="AV14" s="461">
        <f t="shared" si="15"/>
        <v>178056.11479303328</v>
      </c>
      <c r="AW14" s="461">
        <f t="shared" si="16"/>
        <v>68002</v>
      </c>
      <c r="AX14" s="461">
        <v>267756</v>
      </c>
      <c r="AY14" s="461">
        <v>199754</v>
      </c>
      <c r="AZ14" s="461">
        <f t="shared" si="17"/>
        <v>71608.99724704554</v>
      </c>
      <c r="BA14" s="1011">
        <f t="shared" si="18"/>
        <v>278820</v>
      </c>
      <c r="BB14" s="461">
        <f t="shared" si="19"/>
        <v>207211.00275295446</v>
      </c>
      <c r="BC14" s="837">
        <f t="shared" si="20"/>
        <v>1.037330930809668</v>
      </c>
    </row>
    <row r="15" spans="1:55" ht="12.75" customHeight="1">
      <c r="A15" s="805" t="s">
        <v>18</v>
      </c>
      <c r="B15" s="806">
        <v>1235</v>
      </c>
      <c r="C15" s="1025">
        <v>91.16</v>
      </c>
      <c r="D15" s="806">
        <v>7017</v>
      </c>
      <c r="E15" s="806">
        <f>'příl.4-odhad odpisu09'!L13</f>
        <v>2553</v>
      </c>
      <c r="F15" s="806">
        <f>'příl.4-odhad odpisu09'!K13</f>
        <v>1913</v>
      </c>
      <c r="G15" s="1028">
        <f t="shared" si="0"/>
        <v>3.8994381741493425</v>
      </c>
      <c r="H15" s="1028">
        <f t="shared" si="1"/>
        <v>1.3367821929930201</v>
      </c>
      <c r="I15" s="806">
        <f>'str1-3'!H29</f>
        <v>62444</v>
      </c>
      <c r="J15" s="806">
        <f>'str1-3'!K63</f>
        <v>254</v>
      </c>
      <c r="K15" s="1003">
        <f t="shared" si="2"/>
        <v>62698</v>
      </c>
      <c r="L15" s="462">
        <v>88974</v>
      </c>
      <c r="M15" s="458"/>
      <c r="N15" s="877" t="s">
        <v>164</v>
      </c>
      <c r="O15" s="461">
        <v>227354</v>
      </c>
      <c r="P15" s="840">
        <f>'příl.1-CP'!M150</f>
        <v>236550.1362</v>
      </c>
      <c r="R15" s="829">
        <f t="shared" si="3"/>
        <v>3112.750102569485</v>
      </c>
      <c r="S15" s="806">
        <f t="shared" si="4"/>
        <v>1459.219517780301</v>
      </c>
      <c r="T15" s="806">
        <f t="shared" si="5"/>
        <v>911.5012674089835</v>
      </c>
      <c r="U15" s="806">
        <f t="shared" si="6"/>
        <v>507.5755542876165</v>
      </c>
      <c r="V15" s="806">
        <f t="shared" si="7"/>
        <v>5991</v>
      </c>
      <c r="W15" s="820">
        <f t="shared" si="8"/>
        <v>56453</v>
      </c>
      <c r="X15" s="461">
        <f t="shared" si="9"/>
        <v>56707</v>
      </c>
      <c r="Y15" s="840">
        <f t="shared" si="10"/>
        <v>82983</v>
      </c>
      <c r="AA15" s="463">
        <v>3664.245052779</v>
      </c>
      <c r="AB15" s="461">
        <v>891.5786669425036</v>
      </c>
      <c r="AC15" s="461">
        <f t="shared" si="11"/>
        <v>4555.823719721504</v>
      </c>
      <c r="AD15" s="461">
        <v>29269.344102107836</v>
      </c>
      <c r="AE15" s="461">
        <f t="shared" si="12"/>
        <v>24713.520382386334</v>
      </c>
      <c r="AF15" s="461">
        <v>5855.02509704023</v>
      </c>
      <c r="AG15" s="461">
        <v>3651.638663778179</v>
      </c>
      <c r="AH15" s="461">
        <f t="shared" si="13"/>
        <v>9506.66376081841</v>
      </c>
      <c r="AI15" s="461">
        <v>39178.775500394026</v>
      </c>
      <c r="AJ15" s="461">
        <f t="shared" si="14"/>
        <v>29672.111739575616</v>
      </c>
      <c r="AK15" s="461">
        <v>9027.558068386312</v>
      </c>
      <c r="AL15" s="461">
        <v>56952.21840907884</v>
      </c>
      <c r="AM15" s="461">
        <v>43910.365667504535</v>
      </c>
      <c r="AN15" s="461">
        <v>21417</v>
      </c>
      <c r="AO15" s="461">
        <v>66563</v>
      </c>
      <c r="AP15" s="461">
        <v>45146</v>
      </c>
      <c r="AQ15" s="461">
        <v>17190</v>
      </c>
      <c r="AR15" s="461">
        <v>58492</v>
      </c>
      <c r="AS15" s="461">
        <v>41302</v>
      </c>
      <c r="AT15" s="461">
        <v>18295</v>
      </c>
      <c r="AU15" s="461">
        <v>58679.72386757594</v>
      </c>
      <c r="AV15" s="461">
        <f t="shared" si="15"/>
        <v>40384.72386757594</v>
      </c>
      <c r="AW15" s="461">
        <f t="shared" si="16"/>
        <v>19884</v>
      </c>
      <c r="AX15" s="461">
        <v>58782</v>
      </c>
      <c r="AY15" s="461">
        <v>38898</v>
      </c>
      <c r="AZ15" s="461">
        <f t="shared" si="17"/>
        <v>22494.752585086026</v>
      </c>
      <c r="BA15" s="1011">
        <f t="shared" si="18"/>
        <v>62698</v>
      </c>
      <c r="BB15" s="461">
        <f t="shared" si="19"/>
        <v>40203.247414913974</v>
      </c>
      <c r="BC15" s="837">
        <f t="shared" si="20"/>
        <v>1.033555643347061</v>
      </c>
    </row>
    <row r="16" spans="1:55" ht="12.75" customHeight="1" thickBot="1">
      <c r="A16" s="860" t="s">
        <v>19</v>
      </c>
      <c r="B16" s="833">
        <v>4292</v>
      </c>
      <c r="C16" s="1026">
        <v>134.45</v>
      </c>
      <c r="D16" s="833">
        <v>10361</v>
      </c>
      <c r="E16" s="833">
        <f>'příl.4-odhad odpisu09'!L14</f>
        <v>6971</v>
      </c>
      <c r="F16" s="833">
        <f>'příl.4-odhad odpisu09'!K14</f>
        <v>2371</v>
      </c>
      <c r="G16" s="1029">
        <f t="shared" si="0"/>
        <v>5.75774247147803</v>
      </c>
      <c r="H16" s="1029">
        <f t="shared" si="1"/>
        <v>3.6501013189793747</v>
      </c>
      <c r="I16" s="833">
        <f>'str1-3'!H30</f>
        <v>146016</v>
      </c>
      <c r="J16" s="833">
        <f>'str1-3'!K64</f>
        <v>5213</v>
      </c>
      <c r="K16" s="1004">
        <f t="shared" si="2"/>
        <v>151229</v>
      </c>
      <c r="L16" s="866">
        <v>164528</v>
      </c>
      <c r="M16" s="458"/>
      <c r="N16" s="878"/>
      <c r="O16" s="865"/>
      <c r="P16" s="884"/>
      <c r="R16" s="1006">
        <f t="shared" si="3"/>
        <v>5756.00230264518</v>
      </c>
      <c r="S16" s="905">
        <f t="shared" si="4"/>
        <v>2698.3441097551795</v>
      </c>
      <c r="T16" s="905">
        <f t="shared" si="5"/>
        <v>1685.5202702392298</v>
      </c>
      <c r="U16" s="905">
        <f t="shared" si="6"/>
        <v>938.593193470373</v>
      </c>
      <c r="V16" s="833">
        <f t="shared" si="7"/>
        <v>11078</v>
      </c>
      <c r="W16" s="1018">
        <f t="shared" si="8"/>
        <v>134938</v>
      </c>
      <c r="X16" s="460">
        <f t="shared" si="9"/>
        <v>140151</v>
      </c>
      <c r="Y16" s="842">
        <f t="shared" si="10"/>
        <v>153450</v>
      </c>
      <c r="AA16" s="465">
        <v>16059.298376074785</v>
      </c>
      <c r="AB16" s="456">
        <v>13081.27947079331</v>
      </c>
      <c r="AC16" s="456">
        <f t="shared" si="11"/>
        <v>29140.577846868095</v>
      </c>
      <c r="AD16" s="456">
        <v>71559.79205514488</v>
      </c>
      <c r="AE16" s="456">
        <f t="shared" si="12"/>
        <v>42419.21420827678</v>
      </c>
      <c r="AF16" s="456">
        <v>18680.20258680406</v>
      </c>
      <c r="AG16" s="456">
        <v>15580.553478137634</v>
      </c>
      <c r="AH16" s="456">
        <f t="shared" si="13"/>
        <v>34260.75606494169</v>
      </c>
      <c r="AI16" s="456">
        <v>85707.11346677151</v>
      </c>
      <c r="AJ16" s="456">
        <f t="shared" si="14"/>
        <v>51446.35740182982</v>
      </c>
      <c r="AK16" s="456">
        <v>26326.89875056012</v>
      </c>
      <c r="AL16" s="456">
        <v>103325.99168960557</v>
      </c>
      <c r="AM16" s="456">
        <v>69716.12855893746</v>
      </c>
      <c r="AN16" s="460">
        <v>36569</v>
      </c>
      <c r="AO16" s="460">
        <v>114970</v>
      </c>
      <c r="AP16" s="456">
        <v>78401</v>
      </c>
      <c r="AQ16" s="460">
        <v>37169</v>
      </c>
      <c r="AR16" s="460">
        <v>125809</v>
      </c>
      <c r="AS16" s="456">
        <v>88640</v>
      </c>
      <c r="AT16" s="460">
        <v>39746</v>
      </c>
      <c r="AU16" s="460">
        <v>130044.25733253288</v>
      </c>
      <c r="AV16" s="460">
        <f t="shared" si="15"/>
        <v>90298.25733253288</v>
      </c>
      <c r="AW16" s="460">
        <f t="shared" si="16"/>
        <v>39823</v>
      </c>
      <c r="AX16" s="460">
        <v>142964</v>
      </c>
      <c r="AY16" s="460">
        <v>103141</v>
      </c>
      <c r="AZ16" s="460">
        <f t="shared" si="17"/>
        <v>40600.14686826848</v>
      </c>
      <c r="BA16" s="1012">
        <f t="shared" si="18"/>
        <v>151229</v>
      </c>
      <c r="BB16" s="460">
        <f t="shared" si="19"/>
        <v>110628.85313173152</v>
      </c>
      <c r="BC16" s="837">
        <f t="shared" si="20"/>
        <v>1.0725982211897453</v>
      </c>
    </row>
    <row r="17" spans="1:55" ht="12.75" customHeight="1" thickBot="1">
      <c r="A17" s="858" t="s">
        <v>155</v>
      </c>
      <c r="B17" s="823">
        <f aca="true" t="shared" si="21" ref="B17:L17">SUM(B8:B16)</f>
        <v>37763</v>
      </c>
      <c r="C17" s="859">
        <f t="shared" si="21"/>
        <v>1858.19</v>
      </c>
      <c r="D17" s="823">
        <f t="shared" si="21"/>
        <v>179949</v>
      </c>
      <c r="E17" s="823">
        <f t="shared" si="21"/>
        <v>190981</v>
      </c>
      <c r="F17" s="823">
        <f t="shared" si="21"/>
        <v>46410</v>
      </c>
      <c r="G17" s="859">
        <f t="shared" si="21"/>
        <v>100</v>
      </c>
      <c r="H17" s="859">
        <f t="shared" si="21"/>
        <v>100</v>
      </c>
      <c r="I17" s="823">
        <f t="shared" si="21"/>
        <v>1856937</v>
      </c>
      <c r="J17" s="823">
        <f t="shared" si="21"/>
        <v>123764</v>
      </c>
      <c r="K17" s="824">
        <f t="shared" si="21"/>
        <v>1980701</v>
      </c>
      <c r="L17" s="1043">
        <f t="shared" si="21"/>
        <v>2829789</v>
      </c>
      <c r="M17" s="458"/>
      <c r="N17" s="879"/>
      <c r="O17" s="889">
        <f>SUM(O8:O16)</f>
        <v>561611</v>
      </c>
      <c r="P17" s="885">
        <f>SUM(P8:P16)</f>
        <v>585729.4108666667</v>
      </c>
      <c r="R17" s="822">
        <v>99000</v>
      </c>
      <c r="S17" s="823">
        <f>P9</f>
        <v>46410</v>
      </c>
      <c r="T17" s="823">
        <f>P12</f>
        <v>28990</v>
      </c>
      <c r="U17" s="824">
        <f>P11</f>
        <v>16143.274666666666</v>
      </c>
      <c r="V17" s="824">
        <f>SUM(V8:V16)</f>
        <v>190543</v>
      </c>
      <c r="W17" s="824">
        <f>SUM(W8:W16)</f>
        <v>1666394</v>
      </c>
      <c r="X17" s="823">
        <f>SUM(X8:X16)</f>
        <v>1790158</v>
      </c>
      <c r="Y17" s="863">
        <f>SUM(Y8:Y16)</f>
        <v>2639246</v>
      </c>
      <c r="AA17" s="838">
        <f>SUM(AA8:AA16)</f>
        <v>166774.15155926286</v>
      </c>
      <c r="AB17" s="839">
        <f aca="true" t="shared" si="22" ref="AB17:AI17">SUM(AB8:AB16)</f>
        <v>138978.45963271905</v>
      </c>
      <c r="AC17" s="839">
        <f t="shared" si="22"/>
        <v>305752.6111919819</v>
      </c>
      <c r="AD17" s="839">
        <f t="shared" si="22"/>
        <v>926523.0642181269</v>
      </c>
      <c r="AE17" s="839">
        <f t="shared" si="12"/>
        <v>620770.453026145</v>
      </c>
      <c r="AF17" s="839">
        <f t="shared" si="22"/>
        <v>190491.2999999999</v>
      </c>
      <c r="AG17" s="839">
        <f t="shared" si="22"/>
        <v>158742.74999999994</v>
      </c>
      <c r="AH17" s="839">
        <f t="shared" si="22"/>
        <v>349234.04999999993</v>
      </c>
      <c r="AI17" s="839">
        <f t="shared" si="22"/>
        <v>1058284.9999999998</v>
      </c>
      <c r="AJ17" s="839">
        <f t="shared" si="14"/>
        <v>709050.9499999998</v>
      </c>
      <c r="AK17" s="839">
        <v>279893.67</v>
      </c>
      <c r="AL17" s="839">
        <v>1309209</v>
      </c>
      <c r="AM17" s="839">
        <v>937034.6384040066</v>
      </c>
      <c r="AN17" s="839">
        <f>SUM(AN8:AN16)</f>
        <v>448943.75599462294</v>
      </c>
      <c r="AO17" s="839">
        <f>SUM(AO8:AO16)</f>
        <v>1479001.755994623</v>
      </c>
      <c r="AP17" s="839">
        <f>SUM(AP8:AP16)</f>
        <v>1030058</v>
      </c>
      <c r="AQ17" s="839">
        <v>497794</v>
      </c>
      <c r="AR17" s="839">
        <v>1683608</v>
      </c>
      <c r="AS17" s="839">
        <v>1185814</v>
      </c>
      <c r="AT17" s="839">
        <f aca="true" t="shared" si="23" ref="AT17:BB17">SUM(AT8:AT16)</f>
        <v>543277</v>
      </c>
      <c r="AU17" s="839">
        <f t="shared" si="23"/>
        <v>1804816.000000001</v>
      </c>
      <c r="AV17" s="1013">
        <f t="shared" si="23"/>
        <v>1261539.000000001</v>
      </c>
      <c r="AW17" s="1014">
        <f>SUM(AW8:AW16)</f>
        <v>561611</v>
      </c>
      <c r="AX17" s="839">
        <f>SUM(AX8:AX16)</f>
        <v>1908149</v>
      </c>
      <c r="AY17" s="839">
        <f>SUM(AY8:AY16)</f>
        <v>1346538</v>
      </c>
      <c r="AZ17" s="839">
        <f t="shared" si="23"/>
        <v>585729.4108666667</v>
      </c>
      <c r="BA17" s="1014">
        <f t="shared" si="23"/>
        <v>1980701</v>
      </c>
      <c r="BB17" s="839">
        <f t="shared" si="23"/>
        <v>1394971.5891333332</v>
      </c>
      <c r="BC17" s="837">
        <f t="shared" si="20"/>
        <v>1.0359689731246597</v>
      </c>
    </row>
    <row r="18" spans="1:55" ht="12.75" customHeight="1" thickBot="1">
      <c r="A18" s="801" t="s">
        <v>142</v>
      </c>
      <c r="B18" s="802"/>
      <c r="C18" s="861"/>
      <c r="D18" s="802"/>
      <c r="E18" s="802">
        <f>'příl.4-odhad odpisu09'!L27</f>
        <v>131108.27466666666</v>
      </c>
      <c r="F18" s="802">
        <f>'příl.4-odhad odpisu09'!K27</f>
        <v>23270.274666666668</v>
      </c>
      <c r="G18" s="802"/>
      <c r="H18" s="802"/>
      <c r="I18" s="802"/>
      <c r="J18" s="802"/>
      <c r="K18" s="1005"/>
      <c r="L18" s="821"/>
      <c r="M18" s="459"/>
      <c r="N18" s="880" t="s">
        <v>165</v>
      </c>
      <c r="O18" s="890">
        <v>183265</v>
      </c>
      <c r="P18" s="886">
        <f>V17</f>
        <v>190543</v>
      </c>
      <c r="R18" s="835"/>
      <c r="S18" s="834"/>
      <c r="T18" s="803"/>
      <c r="U18" s="825"/>
      <c r="V18" s="825"/>
      <c r="W18" s="1019"/>
      <c r="X18" s="798"/>
      <c r="Y18" s="1021"/>
      <c r="AA18" s="465"/>
      <c r="AB18" s="456"/>
      <c r="AC18" s="456"/>
      <c r="AD18" s="456"/>
      <c r="AE18" s="456"/>
      <c r="AF18" s="456"/>
      <c r="AG18" s="456"/>
      <c r="AH18" s="456"/>
      <c r="AI18" s="466"/>
      <c r="AJ18" s="466"/>
      <c r="AK18" s="456"/>
      <c r="AL18" s="466"/>
      <c r="AM18" s="466"/>
      <c r="AN18" s="456"/>
      <c r="AO18" s="466"/>
      <c r="AP18" s="466"/>
      <c r="AQ18" s="456"/>
      <c r="AR18" s="466"/>
      <c r="AS18" s="466"/>
      <c r="AT18" s="456"/>
      <c r="AU18" s="466"/>
      <c r="AV18" s="467"/>
      <c r="AW18" s="456"/>
      <c r="AX18" s="1015"/>
      <c r="AY18" s="466"/>
      <c r="AZ18" s="456"/>
      <c r="BA18" s="1015"/>
      <c r="BB18" s="466"/>
      <c r="BC18" s="837"/>
    </row>
    <row r="19" spans="1:55" ht="12.75" customHeight="1" thickBot="1">
      <c r="A19" s="822" t="s">
        <v>158</v>
      </c>
      <c r="B19" s="823"/>
      <c r="C19" s="823"/>
      <c r="D19" s="823"/>
      <c r="E19" s="823">
        <f>SUM(E17:E18)</f>
        <v>322089.27466666664</v>
      </c>
      <c r="F19" s="823">
        <f>SUM(F17:F18)</f>
        <v>69680.27466666666</v>
      </c>
      <c r="G19" s="823"/>
      <c r="H19" s="823"/>
      <c r="I19" s="823">
        <f>SUM(I17:I18)</f>
        <v>1856937</v>
      </c>
      <c r="J19" s="823">
        <f>SUM(J17:J18)</f>
        <v>123764</v>
      </c>
      <c r="K19" s="824">
        <f>SUM(K17:K18)</f>
        <v>1980701</v>
      </c>
      <c r="L19" s="804"/>
      <c r="M19" s="458"/>
      <c r="N19" s="879" t="s">
        <v>166</v>
      </c>
      <c r="O19" s="889">
        <v>378346</v>
      </c>
      <c r="P19" s="887">
        <f>P17-P18</f>
        <v>395186.4108666667</v>
      </c>
      <c r="R19" s="826">
        <f>SUM(R8:R16)</f>
        <v>99000</v>
      </c>
      <c r="S19" s="827">
        <f>SUM(S8:S16)</f>
        <v>46410</v>
      </c>
      <c r="T19" s="827">
        <f>SUM(T8:T16)</f>
        <v>28990.000000000004</v>
      </c>
      <c r="U19" s="827">
        <f>SUM(U8:U16)</f>
        <v>16143.274666666664</v>
      </c>
      <c r="V19" s="828"/>
      <c r="W19" s="828">
        <f>W17</f>
        <v>1666394</v>
      </c>
      <c r="X19" s="827"/>
      <c r="Y19" s="1022"/>
      <c r="AA19" s="838"/>
      <c r="AB19" s="839"/>
      <c r="AC19" s="839"/>
      <c r="AD19" s="839"/>
      <c r="AE19" s="839">
        <f>AD17-AC17</f>
        <v>620770.453026145</v>
      </c>
      <c r="AF19" s="839"/>
      <c r="AG19" s="839"/>
      <c r="AH19" s="839"/>
      <c r="AI19" s="839"/>
      <c r="AJ19" s="839">
        <f>AI17-AH17</f>
        <v>709050.9499999998</v>
      </c>
      <c r="AK19" s="839"/>
      <c r="AL19" s="839"/>
      <c r="AM19" s="839">
        <f>AL17-AK17</f>
        <v>1029315.3300000001</v>
      </c>
      <c r="AN19" s="839"/>
      <c r="AO19" s="839"/>
      <c r="AP19" s="839"/>
      <c r="AQ19" s="839"/>
      <c r="AR19" s="839"/>
      <c r="AS19" s="839">
        <v>1185814</v>
      </c>
      <c r="AT19" s="839"/>
      <c r="AU19" s="839"/>
      <c r="AV19" s="1013">
        <f>AU17-AT17</f>
        <v>1261539.000000001</v>
      </c>
      <c r="AW19" s="839"/>
      <c r="AX19" s="1014"/>
      <c r="AY19" s="839">
        <f>AX17-AW17</f>
        <v>1346538</v>
      </c>
      <c r="AZ19" s="839"/>
      <c r="BA19" s="1014"/>
      <c r="BB19" s="839">
        <f>BA17-AZ17</f>
        <v>1394971.5891333334</v>
      </c>
      <c r="BC19" s="837">
        <f>SUM(BC8:BC16)/9</f>
        <v>1.034040936323631</v>
      </c>
    </row>
    <row r="20" spans="1:25" ht="11.25">
      <c r="A20" s="1265" t="s">
        <v>519</v>
      </c>
      <c r="B20" s="911"/>
      <c r="C20" s="912"/>
      <c r="D20" s="911"/>
      <c r="E20" s="913"/>
      <c r="F20" s="911"/>
      <c r="G20" s="912"/>
      <c r="H20" s="391"/>
      <c r="I20" s="914"/>
      <c r="J20" s="915"/>
      <c r="K20" s="911"/>
      <c r="L20" s="911"/>
      <c r="M20" s="459"/>
      <c r="N20" s="467"/>
      <c r="O20" s="459"/>
      <c r="P20" s="467"/>
      <c r="Q20" s="467"/>
      <c r="W20" s="468"/>
      <c r="X20" s="468"/>
      <c r="Y20" s="468"/>
    </row>
    <row r="21" spans="1:26" ht="11.25">
      <c r="A21" s="910"/>
      <c r="B21" s="391"/>
      <c r="C21" s="916"/>
      <c r="D21" s="914"/>
      <c r="E21" s="917"/>
      <c r="F21" s="391"/>
      <c r="G21" s="391"/>
      <c r="H21" s="915"/>
      <c r="I21" s="915"/>
      <c r="J21" s="911"/>
      <c r="K21" s="915"/>
      <c r="L21" s="915"/>
      <c r="M21" s="467"/>
      <c r="N21" s="459"/>
      <c r="O21" s="459"/>
      <c r="P21" s="1052">
        <f>P19/W19</f>
        <v>0.23715064436541822</v>
      </c>
      <c r="Q21" s="459"/>
      <c r="R21" s="467"/>
      <c r="S21" s="453"/>
      <c r="T21" s="453"/>
      <c r="U21" s="453"/>
      <c r="V21" s="453"/>
      <c r="W21" s="453"/>
      <c r="X21" s="453"/>
      <c r="Y21" s="453"/>
      <c r="Z21" s="453"/>
    </row>
    <row r="22" spans="7:17" ht="11.25">
      <c r="G22" s="471"/>
      <c r="H22" s="471"/>
      <c r="I22" s="471"/>
      <c r="J22" s="471"/>
      <c r="P22" s="1053">
        <f>P19/Y17</f>
        <v>0.14973458740362464</v>
      </c>
      <c r="Q22" s="468"/>
    </row>
    <row r="23" spans="1:26" ht="12" thickBot="1">
      <c r="A23" s="799"/>
      <c r="B23" s="799"/>
      <c r="C23" s="921">
        <f>P22</f>
        <v>0.14973458740362464</v>
      </c>
      <c r="D23" s="799"/>
      <c r="E23" s="799"/>
      <c r="F23" s="799"/>
      <c r="G23" s="799"/>
      <c r="H23" s="800"/>
      <c r="I23" s="1030" t="s">
        <v>388</v>
      </c>
      <c r="J23" s="799"/>
      <c r="K23" s="799"/>
      <c r="L23" s="799"/>
      <c r="M23" s="471"/>
      <c r="N23" s="471"/>
      <c r="O23" s="471"/>
      <c r="T23" s="472"/>
      <c r="Z23" s="468"/>
    </row>
    <row r="24" spans="1:28" ht="11.25">
      <c r="A24" s="809" t="s">
        <v>10</v>
      </c>
      <c r="B24" s="843" t="s">
        <v>211</v>
      </c>
      <c r="C24" s="843" t="s">
        <v>49</v>
      </c>
      <c r="D24" s="843" t="s">
        <v>49</v>
      </c>
      <c r="E24" s="843" t="s">
        <v>50</v>
      </c>
      <c r="F24" s="843" t="s">
        <v>212</v>
      </c>
      <c r="G24" s="843" t="s">
        <v>145</v>
      </c>
      <c r="H24" s="843" t="s">
        <v>154</v>
      </c>
      <c r="I24" s="918" t="s">
        <v>344</v>
      </c>
      <c r="J24" s="843" t="s">
        <v>154</v>
      </c>
      <c r="K24" s="867" t="s">
        <v>322</v>
      </c>
      <c r="L24" s="469"/>
      <c r="W24" s="472"/>
      <c r="X24" s="472"/>
      <c r="Y24" s="472"/>
      <c r="AB24" s="468"/>
    </row>
    <row r="25" spans="1:25" ht="11.25">
      <c r="A25" s="811"/>
      <c r="B25" s="812" t="s">
        <v>327</v>
      </c>
      <c r="C25" s="813" t="s">
        <v>45</v>
      </c>
      <c r="D25" s="813" t="s">
        <v>46</v>
      </c>
      <c r="E25" s="813"/>
      <c r="F25" s="814" t="s">
        <v>343</v>
      </c>
      <c r="G25" s="814" t="s">
        <v>323</v>
      </c>
      <c r="H25" s="814" t="s">
        <v>21</v>
      </c>
      <c r="I25" s="815">
        <v>2009</v>
      </c>
      <c r="J25" s="815" t="s">
        <v>386</v>
      </c>
      <c r="K25" s="816" t="s">
        <v>344</v>
      </c>
      <c r="L25" s="469"/>
      <c r="W25" s="472"/>
      <c r="X25" s="472"/>
      <c r="Y25" s="472"/>
    </row>
    <row r="26" spans="1:26" ht="12" thickBot="1">
      <c r="A26" s="849" t="s">
        <v>143</v>
      </c>
      <c r="B26" s="850"/>
      <c r="C26" s="922">
        <v>0.2</v>
      </c>
      <c r="D26" s="922">
        <v>0.4</v>
      </c>
      <c r="E26" s="922">
        <v>0.4</v>
      </c>
      <c r="F26" s="817"/>
      <c r="G26" s="851" t="s">
        <v>324</v>
      </c>
      <c r="H26" s="817"/>
      <c r="I26" s="851" t="s">
        <v>21</v>
      </c>
      <c r="J26" s="852" t="s">
        <v>387</v>
      </c>
      <c r="K26" s="853" t="s">
        <v>520</v>
      </c>
      <c r="L26" s="469"/>
      <c r="T26" s="468"/>
      <c r="Z26" s="472"/>
    </row>
    <row r="27" spans="1:26" ht="11.25">
      <c r="A27" s="810" t="s">
        <v>11</v>
      </c>
      <c r="B27" s="456">
        <f>V8</f>
        <v>40131</v>
      </c>
      <c r="C27" s="456">
        <f>$C$23*$C$26*$G$36*B8/$B$17</f>
        <v>7310.7863949223665</v>
      </c>
      <c r="D27" s="456">
        <f aca="true" t="shared" si="24" ref="D27:D35">$C$23*$D$26*$G$36*C8/$C$17</f>
        <v>32197.806392010432</v>
      </c>
      <c r="E27" s="456">
        <f aca="true" t="shared" si="25" ref="E27:E35">$C$23*$E$26*$G$36*D8/$D$17</f>
        <v>31468.388924587744</v>
      </c>
      <c r="F27" s="456">
        <f>SUM(C27:E27)</f>
        <v>70976.98171152055</v>
      </c>
      <c r="G27" s="456">
        <f>Y8</f>
        <v>555860</v>
      </c>
      <c r="H27" s="456">
        <f>B27+F27</f>
        <v>111107.98171152055</v>
      </c>
      <c r="I27" s="456">
        <f aca="true" t="shared" si="26" ref="I27:I35">K8-H27</f>
        <v>283074.0182884794</v>
      </c>
      <c r="J27" s="868">
        <f>H27/(H27+I27)*100</f>
        <v>28.186974978948946</v>
      </c>
      <c r="K27" s="457">
        <f>I27-AV8</f>
        <v>12296.045849826653</v>
      </c>
      <c r="L27" s="459"/>
      <c r="N27" s="459"/>
      <c r="O27" s="459"/>
      <c r="P27" s="1051"/>
      <c r="Z27" s="472"/>
    </row>
    <row r="28" spans="1:26" ht="11.25">
      <c r="A28" s="819" t="s">
        <v>12</v>
      </c>
      <c r="B28" s="461">
        <f aca="true" t="shared" si="27" ref="B28:B35">V9</f>
        <v>25692</v>
      </c>
      <c r="C28" s="461">
        <f aca="true" t="shared" si="28" ref="C28:C35">$C$23*$C$26*$G$36*B9/$B$17</f>
        <v>18644.284341817478</v>
      </c>
      <c r="D28" s="461">
        <f t="shared" si="24"/>
        <v>27199.1456517147</v>
      </c>
      <c r="E28" s="461">
        <f t="shared" si="25"/>
        <v>18591.323540741287</v>
      </c>
      <c r="F28" s="461">
        <f aca="true" t="shared" si="29" ref="F28:F35">SUM(C28:E28)</f>
        <v>64434.75353427346</v>
      </c>
      <c r="G28" s="461">
        <f aca="true" t="shared" si="30" ref="G28:G35">Y9</f>
        <v>355863</v>
      </c>
      <c r="H28" s="461">
        <f aca="true" t="shared" si="31" ref="H28:H35">B28+F28</f>
        <v>90126.75353427346</v>
      </c>
      <c r="I28" s="461">
        <f t="shared" si="26"/>
        <v>263984.2464657265</v>
      </c>
      <c r="J28" s="869">
        <f aca="true" t="shared" si="32" ref="J28:J36">H28/(H28+I28)*100</f>
        <v>25.451554324568697</v>
      </c>
      <c r="K28" s="462">
        <f aca="true" t="shared" si="33" ref="K28:K35">I28-AV9</f>
        <v>40569.099015898304</v>
      </c>
      <c r="L28" s="459"/>
      <c r="N28" s="459"/>
      <c r="O28" s="459"/>
      <c r="P28" s="1051"/>
      <c r="Z28" s="472"/>
    </row>
    <row r="29" spans="1:26" ht="11.25">
      <c r="A29" s="819" t="s">
        <v>13</v>
      </c>
      <c r="B29" s="461">
        <f t="shared" si="27"/>
        <v>9748</v>
      </c>
      <c r="C29" s="461">
        <f t="shared" si="28"/>
        <v>7628.919670624687</v>
      </c>
      <c r="D29" s="461">
        <f t="shared" si="24"/>
        <v>9940.32517875352</v>
      </c>
      <c r="E29" s="461">
        <f t="shared" si="25"/>
        <v>11690.29170668045</v>
      </c>
      <c r="F29" s="461">
        <f t="shared" si="29"/>
        <v>29259.536556058658</v>
      </c>
      <c r="G29" s="461">
        <f t="shared" si="30"/>
        <v>135023</v>
      </c>
      <c r="H29" s="461">
        <f t="shared" si="31"/>
        <v>39007.53655605866</v>
      </c>
      <c r="I29" s="461">
        <f t="shared" si="26"/>
        <v>84572.46344394135</v>
      </c>
      <c r="J29" s="869">
        <f t="shared" si="32"/>
        <v>31.56460313647731</v>
      </c>
      <c r="K29" s="462">
        <f t="shared" si="33"/>
        <v>2549.139961442561</v>
      </c>
      <c r="L29" s="459"/>
      <c r="N29" s="459"/>
      <c r="O29" s="459"/>
      <c r="P29" s="1051"/>
      <c r="Z29" s="472"/>
    </row>
    <row r="30" spans="1:26" ht="11.25">
      <c r="A30" s="819" t="s">
        <v>14</v>
      </c>
      <c r="B30" s="461">
        <f t="shared" si="27"/>
        <v>13274</v>
      </c>
      <c r="C30" s="461">
        <f t="shared" si="28"/>
        <v>8566.57564111573</v>
      </c>
      <c r="D30" s="461">
        <f t="shared" si="24"/>
        <v>10683.829175863539</v>
      </c>
      <c r="E30" s="461">
        <f t="shared" si="25"/>
        <v>11135.995488847915</v>
      </c>
      <c r="F30" s="461">
        <f t="shared" si="29"/>
        <v>30386.400305827185</v>
      </c>
      <c r="G30" s="461">
        <f t="shared" si="30"/>
        <v>183859</v>
      </c>
      <c r="H30" s="461">
        <f t="shared" si="31"/>
        <v>43660.400305827185</v>
      </c>
      <c r="I30" s="461">
        <f t="shared" si="26"/>
        <v>106617.59969417282</v>
      </c>
      <c r="J30" s="869">
        <f t="shared" si="32"/>
        <v>29.05308847990204</v>
      </c>
      <c r="K30" s="462">
        <f t="shared" si="33"/>
        <v>11359.643390104728</v>
      </c>
      <c r="L30" s="459"/>
      <c r="N30" s="459"/>
      <c r="O30" s="459"/>
      <c r="P30" s="1051"/>
      <c r="Z30" s="472"/>
    </row>
    <row r="31" spans="1:26" ht="11.25">
      <c r="A31" s="819" t="s">
        <v>15</v>
      </c>
      <c r="B31" s="461">
        <f t="shared" si="27"/>
        <v>50776</v>
      </c>
      <c r="C31" s="461">
        <f t="shared" si="28"/>
        <v>6929.86365691038</v>
      </c>
      <c r="D31" s="461">
        <f t="shared" si="24"/>
        <v>27786.122491538397</v>
      </c>
      <c r="E31" s="461">
        <f t="shared" si="25"/>
        <v>47156.46523880522</v>
      </c>
      <c r="F31" s="461">
        <f t="shared" si="29"/>
        <v>81872.451387254</v>
      </c>
      <c r="G31" s="461">
        <f t="shared" si="30"/>
        <v>703313</v>
      </c>
      <c r="H31" s="461">
        <f t="shared" si="31"/>
        <v>132648.451387254</v>
      </c>
      <c r="I31" s="461">
        <f t="shared" si="26"/>
        <v>204633.548612746</v>
      </c>
      <c r="J31" s="869">
        <f t="shared" si="32"/>
        <v>39.32864824901833</v>
      </c>
      <c r="K31" s="462">
        <f t="shared" si="33"/>
        <v>5657.458706656296</v>
      </c>
      <c r="L31" s="459"/>
      <c r="N31" s="459"/>
      <c r="O31" s="459"/>
      <c r="P31" s="1051"/>
      <c r="Z31" s="472"/>
    </row>
    <row r="32" spans="1:16" ht="11.25">
      <c r="A32" s="819" t="s">
        <v>16</v>
      </c>
      <c r="B32" s="461">
        <f t="shared" si="27"/>
        <v>14681</v>
      </c>
      <c r="C32" s="461">
        <f t="shared" si="28"/>
        <v>4788.742992150695</v>
      </c>
      <c r="D32" s="461">
        <f t="shared" si="24"/>
        <v>7513.303549743353</v>
      </c>
      <c r="E32" s="461">
        <f t="shared" si="25"/>
        <v>7491.344129438749</v>
      </c>
      <c r="F32" s="461">
        <f t="shared" si="29"/>
        <v>19793.390671332796</v>
      </c>
      <c r="G32" s="461">
        <f t="shared" si="30"/>
        <v>203343</v>
      </c>
      <c r="H32" s="461">
        <f t="shared" si="31"/>
        <v>34474.390671332796</v>
      </c>
      <c r="I32" s="461">
        <f t="shared" si="26"/>
        <v>94046.6093286672</v>
      </c>
      <c r="J32" s="869">
        <f t="shared" si="32"/>
        <v>26.82393591034368</v>
      </c>
      <c r="K32" s="462">
        <f t="shared" si="33"/>
        <v>11697.194902945907</v>
      </c>
      <c r="L32" s="459"/>
      <c r="N32" s="459"/>
      <c r="O32" s="459"/>
      <c r="P32" s="1051"/>
    </row>
    <row r="33" spans="1:16" ht="11.25">
      <c r="A33" s="819" t="s">
        <v>17</v>
      </c>
      <c r="B33" s="461">
        <f t="shared" si="27"/>
        <v>19172</v>
      </c>
      <c r="C33" s="461">
        <f t="shared" si="28"/>
        <v>13600.197536274132</v>
      </c>
      <c r="D33" s="461">
        <f t="shared" si="24"/>
        <v>23561.59062695218</v>
      </c>
      <c r="E33" s="461">
        <f t="shared" si="25"/>
        <v>15275.20908381923</v>
      </c>
      <c r="F33" s="461">
        <f t="shared" si="29"/>
        <v>52436.99724704555</v>
      </c>
      <c r="G33" s="461">
        <f t="shared" si="30"/>
        <v>265552</v>
      </c>
      <c r="H33" s="461">
        <f t="shared" si="31"/>
        <v>71608.99724704554</v>
      </c>
      <c r="I33" s="461">
        <f t="shared" si="26"/>
        <v>207211.00275295446</v>
      </c>
      <c r="J33" s="869">
        <f t="shared" si="32"/>
        <v>25.68287685497652</v>
      </c>
      <c r="K33" s="462">
        <f t="shared" si="33"/>
        <v>29154.88795992118</v>
      </c>
      <c r="L33" s="459"/>
      <c r="N33" s="459"/>
      <c r="O33" s="459"/>
      <c r="P33" s="1051"/>
    </row>
    <row r="34" spans="1:16" ht="11.25">
      <c r="A34" s="819" t="s">
        <v>18</v>
      </c>
      <c r="B34" s="461">
        <f t="shared" si="27"/>
        <v>5991</v>
      </c>
      <c r="C34" s="461">
        <f t="shared" si="28"/>
        <v>2584.832865081341</v>
      </c>
      <c r="D34" s="461">
        <f t="shared" si="24"/>
        <v>7754.899814250498</v>
      </c>
      <c r="E34" s="461">
        <f t="shared" si="25"/>
        <v>6164.019905754186</v>
      </c>
      <c r="F34" s="461">
        <f t="shared" si="29"/>
        <v>16503.752585086026</v>
      </c>
      <c r="G34" s="461">
        <f t="shared" si="30"/>
        <v>82983</v>
      </c>
      <c r="H34" s="461">
        <f t="shared" si="31"/>
        <v>22494.752585086026</v>
      </c>
      <c r="I34" s="461">
        <f t="shared" si="26"/>
        <v>40203.247414913974</v>
      </c>
      <c r="J34" s="869">
        <f t="shared" si="32"/>
        <v>35.87794281330509</v>
      </c>
      <c r="K34" s="462">
        <f t="shared" si="33"/>
        <v>-181.47645266196923</v>
      </c>
      <c r="L34" s="459"/>
      <c r="N34" s="459"/>
      <c r="O34" s="459"/>
      <c r="P34" s="1051"/>
    </row>
    <row r="35" spans="1:16" ht="11.25">
      <c r="A35" s="864" t="s">
        <v>19</v>
      </c>
      <c r="B35" s="865">
        <f t="shared" si="27"/>
        <v>11078</v>
      </c>
      <c r="C35" s="865">
        <f t="shared" si="28"/>
        <v>8983.079074436531</v>
      </c>
      <c r="D35" s="865">
        <f t="shared" si="24"/>
        <v>11437.541465840055</v>
      </c>
      <c r="E35" s="865">
        <f t="shared" si="25"/>
        <v>9101.526327991895</v>
      </c>
      <c r="F35" s="865">
        <f t="shared" si="29"/>
        <v>29522.14686826848</v>
      </c>
      <c r="G35" s="865">
        <f t="shared" si="30"/>
        <v>153450</v>
      </c>
      <c r="H35" s="865">
        <f t="shared" si="31"/>
        <v>40600.14686826848</v>
      </c>
      <c r="I35" s="865">
        <f t="shared" si="26"/>
        <v>110628.85313173152</v>
      </c>
      <c r="J35" s="870">
        <f t="shared" si="32"/>
        <v>26.846799799157882</v>
      </c>
      <c r="K35" s="866">
        <f t="shared" si="33"/>
        <v>20330.595799198636</v>
      </c>
      <c r="L35" s="459"/>
      <c r="N35" s="459"/>
      <c r="O35" s="459"/>
      <c r="P35" s="1051"/>
    </row>
    <row r="36" spans="1:16" ht="12" thickBot="1">
      <c r="A36" s="858" t="s">
        <v>155</v>
      </c>
      <c r="B36" s="862">
        <f>SUM(B27:B35)</f>
        <v>190543</v>
      </c>
      <c r="C36" s="862">
        <f aca="true" t="shared" si="34" ref="C36:K36">SUM(C27:C35)</f>
        <v>79037.28217333334</v>
      </c>
      <c r="D36" s="862">
        <f t="shared" si="34"/>
        <v>158074.56434666668</v>
      </c>
      <c r="E36" s="862">
        <f t="shared" si="34"/>
        <v>158074.56434666668</v>
      </c>
      <c r="F36" s="862">
        <f t="shared" si="34"/>
        <v>395186.4108666667</v>
      </c>
      <c r="G36" s="862">
        <f t="shared" si="34"/>
        <v>2639246</v>
      </c>
      <c r="H36" s="862">
        <f t="shared" si="34"/>
        <v>585729.4108666667</v>
      </c>
      <c r="I36" s="862">
        <f t="shared" si="34"/>
        <v>1394971.5891333332</v>
      </c>
      <c r="J36" s="871">
        <f t="shared" si="32"/>
        <v>29.571823857647704</v>
      </c>
      <c r="K36" s="863">
        <f t="shared" si="34"/>
        <v>133432.5891333323</v>
      </c>
      <c r="L36" s="999"/>
      <c r="N36" s="459"/>
      <c r="O36" s="459"/>
      <c r="P36" s="1050"/>
    </row>
    <row r="37" spans="1:14" ht="11.25">
      <c r="A37" s="819" t="s">
        <v>325</v>
      </c>
      <c r="B37" s="478"/>
      <c r="C37" s="461"/>
      <c r="D37" s="461"/>
      <c r="E37" s="461"/>
      <c r="F37" s="461"/>
      <c r="G37" s="461"/>
      <c r="H37" s="461"/>
      <c r="I37" s="820">
        <f>P17</f>
        <v>585729.4108666667</v>
      </c>
      <c r="J37" s="479"/>
      <c r="K37" s="462"/>
      <c r="L37" s="459"/>
      <c r="N37" s="468"/>
    </row>
    <row r="38" spans="1:14" ht="12" thickBot="1">
      <c r="A38" s="854" t="s">
        <v>326</v>
      </c>
      <c r="B38" s="855"/>
      <c r="C38" s="464"/>
      <c r="D38" s="464"/>
      <c r="E38" s="464"/>
      <c r="F38" s="996"/>
      <c r="G38" s="996"/>
      <c r="H38" s="996"/>
      <c r="I38" s="1032">
        <f>SUM(I36:I37)</f>
        <v>1980701</v>
      </c>
      <c r="J38" s="856"/>
      <c r="K38" s="857"/>
      <c r="L38" s="459"/>
      <c r="N38" s="468"/>
    </row>
    <row r="39" spans="4:9" ht="11.25">
      <c r="D39" s="473"/>
      <c r="F39" s="997"/>
      <c r="G39" s="997"/>
      <c r="H39" s="997"/>
      <c r="I39" s="998"/>
    </row>
    <row r="40" ht="11.25">
      <c r="D40" s="473"/>
    </row>
    <row r="41" ht="11.25">
      <c r="D41" s="473"/>
    </row>
    <row r="42" ht="11.25">
      <c r="D42" s="473"/>
    </row>
    <row r="43" ht="11.25">
      <c r="D43" s="473"/>
    </row>
    <row r="44" spans="4:27" ht="15.75">
      <c r="D44" s="473"/>
      <c r="T44" s="445"/>
      <c r="U44" s="445"/>
      <c r="V44" s="445"/>
      <c r="W44" s="445"/>
      <c r="X44" s="445"/>
      <c r="Y44" s="445"/>
      <c r="Z44" s="445"/>
      <c r="AA44" s="445"/>
    </row>
    <row r="45" ht="11.25">
      <c r="D45" s="473"/>
    </row>
    <row r="46" spans="1:29" ht="15.75">
      <c r="A46" s="474"/>
      <c r="B46" s="445"/>
      <c r="C46" s="445"/>
      <c r="D46" s="446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AB46" s="445"/>
      <c r="AC46" s="445"/>
    </row>
    <row r="47" ht="11.25">
      <c r="D47" s="473"/>
    </row>
    <row r="48" ht="11.25">
      <c r="D48" s="473"/>
    </row>
    <row r="49" ht="11.25">
      <c r="D49" s="473"/>
    </row>
    <row r="50" ht="11.25">
      <c r="D50" s="473"/>
    </row>
    <row r="51" ht="11.25">
      <c r="D51" s="473"/>
    </row>
    <row r="52" ht="11.25">
      <c r="D52" s="473"/>
    </row>
    <row r="53" ht="11.25">
      <c r="D53" s="473"/>
    </row>
    <row r="54" ht="11.25">
      <c r="D54" s="473"/>
    </row>
    <row r="55" ht="11.25">
      <c r="D55" s="473"/>
    </row>
    <row r="56" ht="11.25">
      <c r="D56" s="473"/>
    </row>
    <row r="57" ht="11.25">
      <c r="D57" s="473"/>
    </row>
    <row r="58" ht="11.25">
      <c r="D58" s="473"/>
    </row>
    <row r="59" ht="11.25">
      <c r="D59" s="473"/>
    </row>
    <row r="60" ht="11.25">
      <c r="D60" s="473"/>
    </row>
    <row r="61" ht="11.25">
      <c r="D61" s="473"/>
    </row>
    <row r="62" ht="11.25">
      <c r="D62" s="473"/>
    </row>
    <row r="63" ht="11.25">
      <c r="D63" s="473"/>
    </row>
    <row r="64" ht="11.25">
      <c r="D64" s="473"/>
    </row>
    <row r="65" ht="11.25">
      <c r="D65" s="473"/>
    </row>
    <row r="66" ht="11.25">
      <c r="D66" s="473"/>
    </row>
    <row r="67" spans="1:4" ht="12.75">
      <c r="A67" s="475"/>
      <c r="B67" s="469"/>
      <c r="C67" s="469"/>
      <c r="D67" s="473"/>
    </row>
    <row r="68" spans="1:10" ht="11.25">
      <c r="A68" s="467"/>
      <c r="B68" s="476"/>
      <c r="C68" s="476"/>
      <c r="D68" s="473"/>
      <c r="J68" s="473"/>
    </row>
    <row r="69" spans="1:4" ht="11.25">
      <c r="A69" s="467"/>
      <c r="B69" s="476"/>
      <c r="D69" s="473"/>
    </row>
    <row r="70" spans="1:4" ht="11.25">
      <c r="A70" s="469"/>
      <c r="B70" s="476"/>
      <c r="D70" s="473"/>
    </row>
    <row r="71" spans="1:9" ht="11.25">
      <c r="A71" s="477"/>
      <c r="B71" s="470"/>
      <c r="C71" s="470"/>
      <c r="D71" s="473"/>
      <c r="G71" s="468"/>
      <c r="H71" s="470"/>
      <c r="I71" s="470"/>
    </row>
    <row r="72" spans="1:9" ht="11.25">
      <c r="A72" s="477"/>
      <c r="B72" s="470"/>
      <c r="C72" s="470"/>
      <c r="D72" s="473"/>
      <c r="G72" s="468"/>
      <c r="H72" s="470"/>
      <c r="I72" s="470"/>
    </row>
    <row r="73" spans="1:9" ht="11.25">
      <c r="A73" s="477"/>
      <c r="B73" s="470"/>
      <c r="C73" s="470"/>
      <c r="D73" s="473"/>
      <c r="G73" s="468"/>
      <c r="H73" s="470"/>
      <c r="I73" s="470"/>
    </row>
    <row r="74" spans="1:9" ht="11.25">
      <c r="A74" s="477"/>
      <c r="B74" s="470"/>
      <c r="C74" s="470"/>
      <c r="D74" s="473"/>
      <c r="G74" s="468"/>
      <c r="H74" s="470"/>
      <c r="I74" s="470"/>
    </row>
    <row r="75" spans="1:9" ht="11.25">
      <c r="A75" s="477"/>
      <c r="B75" s="470"/>
      <c r="C75" s="470"/>
      <c r="D75" s="473"/>
      <c r="G75" s="468"/>
      <c r="H75" s="470"/>
      <c r="I75" s="470"/>
    </row>
    <row r="76" spans="1:9" ht="11.25">
      <c r="A76" s="477"/>
      <c r="B76" s="470"/>
      <c r="C76" s="470"/>
      <c r="D76" s="473"/>
      <c r="G76" s="468"/>
      <c r="H76" s="470"/>
      <c r="I76" s="470"/>
    </row>
    <row r="77" spans="1:9" ht="11.25">
      <c r="A77" s="477"/>
      <c r="B77" s="470"/>
      <c r="C77" s="470"/>
      <c r="D77" s="473"/>
      <c r="G77" s="468"/>
      <c r="H77" s="470"/>
      <c r="I77" s="470"/>
    </row>
    <row r="78" spans="1:9" ht="11.25">
      <c r="A78" s="477"/>
      <c r="B78" s="470"/>
      <c r="C78" s="470"/>
      <c r="D78" s="473"/>
      <c r="E78" s="467"/>
      <c r="F78" s="467"/>
      <c r="G78" s="468"/>
      <c r="H78" s="470"/>
      <c r="I78" s="470"/>
    </row>
    <row r="79" spans="1:9" ht="11.25">
      <c r="A79" s="477"/>
      <c r="B79" s="470"/>
      <c r="C79" s="470"/>
      <c r="D79" s="473"/>
      <c r="G79" s="468"/>
      <c r="H79" s="470"/>
      <c r="I79" s="470"/>
    </row>
    <row r="80" spans="1:9" ht="11.25">
      <c r="A80" s="477"/>
      <c r="B80" s="470"/>
      <c r="C80" s="470"/>
      <c r="D80" s="473"/>
      <c r="G80" s="468"/>
      <c r="H80" s="470"/>
      <c r="I80" s="470"/>
    </row>
    <row r="81" spans="2:4" ht="11.25">
      <c r="B81" s="470"/>
      <c r="C81" s="470"/>
      <c r="D81" s="473"/>
    </row>
    <row r="82" ht="11.25">
      <c r="D82" s="473"/>
    </row>
    <row r="83" ht="11.25">
      <c r="D83" s="473"/>
    </row>
    <row r="84" ht="11.25">
      <c r="D84" s="473"/>
    </row>
    <row r="85" ht="11.25">
      <c r="D85" s="473"/>
    </row>
    <row r="86" ht="11.25">
      <c r="D86" s="473"/>
    </row>
    <row r="87" ht="11.25">
      <c r="D87" s="473"/>
    </row>
    <row r="88" ht="11.25">
      <c r="D88" s="473"/>
    </row>
    <row r="89" ht="11.25">
      <c r="D89" s="473"/>
    </row>
    <row r="90" ht="11.25">
      <c r="D90" s="473"/>
    </row>
    <row r="91" ht="11.25">
      <c r="D91" s="473"/>
    </row>
    <row r="92" ht="11.25">
      <c r="D92" s="473"/>
    </row>
    <row r="93" ht="11.25">
      <c r="D93" s="473"/>
    </row>
    <row r="94" ht="11.25">
      <c r="D94" s="473"/>
    </row>
    <row r="95" ht="11.25">
      <c r="D95" s="473"/>
    </row>
    <row r="96" ht="11.25">
      <c r="D96" s="473"/>
    </row>
    <row r="97" ht="11.25">
      <c r="D97" s="473"/>
    </row>
    <row r="98" ht="11.25">
      <c r="D98" s="473"/>
    </row>
    <row r="99" ht="11.25">
      <c r="D99" s="473"/>
    </row>
    <row r="100" ht="11.25">
      <c r="D100" s="473"/>
    </row>
    <row r="101" ht="11.25">
      <c r="D101" s="473"/>
    </row>
    <row r="102" ht="11.25">
      <c r="D102" s="473"/>
    </row>
    <row r="103" ht="11.25">
      <c r="D103" s="473"/>
    </row>
    <row r="104" ht="11.25">
      <c r="D104" s="473"/>
    </row>
    <row r="105" ht="11.25">
      <c r="D105" s="473"/>
    </row>
    <row r="106" ht="11.25">
      <c r="D106" s="473"/>
    </row>
    <row r="107" ht="11.25">
      <c r="D107" s="473"/>
    </row>
    <row r="108" ht="11.25">
      <c r="D108" s="473"/>
    </row>
    <row r="109" ht="11.25">
      <c r="D109" s="473"/>
    </row>
    <row r="110" ht="11.25">
      <c r="D110" s="473"/>
    </row>
    <row r="111" ht="11.25">
      <c r="D111" s="473"/>
    </row>
    <row r="112" ht="11.25">
      <c r="D112" s="473"/>
    </row>
    <row r="113" ht="11.25">
      <c r="D113" s="473"/>
    </row>
    <row r="114" ht="11.25">
      <c r="D114" s="473"/>
    </row>
    <row r="115" ht="11.25">
      <c r="D115" s="473"/>
    </row>
    <row r="116" ht="11.25">
      <c r="D116" s="473"/>
    </row>
    <row r="117" ht="11.25">
      <c r="D117" s="473"/>
    </row>
    <row r="118" ht="11.25">
      <c r="D118" s="473"/>
    </row>
    <row r="119" ht="11.25">
      <c r="D119" s="473"/>
    </row>
    <row r="120" ht="11.25">
      <c r="D120" s="473"/>
    </row>
    <row r="121" ht="11.25">
      <c r="D121" s="473"/>
    </row>
    <row r="122" ht="11.25">
      <c r="D122" s="473"/>
    </row>
    <row r="123" ht="11.25">
      <c r="D123" s="473"/>
    </row>
    <row r="124" ht="11.25">
      <c r="D124" s="473"/>
    </row>
    <row r="125" ht="11.25">
      <c r="D125" s="473"/>
    </row>
    <row r="126" ht="11.25">
      <c r="D126" s="473"/>
    </row>
    <row r="127" ht="11.25">
      <c r="D127" s="473"/>
    </row>
    <row r="128" ht="11.25">
      <c r="D128" s="473"/>
    </row>
    <row r="129" ht="11.25">
      <c r="D129" s="473"/>
    </row>
    <row r="130" ht="11.25">
      <c r="D130" s="473"/>
    </row>
    <row r="131" ht="11.25">
      <c r="D131" s="473"/>
    </row>
    <row r="132" ht="11.25">
      <c r="D132" s="473"/>
    </row>
    <row r="133" ht="11.25">
      <c r="D133" s="473"/>
    </row>
    <row r="134" ht="11.25">
      <c r="D134" s="473"/>
    </row>
    <row r="135" ht="11.25">
      <c r="D135" s="473"/>
    </row>
    <row r="136" ht="11.25">
      <c r="D136" s="473"/>
    </row>
    <row r="137" ht="11.25">
      <c r="D137" s="473"/>
    </row>
    <row r="138" ht="11.25">
      <c r="D138" s="473"/>
    </row>
    <row r="139" ht="11.25">
      <c r="D139" s="473"/>
    </row>
    <row r="140" ht="11.25">
      <c r="D140" s="473"/>
    </row>
    <row r="141" ht="11.25">
      <c r="D141" s="473"/>
    </row>
    <row r="142" ht="11.25">
      <c r="D142" s="473"/>
    </row>
    <row r="143" ht="11.25">
      <c r="D143" s="473"/>
    </row>
    <row r="144" ht="11.25">
      <c r="D144" s="473"/>
    </row>
    <row r="145" ht="11.25">
      <c r="D145" s="473"/>
    </row>
    <row r="146" ht="11.25">
      <c r="D146" s="473"/>
    </row>
    <row r="147" ht="11.25">
      <c r="D147" s="473"/>
    </row>
    <row r="148" ht="11.25">
      <c r="D148" s="473"/>
    </row>
    <row r="149" ht="11.25">
      <c r="D149" s="473"/>
    </row>
    <row r="150" ht="11.25">
      <c r="D150" s="473"/>
    </row>
    <row r="151" ht="11.25">
      <c r="D151" s="473"/>
    </row>
    <row r="152" ht="11.25">
      <c r="D152" s="473"/>
    </row>
    <row r="153" ht="11.25">
      <c r="D153" s="473"/>
    </row>
    <row r="154" ht="11.25">
      <c r="D154" s="473"/>
    </row>
    <row r="155" ht="11.25">
      <c r="D155" s="473"/>
    </row>
    <row r="156" ht="11.25">
      <c r="D156" s="473"/>
    </row>
    <row r="157" ht="11.25">
      <c r="D157" s="473"/>
    </row>
    <row r="158" ht="11.25">
      <c r="D158" s="473"/>
    </row>
    <row r="159" ht="11.25">
      <c r="D159" s="473"/>
    </row>
    <row r="160" ht="11.25">
      <c r="D160" s="473"/>
    </row>
    <row r="161" ht="11.25">
      <c r="D161" s="473"/>
    </row>
    <row r="162" ht="11.25">
      <c r="D162" s="473"/>
    </row>
    <row r="163" ht="11.25">
      <c r="D163" s="473"/>
    </row>
    <row r="164" ht="11.25">
      <c r="D164" s="473"/>
    </row>
    <row r="165" ht="11.25">
      <c r="D165" s="473"/>
    </row>
    <row r="166" ht="11.25">
      <c r="D166" s="473"/>
    </row>
    <row r="167" ht="11.25">
      <c r="D167" s="473"/>
    </row>
    <row r="168" ht="11.25">
      <c r="D168" s="473"/>
    </row>
    <row r="169" ht="11.25">
      <c r="D169" s="473"/>
    </row>
    <row r="170" ht="11.25">
      <c r="D170" s="473"/>
    </row>
    <row r="171" ht="11.25">
      <c r="D171" s="473"/>
    </row>
    <row r="172" ht="11.25">
      <c r="D172" s="473"/>
    </row>
    <row r="173" ht="11.25">
      <c r="D173" s="473"/>
    </row>
    <row r="174" ht="11.25">
      <c r="D174" s="473"/>
    </row>
    <row r="175" ht="11.25">
      <c r="D175" s="473"/>
    </row>
    <row r="176" ht="11.25">
      <c r="D176" s="473"/>
    </row>
    <row r="177" ht="11.25">
      <c r="D177" s="473"/>
    </row>
    <row r="178" ht="11.25">
      <c r="D178" s="473"/>
    </row>
  </sheetData>
  <mergeCells count="1">
    <mergeCell ref="BC5:BC6"/>
  </mergeCells>
  <printOptions horizontalCentered="1" verticalCentered="1"/>
  <pageMargins left="0.27" right="0.15748031496062992" top="0.5905511811023623" bottom="0.6692913385826772" header="0.3937007874015748" footer="0.35433070866141736"/>
  <pageSetup horizontalDpi="1200" verticalDpi="1200" orientation="landscape" paperSize="9" scale="77" r:id="rId1"/>
  <headerFooter alignWithMargins="0">
    <oddHeader>&amp;R
</oddHeader>
    <oddFooter>&amp;C4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workbookViewId="0" topLeftCell="A25">
      <selection activeCell="G63" sqref="G63"/>
    </sheetView>
  </sheetViews>
  <sheetFormatPr defaultColWidth="9.00390625" defaultRowHeight="12.75"/>
  <cols>
    <col min="1" max="1" width="4.625" style="2" customWidth="1"/>
    <col min="2" max="2" width="5.00390625" style="2" customWidth="1"/>
    <col min="3" max="3" width="15.25390625" style="2" customWidth="1"/>
    <col min="4" max="4" width="11.25390625" style="2" customWidth="1"/>
    <col min="5" max="6" width="10.75390625" style="2" customWidth="1"/>
    <col min="7" max="7" width="10.00390625" style="2" customWidth="1"/>
    <col min="8" max="8" width="9.875" style="2" customWidth="1"/>
    <col min="9" max="9" width="9.25390625" style="2" customWidth="1"/>
    <col min="10" max="10" width="10.375" style="2" customWidth="1"/>
    <col min="11" max="11" width="9.625" style="2" customWidth="1"/>
    <col min="12" max="12" width="9.875" style="2" customWidth="1"/>
    <col min="13" max="13" width="4.75390625" style="1059" customWidth="1"/>
    <col min="14" max="16384" width="9.125" style="2" customWidth="1"/>
  </cols>
  <sheetData>
    <row r="1" spans="1:2" ht="12.75">
      <c r="A1" s="20" t="s">
        <v>381</v>
      </c>
      <c r="B1" s="20"/>
    </row>
    <row r="2" spans="1:3" ht="12.75">
      <c r="A2" s="20"/>
      <c r="B2" s="20"/>
      <c r="C2" s="392"/>
    </row>
    <row r="3" spans="1:2" ht="13.5" thickBot="1">
      <c r="A3" s="20" t="s">
        <v>392</v>
      </c>
      <c r="B3" s="20"/>
    </row>
    <row r="4" spans="1:9" ht="12.75">
      <c r="A4" s="393"/>
      <c r="B4" s="394"/>
      <c r="C4" s="3"/>
      <c r="D4" s="1307" t="s">
        <v>405</v>
      </c>
      <c r="E4" s="1308"/>
      <c r="F4" s="1308"/>
      <c r="G4" s="1311" t="s">
        <v>347</v>
      </c>
      <c r="H4" s="1312"/>
      <c r="I4" s="1313"/>
    </row>
    <row r="5" spans="1:9" ht="12.75">
      <c r="A5" s="395"/>
      <c r="B5" s="396"/>
      <c r="C5" s="7"/>
      <c r="D5" s="71"/>
      <c r="E5" s="1309" t="s">
        <v>62</v>
      </c>
      <c r="F5" s="1310"/>
      <c r="G5" s="74"/>
      <c r="H5" s="1314" t="s">
        <v>62</v>
      </c>
      <c r="I5" s="1315"/>
    </row>
    <row r="6" spans="1:9" ht="12.75">
      <c r="A6" s="395"/>
      <c r="B6" s="396" t="s">
        <v>68</v>
      </c>
      <c r="C6" s="7"/>
      <c r="D6" s="72" t="s">
        <v>330</v>
      </c>
      <c r="E6" s="117" t="s">
        <v>138</v>
      </c>
      <c r="F6" s="397" t="s">
        <v>103</v>
      </c>
      <c r="G6" s="75" t="s">
        <v>330</v>
      </c>
      <c r="H6" s="117" t="s">
        <v>138</v>
      </c>
      <c r="I6" s="398" t="s">
        <v>103</v>
      </c>
    </row>
    <row r="7" spans="1:9" ht="13.5" thickBot="1">
      <c r="A7" s="399" t="s">
        <v>65</v>
      </c>
      <c r="B7" s="400" t="s">
        <v>69</v>
      </c>
      <c r="C7" s="4"/>
      <c r="D7" s="73" t="s">
        <v>21</v>
      </c>
      <c r="E7" s="401" t="s">
        <v>48</v>
      </c>
      <c r="F7" s="402" t="s">
        <v>21</v>
      </c>
      <c r="G7" s="76" t="s">
        <v>21</v>
      </c>
      <c r="H7" s="401" t="s">
        <v>48</v>
      </c>
      <c r="I7" s="403" t="s">
        <v>21</v>
      </c>
    </row>
    <row r="8" spans="1:12" ht="12.75">
      <c r="A8" s="404">
        <v>16</v>
      </c>
      <c r="B8" s="405">
        <v>11</v>
      </c>
      <c r="C8" s="7" t="s">
        <v>11</v>
      </c>
      <c r="D8" s="1075">
        <v>283074</v>
      </c>
      <c r="E8" s="6">
        <f>'str1-3'!D70</f>
        <v>28783</v>
      </c>
      <c r="F8" s="95">
        <f>D8-E8</f>
        <v>254291</v>
      </c>
      <c r="G8" s="65">
        <f>SUM(H8:I8)</f>
        <v>275231</v>
      </c>
      <c r="H8" s="6">
        <v>28673</v>
      </c>
      <c r="I8" s="62">
        <v>246558</v>
      </c>
      <c r="J8" s="443"/>
      <c r="K8" s="444"/>
      <c r="L8" s="480"/>
    </row>
    <row r="9" spans="1:12" ht="12.75">
      <c r="A9" s="407">
        <v>17</v>
      </c>
      <c r="B9" s="408">
        <v>21</v>
      </c>
      <c r="C9" s="99" t="s">
        <v>12</v>
      </c>
      <c r="D9" s="1076">
        <v>263984</v>
      </c>
      <c r="E9" s="142">
        <f>'str1-3'!D71</f>
        <v>13905</v>
      </c>
      <c r="F9" s="143">
        <f aca="true" t="shared" si="0" ref="F9:F16">D9-E9</f>
        <v>250079</v>
      </c>
      <c r="G9" s="144">
        <f aca="true" t="shared" si="1" ref="G9:G16">SUM(H9:I9)</f>
        <v>249189</v>
      </c>
      <c r="H9" s="142">
        <v>13730</v>
      </c>
      <c r="I9" s="145">
        <v>235459</v>
      </c>
      <c r="J9" s="443"/>
      <c r="K9" s="444"/>
      <c r="L9" s="480"/>
    </row>
    <row r="10" spans="1:12" ht="12.75">
      <c r="A10" s="407">
        <v>18</v>
      </c>
      <c r="B10" s="408">
        <v>22</v>
      </c>
      <c r="C10" s="99" t="s">
        <v>13</v>
      </c>
      <c r="D10" s="1076">
        <v>84572</v>
      </c>
      <c r="E10" s="142">
        <f>'str1-3'!D72</f>
        <v>2378</v>
      </c>
      <c r="F10" s="143">
        <f t="shared" si="0"/>
        <v>82194</v>
      </c>
      <c r="G10" s="144">
        <f t="shared" si="1"/>
        <v>84138</v>
      </c>
      <c r="H10" s="142">
        <v>2269</v>
      </c>
      <c r="I10" s="145">
        <v>81869</v>
      </c>
      <c r="J10" s="443"/>
      <c r="K10" s="444"/>
      <c r="L10" s="480"/>
    </row>
    <row r="11" spans="1:12" ht="12.75">
      <c r="A11" s="407">
        <v>19</v>
      </c>
      <c r="B11" s="408">
        <v>23</v>
      </c>
      <c r="C11" s="99" t="s">
        <v>14</v>
      </c>
      <c r="D11" s="1076">
        <v>106618</v>
      </c>
      <c r="E11" s="142">
        <f>'str1-3'!D73</f>
        <v>9191</v>
      </c>
      <c r="F11" s="143">
        <f t="shared" si="0"/>
        <v>97427</v>
      </c>
      <c r="G11" s="144">
        <f t="shared" si="1"/>
        <v>102744</v>
      </c>
      <c r="H11" s="142">
        <v>9326</v>
      </c>
      <c r="I11" s="145">
        <v>93418</v>
      </c>
      <c r="J11" s="443"/>
      <c r="K11" s="480"/>
      <c r="L11" s="480"/>
    </row>
    <row r="12" spans="1:12" ht="12.75">
      <c r="A12" s="407">
        <v>20</v>
      </c>
      <c r="B12" s="408">
        <v>31</v>
      </c>
      <c r="C12" s="99" t="s">
        <v>15</v>
      </c>
      <c r="D12" s="1076">
        <v>204634</v>
      </c>
      <c r="E12" s="142">
        <f>'str1-3'!D74</f>
        <v>51176</v>
      </c>
      <c r="F12" s="143">
        <f t="shared" si="0"/>
        <v>153458</v>
      </c>
      <c r="G12" s="144">
        <f t="shared" si="1"/>
        <v>200441</v>
      </c>
      <c r="H12" s="142">
        <v>50477</v>
      </c>
      <c r="I12" s="145">
        <v>149964</v>
      </c>
      <c r="J12" s="443"/>
      <c r="K12" s="480"/>
      <c r="L12" s="480"/>
    </row>
    <row r="13" spans="1:12" ht="12.75">
      <c r="A13" s="407">
        <v>21</v>
      </c>
      <c r="B13" s="408">
        <v>33</v>
      </c>
      <c r="C13" s="99" t="s">
        <v>16</v>
      </c>
      <c r="D13" s="1076">
        <v>94047</v>
      </c>
      <c r="E13" s="142">
        <f>'str1-3'!D75</f>
        <v>7320</v>
      </c>
      <c r="F13" s="143">
        <f t="shared" si="0"/>
        <v>86727</v>
      </c>
      <c r="G13" s="144">
        <f t="shared" si="1"/>
        <v>93002</v>
      </c>
      <c r="H13" s="142">
        <v>7239</v>
      </c>
      <c r="I13" s="145">
        <v>85763</v>
      </c>
      <c r="J13" s="443"/>
      <c r="K13" s="444"/>
      <c r="L13" s="480"/>
    </row>
    <row r="14" spans="1:12" ht="12.75">
      <c r="A14" s="407">
        <v>22</v>
      </c>
      <c r="B14" s="408">
        <v>41</v>
      </c>
      <c r="C14" s="99" t="s">
        <v>17</v>
      </c>
      <c r="D14" s="1076">
        <v>207211</v>
      </c>
      <c r="E14" s="142">
        <f>'str1-3'!D76</f>
        <v>5544</v>
      </c>
      <c r="F14" s="143">
        <f t="shared" si="0"/>
        <v>201667</v>
      </c>
      <c r="G14" s="144">
        <f t="shared" si="1"/>
        <v>199754</v>
      </c>
      <c r="H14" s="142">
        <v>4869</v>
      </c>
      <c r="I14" s="145">
        <v>194885</v>
      </c>
      <c r="J14" s="443"/>
      <c r="K14" s="444"/>
      <c r="L14" s="480"/>
    </row>
    <row r="15" spans="1:12" ht="12.75">
      <c r="A15" s="407">
        <v>23</v>
      </c>
      <c r="B15" s="408">
        <v>51</v>
      </c>
      <c r="C15" s="99" t="s">
        <v>18</v>
      </c>
      <c r="D15" s="1076">
        <v>40203</v>
      </c>
      <c r="E15" s="142">
        <f>'str1-3'!D77</f>
        <v>254</v>
      </c>
      <c r="F15" s="143">
        <f t="shared" si="0"/>
        <v>39949</v>
      </c>
      <c r="G15" s="144">
        <f t="shared" si="1"/>
        <v>38898</v>
      </c>
      <c r="H15" s="142">
        <v>80</v>
      </c>
      <c r="I15" s="145">
        <v>38818</v>
      </c>
      <c r="J15" s="443"/>
      <c r="K15" s="444"/>
      <c r="L15" s="480"/>
    </row>
    <row r="16" spans="1:12" ht="12.75">
      <c r="A16" s="409">
        <v>24</v>
      </c>
      <c r="B16" s="410">
        <v>56</v>
      </c>
      <c r="C16" s="120" t="s">
        <v>19</v>
      </c>
      <c r="D16" s="1077">
        <v>110629</v>
      </c>
      <c r="E16" s="147">
        <f>'str1-3'!D78</f>
        <v>5213</v>
      </c>
      <c r="F16" s="148">
        <f t="shared" si="0"/>
        <v>105416</v>
      </c>
      <c r="G16" s="149">
        <f t="shared" si="1"/>
        <v>103141</v>
      </c>
      <c r="H16" s="147">
        <v>5307</v>
      </c>
      <c r="I16" s="150">
        <v>97834</v>
      </c>
      <c r="J16" s="443"/>
      <c r="K16" s="444"/>
      <c r="L16" s="480"/>
    </row>
    <row r="17" spans="1:13" s="20" customFormat="1" ht="12.75">
      <c r="A17" s="481">
        <v>25</v>
      </c>
      <c r="B17" s="482" t="s">
        <v>70</v>
      </c>
      <c r="C17" s="483"/>
      <c r="D17" s="484">
        <f aca="true" t="shared" si="2" ref="D17:I17">SUM(D8:D16)</f>
        <v>1394972</v>
      </c>
      <c r="E17" s="485">
        <f t="shared" si="2"/>
        <v>123764</v>
      </c>
      <c r="F17" s="486">
        <f t="shared" si="2"/>
        <v>1271208</v>
      </c>
      <c r="G17" s="77">
        <f t="shared" si="2"/>
        <v>1346538</v>
      </c>
      <c r="H17" s="487">
        <f t="shared" si="2"/>
        <v>121970</v>
      </c>
      <c r="I17" s="488">
        <f t="shared" si="2"/>
        <v>1224568</v>
      </c>
      <c r="J17" s="489"/>
      <c r="K17" s="490"/>
      <c r="L17" s="490"/>
      <c r="M17" s="1060"/>
    </row>
    <row r="18" spans="1:12" ht="12.75">
      <c r="A18" s="404">
        <v>26</v>
      </c>
      <c r="B18" s="405">
        <v>81</v>
      </c>
      <c r="C18" s="7" t="s">
        <v>144</v>
      </c>
      <c r="D18" s="429">
        <f>SUM(E18:F18)</f>
        <v>0</v>
      </c>
      <c r="E18" s="6"/>
      <c r="F18" s="145">
        <v>0</v>
      </c>
      <c r="G18" s="65">
        <f>SUM(H18:I18)</f>
        <v>0</v>
      </c>
      <c r="H18" s="6"/>
      <c r="I18" s="62">
        <v>0</v>
      </c>
      <c r="J18" s="406"/>
      <c r="K18" s="406"/>
      <c r="L18" s="406"/>
    </row>
    <row r="19" spans="1:9" ht="12.75">
      <c r="A19" s="407">
        <v>27</v>
      </c>
      <c r="B19" s="408">
        <v>82</v>
      </c>
      <c r="C19" s="99" t="s">
        <v>4</v>
      </c>
      <c r="D19" s="429">
        <f aca="true" t="shared" si="3" ref="D19:D26">SUM(E19:F19)</f>
        <v>0</v>
      </c>
      <c r="E19" s="142"/>
      <c r="F19" s="145">
        <v>0</v>
      </c>
      <c r="G19" s="144">
        <f>SUM(H19:I19)</f>
        <v>0</v>
      </c>
      <c r="H19" s="142"/>
      <c r="I19" s="145">
        <v>0</v>
      </c>
    </row>
    <row r="20" spans="1:9" ht="12.75">
      <c r="A20" s="407">
        <f>A19+1</f>
        <v>28</v>
      </c>
      <c r="B20" s="408">
        <v>83</v>
      </c>
      <c r="C20" s="99" t="s">
        <v>193</v>
      </c>
      <c r="D20" s="429">
        <f t="shared" si="3"/>
        <v>4372</v>
      </c>
      <c r="E20" s="142"/>
      <c r="F20" s="1078">
        <v>4372</v>
      </c>
      <c r="G20" s="144">
        <f aca="true" t="shared" si="4" ref="G20:G26">SUM(H20:I20)</f>
        <v>3932</v>
      </c>
      <c r="H20" s="142"/>
      <c r="I20" s="145">
        <v>3932</v>
      </c>
    </row>
    <row r="21" spans="1:9" ht="12.75">
      <c r="A21" s="407">
        <f>A20+1</f>
        <v>29</v>
      </c>
      <c r="B21" s="408">
        <v>84</v>
      </c>
      <c r="C21" s="99" t="s">
        <v>192</v>
      </c>
      <c r="D21" s="429">
        <f t="shared" si="3"/>
        <v>1979</v>
      </c>
      <c r="E21" s="142"/>
      <c r="F21" s="1078">
        <v>1979</v>
      </c>
      <c r="G21" s="144">
        <f t="shared" si="4"/>
        <v>1922</v>
      </c>
      <c r="H21" s="142"/>
      <c r="I21" s="145">
        <v>1922</v>
      </c>
    </row>
    <row r="22" spans="1:9" ht="12.75">
      <c r="A22" s="407">
        <f>A21+1</f>
        <v>30</v>
      </c>
      <c r="B22" s="408">
        <v>85</v>
      </c>
      <c r="C22" s="99" t="s">
        <v>272</v>
      </c>
      <c r="D22" s="429">
        <f t="shared" si="3"/>
        <v>0</v>
      </c>
      <c r="E22" s="142"/>
      <c r="F22" s="1078">
        <v>0</v>
      </c>
      <c r="G22" s="144">
        <f t="shared" si="4"/>
        <v>0</v>
      </c>
      <c r="H22" s="142"/>
      <c r="I22" s="145">
        <v>0</v>
      </c>
    </row>
    <row r="23" spans="1:9" ht="12.75">
      <c r="A23" s="407">
        <v>31</v>
      </c>
      <c r="B23" s="408">
        <v>92</v>
      </c>
      <c r="C23" s="99" t="s">
        <v>22</v>
      </c>
      <c r="D23" s="429">
        <f t="shared" si="3"/>
        <v>106629</v>
      </c>
      <c r="E23" s="142"/>
      <c r="F23" s="145">
        <v>106629</v>
      </c>
      <c r="G23" s="144">
        <f t="shared" si="4"/>
        <v>102528</v>
      </c>
      <c r="H23" s="142"/>
      <c r="I23" s="145">
        <v>102528</v>
      </c>
    </row>
    <row r="24" spans="1:9" ht="12.75">
      <c r="A24" s="407">
        <v>32</v>
      </c>
      <c r="B24" s="408">
        <v>96</v>
      </c>
      <c r="C24" s="99" t="s">
        <v>52</v>
      </c>
      <c r="D24" s="429">
        <f t="shared" si="3"/>
        <v>29532</v>
      </c>
      <c r="E24" s="142"/>
      <c r="F24" s="145">
        <v>29532</v>
      </c>
      <c r="G24" s="144">
        <f t="shared" si="4"/>
        <v>28472</v>
      </c>
      <c r="H24" s="142"/>
      <c r="I24" s="145">
        <v>28472</v>
      </c>
    </row>
    <row r="25" spans="1:9" ht="12.75">
      <c r="A25" s="407">
        <v>33</v>
      </c>
      <c r="B25" s="408">
        <v>97</v>
      </c>
      <c r="C25" s="99" t="s">
        <v>53</v>
      </c>
      <c r="D25" s="429">
        <f t="shared" si="3"/>
        <v>8540</v>
      </c>
      <c r="E25" s="142"/>
      <c r="F25" s="145">
        <v>8540</v>
      </c>
      <c r="G25" s="144">
        <f t="shared" si="4"/>
        <v>8291</v>
      </c>
      <c r="H25" s="142"/>
      <c r="I25" s="145">
        <v>8291</v>
      </c>
    </row>
    <row r="26" spans="1:9" ht="12.75">
      <c r="A26" s="409">
        <v>34</v>
      </c>
      <c r="B26" s="410">
        <v>99</v>
      </c>
      <c r="C26" s="120" t="s">
        <v>208</v>
      </c>
      <c r="D26" s="429">
        <f t="shared" si="3"/>
        <v>85498</v>
      </c>
      <c r="E26" s="147"/>
      <c r="F26" s="1341">
        <v>85498</v>
      </c>
      <c r="G26" s="149">
        <f t="shared" si="4"/>
        <v>82209</v>
      </c>
      <c r="H26" s="147"/>
      <c r="I26" s="150">
        <v>82209</v>
      </c>
    </row>
    <row r="27" spans="1:13" s="20" customFormat="1" ht="12.75">
      <c r="A27" s="491">
        <v>35</v>
      </c>
      <c r="B27" s="492" t="s">
        <v>341</v>
      </c>
      <c r="C27" s="492"/>
      <c r="D27" s="493">
        <f>SUM(D18:D26)</f>
        <v>236550</v>
      </c>
      <c r="E27" s="494"/>
      <c r="F27" s="495">
        <f>SUM(F18:F26)</f>
        <v>236550</v>
      </c>
      <c r="G27" s="493">
        <f>SUM(G18:G26)</f>
        <v>227354</v>
      </c>
      <c r="H27" s="494"/>
      <c r="I27" s="496">
        <f>SUM(I18:I26)</f>
        <v>227354</v>
      </c>
      <c r="J27" s="489"/>
      <c r="K27" s="490"/>
      <c r="L27" s="2"/>
      <c r="M27" s="1060"/>
    </row>
    <row r="28" spans="1:9" ht="12.75">
      <c r="A28" s="430">
        <v>36</v>
      </c>
      <c r="B28" s="431" t="s">
        <v>207</v>
      </c>
      <c r="C28" s="431"/>
      <c r="D28" s="429">
        <f>SUM(E28:F28)</f>
        <v>190543</v>
      </c>
      <c r="E28" s="432"/>
      <c r="F28" s="433">
        <v>190543</v>
      </c>
      <c r="G28" s="434">
        <f>SUM(H28:I28)</f>
        <v>183265</v>
      </c>
      <c r="H28" s="432"/>
      <c r="I28" s="435">
        <v>183265</v>
      </c>
    </row>
    <row r="29" spans="1:9" ht="12.75">
      <c r="A29" s="136">
        <v>37</v>
      </c>
      <c r="B29" s="436" t="s">
        <v>205</v>
      </c>
      <c r="C29" s="436"/>
      <c r="D29" s="141">
        <f>SUM(E29:F29)</f>
        <v>142636</v>
      </c>
      <c r="E29" s="142"/>
      <c r="F29" s="143">
        <v>142636</v>
      </c>
      <c r="G29" s="144">
        <f>SUM(H29:I29)</f>
        <v>134992</v>
      </c>
      <c r="H29" s="142"/>
      <c r="I29" s="145">
        <v>134992</v>
      </c>
    </row>
    <row r="30" spans="1:10" ht="12.75">
      <c r="A30" s="411">
        <v>38</v>
      </c>
      <c r="B30" s="412" t="s">
        <v>206</v>
      </c>
      <c r="C30" s="412"/>
      <c r="D30" s="69">
        <f>SUM(E30:F30)</f>
        <v>16000</v>
      </c>
      <c r="E30" s="22"/>
      <c r="F30" s="96">
        <v>16000</v>
      </c>
      <c r="G30" s="66">
        <f>SUM(H30:I30)</f>
        <v>16000</v>
      </c>
      <c r="H30" s="22"/>
      <c r="I30" s="63">
        <v>16000</v>
      </c>
      <c r="J30" s="93"/>
    </row>
    <row r="31" spans="1:11" ht="13.5" thickBot="1">
      <c r="A31" s="34">
        <v>39</v>
      </c>
      <c r="B31" s="35" t="s">
        <v>2</v>
      </c>
      <c r="C31" s="35"/>
      <c r="D31" s="70">
        <f>SUM(D27:D30)</f>
        <v>585729</v>
      </c>
      <c r="E31" s="36"/>
      <c r="F31" s="97">
        <f>SUM(F27:F30)</f>
        <v>585729</v>
      </c>
      <c r="G31" s="67">
        <f>SUM(G27:G30)</f>
        <v>561611</v>
      </c>
      <c r="H31" s="36"/>
      <c r="I31" s="64">
        <f>SUM(I27:I30)</f>
        <v>561611</v>
      </c>
      <c r="K31" s="406"/>
    </row>
    <row r="32" spans="1:11" ht="13.5" thickBot="1">
      <c r="A32" s="25">
        <f>A31+1</f>
        <v>40</v>
      </c>
      <c r="B32" s="26" t="s">
        <v>66</v>
      </c>
      <c r="C32" s="26"/>
      <c r="D32" s="78">
        <f aca="true" t="shared" si="5" ref="D32:I32">D17+D31</f>
        <v>1980701</v>
      </c>
      <c r="E32" s="23">
        <f t="shared" si="5"/>
        <v>123764</v>
      </c>
      <c r="F32" s="413">
        <f t="shared" si="5"/>
        <v>1856937</v>
      </c>
      <c r="G32" s="89">
        <f t="shared" si="5"/>
        <v>1908149</v>
      </c>
      <c r="H32" s="87">
        <f t="shared" si="5"/>
        <v>121970</v>
      </c>
      <c r="I32" s="414">
        <f t="shared" si="5"/>
        <v>1786179</v>
      </c>
      <c r="K32" s="406"/>
    </row>
    <row r="33" spans="4:10" ht="12.75">
      <c r="D33" s="443"/>
      <c r="E33" s="443"/>
      <c r="F33" s="443"/>
      <c r="G33" s="443"/>
      <c r="H33" s="443"/>
      <c r="I33" s="443"/>
      <c r="J33" s="406"/>
    </row>
    <row r="34" spans="1:9" ht="14.25">
      <c r="A34" s="415"/>
      <c r="D34" s="406"/>
      <c r="E34" s="406"/>
      <c r="F34" s="406"/>
      <c r="G34" s="406"/>
      <c r="H34" s="406"/>
      <c r="I34" s="406"/>
    </row>
    <row r="35" spans="1:9" ht="14.25">
      <c r="A35" s="415"/>
      <c r="D35" s="406"/>
      <c r="E35" s="406"/>
      <c r="G35" s="406"/>
      <c r="H35" s="406"/>
      <c r="I35" s="406"/>
    </row>
    <row r="36" spans="1:9" ht="14.25">
      <c r="A36" s="415"/>
      <c r="D36" s="406"/>
      <c r="E36" s="406"/>
      <c r="G36" s="406"/>
      <c r="H36" s="406"/>
      <c r="I36" s="406"/>
    </row>
    <row r="38" ht="11.25" customHeight="1"/>
    <row r="39" ht="17.25" customHeight="1" thickBot="1">
      <c r="A39" s="20" t="s">
        <v>393</v>
      </c>
    </row>
    <row r="40" spans="1:12" ht="12.75" customHeight="1">
      <c r="A40" s="393"/>
      <c r="B40" s="394"/>
      <c r="C40" s="3"/>
      <c r="D40" s="1307" t="s">
        <v>405</v>
      </c>
      <c r="E40" s="1308"/>
      <c r="F40" s="1308"/>
      <c r="G40" s="394"/>
      <c r="H40" s="3"/>
      <c r="I40" s="31"/>
      <c r="J40" s="1311" t="s">
        <v>347</v>
      </c>
      <c r="K40" s="1312"/>
      <c r="L40" s="1313"/>
    </row>
    <row r="41" spans="1:12" ht="13.5" customHeight="1">
      <c r="A41" s="395"/>
      <c r="B41" s="396"/>
      <c r="C41" s="7"/>
      <c r="D41" s="71" t="s">
        <v>401</v>
      </c>
      <c r="E41" s="1310" t="s">
        <v>62</v>
      </c>
      <c r="F41" s="1310"/>
      <c r="G41" s="396"/>
      <c r="H41" s="7"/>
      <c r="I41" s="338"/>
      <c r="J41" s="74" t="s">
        <v>401</v>
      </c>
      <c r="K41" s="1310" t="s">
        <v>62</v>
      </c>
      <c r="L41" s="1316"/>
    </row>
    <row r="42" spans="1:12" ht="13.5" customHeight="1">
      <c r="A42" s="395"/>
      <c r="B42" s="396" t="s">
        <v>68</v>
      </c>
      <c r="C42" s="7"/>
      <c r="D42" s="72" t="s">
        <v>402</v>
      </c>
      <c r="E42" s="117" t="s">
        <v>132</v>
      </c>
      <c r="F42" s="416" t="s">
        <v>103</v>
      </c>
      <c r="G42" s="1317" t="s">
        <v>104</v>
      </c>
      <c r="H42" s="1318"/>
      <c r="I42" s="1319"/>
      <c r="J42" s="75" t="s">
        <v>402</v>
      </c>
      <c r="K42" s="117" t="s">
        <v>132</v>
      </c>
      <c r="L42" s="417" t="s">
        <v>103</v>
      </c>
    </row>
    <row r="43" spans="1:12" ht="15" customHeight="1" thickBot="1">
      <c r="A43" s="399" t="s">
        <v>65</v>
      </c>
      <c r="B43" s="400" t="s">
        <v>69</v>
      </c>
      <c r="C43" s="4"/>
      <c r="D43" s="73" t="s">
        <v>21</v>
      </c>
      <c r="E43" s="401" t="s">
        <v>48</v>
      </c>
      <c r="F43" s="418" t="s">
        <v>21</v>
      </c>
      <c r="G43" s="14" t="s">
        <v>63</v>
      </c>
      <c r="H43" s="84" t="s">
        <v>389</v>
      </c>
      <c r="I43" s="13" t="s">
        <v>64</v>
      </c>
      <c r="J43" s="76" t="s">
        <v>21</v>
      </c>
      <c r="K43" s="401" t="s">
        <v>48</v>
      </c>
      <c r="L43" s="419" t="s">
        <v>21</v>
      </c>
    </row>
    <row r="44" spans="1:13" ht="12.75">
      <c r="A44" s="32">
        <v>42</v>
      </c>
      <c r="B44" s="117">
        <v>11</v>
      </c>
      <c r="C44" s="7" t="s">
        <v>11</v>
      </c>
      <c r="D44" s="68">
        <f>SUM(E44:F44)</f>
        <v>298642</v>
      </c>
      <c r="E44" s="6">
        <f aca="true" t="shared" si="6" ref="E44:E52">E8</f>
        <v>28783</v>
      </c>
      <c r="F44" s="420">
        <f>SUM(G44:I44)</f>
        <v>269859</v>
      </c>
      <c r="G44" s="81">
        <f>F8</f>
        <v>254291</v>
      </c>
      <c r="H44" s="1266">
        <f>'příl.4-odhad odpisu09'!N6</f>
        <v>15568</v>
      </c>
      <c r="I44" s="80">
        <v>0</v>
      </c>
      <c r="J44" s="65">
        <f>SUM(K44:L44)</f>
        <v>291381</v>
      </c>
      <c r="K44" s="6">
        <f>H8</f>
        <v>28673</v>
      </c>
      <c r="L44" s="421">
        <v>262708</v>
      </c>
      <c r="M44" s="1061">
        <f>D44/J44</f>
        <v>1.0249192637817839</v>
      </c>
    </row>
    <row r="45" spans="1:13" ht="12.75">
      <c r="A45" s="136">
        <v>43</v>
      </c>
      <c r="B45" s="118">
        <v>21</v>
      </c>
      <c r="C45" s="99" t="s">
        <v>12</v>
      </c>
      <c r="D45" s="141">
        <f aca="true" t="shared" si="7" ref="D45:D52">SUM(E45:F45)</f>
        <v>266816</v>
      </c>
      <c r="E45" s="142">
        <f t="shared" si="6"/>
        <v>13905</v>
      </c>
      <c r="F45" s="422">
        <f aca="true" t="shared" si="8" ref="F45:F52">SUM(G45:I45)</f>
        <v>252911</v>
      </c>
      <c r="G45" s="155">
        <f>F9</f>
        <v>250079</v>
      </c>
      <c r="H45" s="156">
        <f>'příl.4-odhad odpisu09'!N7</f>
        <v>2832</v>
      </c>
      <c r="I45" s="157">
        <v>0</v>
      </c>
      <c r="J45" s="144">
        <f aca="true" t="shared" si="9" ref="J45:J52">SUM(K45:L45)</f>
        <v>252237</v>
      </c>
      <c r="K45" s="893">
        <f aca="true" t="shared" si="10" ref="K45:K52">H9</f>
        <v>13730</v>
      </c>
      <c r="L45" s="423">
        <v>238507</v>
      </c>
      <c r="M45" s="1061">
        <f aca="true" t="shared" si="11" ref="M45:M66">D45/J45</f>
        <v>1.0577988161927077</v>
      </c>
    </row>
    <row r="46" spans="1:13" ht="12.75">
      <c r="A46" s="136">
        <v>44</v>
      </c>
      <c r="B46" s="118">
        <v>22</v>
      </c>
      <c r="C46" s="99" t="s">
        <v>13</v>
      </c>
      <c r="D46" s="141">
        <f t="shared" si="7"/>
        <v>85971</v>
      </c>
      <c r="E46" s="142">
        <f t="shared" si="6"/>
        <v>2378</v>
      </c>
      <c r="F46" s="422">
        <f t="shared" si="8"/>
        <v>83593</v>
      </c>
      <c r="G46" s="155">
        <f aca="true" t="shared" si="12" ref="G46:G52">F10</f>
        <v>82194</v>
      </c>
      <c r="H46" s="156">
        <f>'příl.4-odhad odpisu09'!N8</f>
        <v>1399</v>
      </c>
      <c r="I46" s="157">
        <v>0</v>
      </c>
      <c r="J46" s="144">
        <f t="shared" si="9"/>
        <v>85463</v>
      </c>
      <c r="K46" s="893">
        <f t="shared" si="10"/>
        <v>2269</v>
      </c>
      <c r="L46" s="423">
        <v>83194</v>
      </c>
      <c r="M46" s="1061">
        <f t="shared" si="11"/>
        <v>1.0059440927652903</v>
      </c>
    </row>
    <row r="47" spans="1:13" ht="12.75">
      <c r="A47" s="136">
        <v>45</v>
      </c>
      <c r="B47" s="118">
        <v>23</v>
      </c>
      <c r="C47" s="99" t="s">
        <v>14</v>
      </c>
      <c r="D47" s="141">
        <f t="shared" si="7"/>
        <v>108212</v>
      </c>
      <c r="E47" s="142">
        <f t="shared" si="6"/>
        <v>9191</v>
      </c>
      <c r="F47" s="422">
        <f t="shared" si="8"/>
        <v>99021</v>
      </c>
      <c r="G47" s="155">
        <f t="shared" si="12"/>
        <v>97427</v>
      </c>
      <c r="H47" s="156">
        <f>'příl.4-odhad odpisu09'!N9</f>
        <v>1594</v>
      </c>
      <c r="I47" s="157">
        <v>0</v>
      </c>
      <c r="J47" s="144">
        <f t="shared" si="9"/>
        <v>104314</v>
      </c>
      <c r="K47" s="893">
        <f t="shared" si="10"/>
        <v>9326</v>
      </c>
      <c r="L47" s="423">
        <v>94988</v>
      </c>
      <c r="M47" s="1061">
        <f t="shared" si="11"/>
        <v>1.03736794677608</v>
      </c>
    </row>
    <row r="48" spans="1:13" ht="12.75">
      <c r="A48" s="136">
        <v>46</v>
      </c>
      <c r="B48" s="118">
        <v>31</v>
      </c>
      <c r="C48" s="99" t="s">
        <v>15</v>
      </c>
      <c r="D48" s="141">
        <f t="shared" si="7"/>
        <v>222640</v>
      </c>
      <c r="E48" s="142">
        <f t="shared" si="6"/>
        <v>51176</v>
      </c>
      <c r="F48" s="422">
        <f t="shared" si="8"/>
        <v>171464</v>
      </c>
      <c r="G48" s="155">
        <f t="shared" si="12"/>
        <v>153458</v>
      </c>
      <c r="H48" s="156">
        <f>'příl.4-odhad odpisu09'!N10</f>
        <v>18006</v>
      </c>
      <c r="I48" s="157">
        <v>0</v>
      </c>
      <c r="J48" s="144">
        <f t="shared" si="9"/>
        <v>220089</v>
      </c>
      <c r="K48" s="893">
        <f t="shared" si="10"/>
        <v>50477</v>
      </c>
      <c r="L48" s="423">
        <v>169612</v>
      </c>
      <c r="M48" s="1061">
        <f t="shared" si="11"/>
        <v>1.011590765553935</v>
      </c>
    </row>
    <row r="49" spans="1:13" ht="12.75">
      <c r="A49" s="136">
        <v>47</v>
      </c>
      <c r="B49" s="118">
        <v>33</v>
      </c>
      <c r="C49" s="99" t="s">
        <v>16</v>
      </c>
      <c r="D49" s="141">
        <f t="shared" si="7"/>
        <v>103766</v>
      </c>
      <c r="E49" s="142">
        <f t="shared" si="6"/>
        <v>7320</v>
      </c>
      <c r="F49" s="422">
        <f t="shared" si="8"/>
        <v>96446</v>
      </c>
      <c r="G49" s="155">
        <f t="shared" si="12"/>
        <v>86727</v>
      </c>
      <c r="H49" s="156">
        <f>'příl.4-odhad odpisu09'!N11+'příl.1-CP'!M100</f>
        <v>9719</v>
      </c>
      <c r="I49" s="157">
        <v>0</v>
      </c>
      <c r="J49" s="144">
        <f t="shared" si="9"/>
        <v>102585</v>
      </c>
      <c r="K49" s="893">
        <f t="shared" si="10"/>
        <v>7239</v>
      </c>
      <c r="L49" s="423">
        <v>95346</v>
      </c>
      <c r="M49" s="1061">
        <f t="shared" si="11"/>
        <v>1.0115124043476142</v>
      </c>
    </row>
    <row r="50" spans="1:13" ht="12.75">
      <c r="A50" s="136">
        <v>48</v>
      </c>
      <c r="B50" s="118">
        <v>41</v>
      </c>
      <c r="C50" s="99" t="s">
        <v>17</v>
      </c>
      <c r="D50" s="141">
        <f t="shared" si="7"/>
        <v>208779</v>
      </c>
      <c r="E50" s="142">
        <f t="shared" si="6"/>
        <v>5544</v>
      </c>
      <c r="F50" s="422">
        <f t="shared" si="8"/>
        <v>203235</v>
      </c>
      <c r="G50" s="155">
        <f t="shared" si="12"/>
        <v>201667</v>
      </c>
      <c r="H50" s="156">
        <f>'příl.4-odhad odpisu09'!N12</f>
        <v>1568</v>
      </c>
      <c r="I50" s="157">
        <v>0</v>
      </c>
      <c r="J50" s="144">
        <f t="shared" si="9"/>
        <v>201376</v>
      </c>
      <c r="K50" s="893">
        <f t="shared" si="10"/>
        <v>4869</v>
      </c>
      <c r="L50" s="423">
        <v>196507</v>
      </c>
      <c r="M50" s="1061">
        <f t="shared" si="11"/>
        <v>1.0367620769108534</v>
      </c>
    </row>
    <row r="51" spans="1:13" ht="12.75">
      <c r="A51" s="136">
        <v>49</v>
      </c>
      <c r="B51" s="118">
        <v>51</v>
      </c>
      <c r="C51" s="99" t="s">
        <v>18</v>
      </c>
      <c r="D51" s="141">
        <f t="shared" si="7"/>
        <v>65416</v>
      </c>
      <c r="E51" s="142">
        <f t="shared" si="6"/>
        <v>254</v>
      </c>
      <c r="F51" s="422">
        <f t="shared" si="8"/>
        <v>65162</v>
      </c>
      <c r="G51" s="155">
        <f t="shared" si="12"/>
        <v>39949</v>
      </c>
      <c r="H51" s="156">
        <f>'příl.4-odhad odpisu09'!N13+'příl.1-CP'!M130</f>
        <v>25213</v>
      </c>
      <c r="I51" s="157">
        <v>0</v>
      </c>
      <c r="J51" s="144">
        <f t="shared" si="9"/>
        <v>66490</v>
      </c>
      <c r="K51" s="893">
        <f t="shared" si="10"/>
        <v>80</v>
      </c>
      <c r="L51" s="423">
        <v>66410</v>
      </c>
      <c r="M51" s="1061">
        <f t="shared" si="11"/>
        <v>0.9838471950669273</v>
      </c>
    </row>
    <row r="52" spans="1:13" ht="12.75">
      <c r="A52" s="424">
        <v>50</v>
      </c>
      <c r="B52" s="119">
        <v>56</v>
      </c>
      <c r="C52" s="120" t="s">
        <v>19</v>
      </c>
      <c r="D52" s="146">
        <f t="shared" si="7"/>
        <v>113000</v>
      </c>
      <c r="E52" s="147">
        <f t="shared" si="6"/>
        <v>5213</v>
      </c>
      <c r="F52" s="425">
        <f t="shared" si="8"/>
        <v>107787</v>
      </c>
      <c r="G52" s="158">
        <f t="shared" si="12"/>
        <v>105416</v>
      </c>
      <c r="H52" s="159">
        <f>'příl.4-odhad odpisu09'!N14</f>
        <v>2371</v>
      </c>
      <c r="I52" s="160">
        <v>0</v>
      </c>
      <c r="J52" s="149">
        <f t="shared" si="9"/>
        <v>105064</v>
      </c>
      <c r="K52" s="894">
        <f t="shared" si="10"/>
        <v>5307</v>
      </c>
      <c r="L52" s="426">
        <v>99757</v>
      </c>
      <c r="M52" s="1061">
        <f t="shared" si="11"/>
        <v>1.0755349120536055</v>
      </c>
    </row>
    <row r="53" spans="1:13" ht="12.75">
      <c r="A53" s="411">
        <v>51</v>
      </c>
      <c r="B53" s="37" t="s">
        <v>70</v>
      </c>
      <c r="C53" s="38"/>
      <c r="D53" s="77">
        <f aca="true" t="shared" si="13" ref="D53:I53">SUM(D44:D52)</f>
        <v>1473242</v>
      </c>
      <c r="E53" s="39">
        <f t="shared" si="13"/>
        <v>123764</v>
      </c>
      <c r="F53" s="90">
        <f t="shared" si="13"/>
        <v>1349478</v>
      </c>
      <c r="G53" s="40">
        <f t="shared" si="13"/>
        <v>1271208</v>
      </c>
      <c r="H53" s="41">
        <f t="shared" si="13"/>
        <v>78270</v>
      </c>
      <c r="I53" s="42">
        <f t="shared" si="13"/>
        <v>0</v>
      </c>
      <c r="J53" s="88">
        <f>SUM(J44:J52)</f>
        <v>1428999</v>
      </c>
      <c r="K53" s="39">
        <f>SUM(K44:K52)</f>
        <v>121970</v>
      </c>
      <c r="L53" s="91">
        <f>SUM(L44:L52)</f>
        <v>1307029</v>
      </c>
      <c r="M53" s="1061">
        <f t="shared" si="11"/>
        <v>1.0309608334225566</v>
      </c>
    </row>
    <row r="54" spans="1:13" ht="12.75">
      <c r="A54" s="404">
        <v>52</v>
      </c>
      <c r="B54" s="405">
        <v>81</v>
      </c>
      <c r="C54" s="7" t="s">
        <v>144</v>
      </c>
      <c r="D54" s="68">
        <f aca="true" t="shared" si="14" ref="D54:D63">SUM(E54:F54)</f>
        <v>0</v>
      </c>
      <c r="E54" s="36">
        <v>0</v>
      </c>
      <c r="F54" s="126">
        <f>SUM(G54:I54)</f>
        <v>0</v>
      </c>
      <c r="G54" s="81">
        <f>'příl.1-CP'!M140</f>
        <v>0</v>
      </c>
      <c r="H54" s="79">
        <f>'příl.1-CP'!M12</f>
        <v>0</v>
      </c>
      <c r="I54" s="80">
        <v>0</v>
      </c>
      <c r="J54" s="65">
        <f aca="true" t="shared" si="15" ref="J54:J63">SUM(K54:L54)</f>
        <v>0</v>
      </c>
      <c r="K54" s="36"/>
      <c r="L54" s="427">
        <f>I18</f>
        <v>0</v>
      </c>
      <c r="M54" s="1061"/>
    </row>
    <row r="55" spans="1:13" ht="12.75">
      <c r="A55" s="407">
        <v>53</v>
      </c>
      <c r="B55" s="408">
        <v>82</v>
      </c>
      <c r="C55" s="99" t="s">
        <v>4</v>
      </c>
      <c r="D55" s="141">
        <f t="shared" si="14"/>
        <v>0</v>
      </c>
      <c r="E55" s="439"/>
      <c r="F55" s="441">
        <f aca="true" t="shared" si="16" ref="F55:F63">SUM(G55:I55)</f>
        <v>0</v>
      </c>
      <c r="G55" s="895">
        <f>'příl.1-CP'!M141</f>
        <v>0</v>
      </c>
      <c r="H55" s="156">
        <f>'příl.1-CP'!M13</f>
        <v>0</v>
      </c>
      <c r="I55" s="157"/>
      <c r="J55" s="144">
        <f t="shared" si="15"/>
        <v>0</v>
      </c>
      <c r="K55" s="439"/>
      <c r="L55" s="440">
        <f>I19</f>
        <v>0</v>
      </c>
      <c r="M55" s="1061"/>
    </row>
    <row r="56" spans="1:13" ht="12.75">
      <c r="A56" s="407">
        <v>54</v>
      </c>
      <c r="B56" s="408">
        <v>83</v>
      </c>
      <c r="C56" s="99" t="s">
        <v>193</v>
      </c>
      <c r="D56" s="141">
        <f t="shared" si="14"/>
        <v>4831.228</v>
      </c>
      <c r="E56" s="439"/>
      <c r="F56" s="441">
        <f t="shared" si="16"/>
        <v>4831.228</v>
      </c>
      <c r="G56" s="895">
        <f>F20</f>
        <v>4372</v>
      </c>
      <c r="H56" s="156">
        <f>'příl.1-CP'!M14</f>
        <v>459.228</v>
      </c>
      <c r="I56" s="157"/>
      <c r="J56" s="144">
        <f t="shared" si="15"/>
        <v>4372</v>
      </c>
      <c r="K56" s="439"/>
      <c r="L56" s="440">
        <v>4372</v>
      </c>
      <c r="M56" s="1061">
        <f t="shared" si="11"/>
        <v>1.1050384263494968</v>
      </c>
    </row>
    <row r="57" spans="1:13" ht="12.75">
      <c r="A57" s="407">
        <v>55</v>
      </c>
      <c r="B57" s="408">
        <v>84</v>
      </c>
      <c r="C57" s="99" t="s">
        <v>192</v>
      </c>
      <c r="D57" s="141">
        <f t="shared" si="14"/>
        <v>3352.0466666666666</v>
      </c>
      <c r="E57" s="439"/>
      <c r="F57" s="441">
        <f t="shared" si="16"/>
        <v>3352.0466666666666</v>
      </c>
      <c r="G57" s="895">
        <f>F21</f>
        <v>1979</v>
      </c>
      <c r="H57" s="156">
        <f>'příl.1-CP'!M15+'příl.1-CP'!M132</f>
        <v>1373.0466666666666</v>
      </c>
      <c r="I57" s="157"/>
      <c r="J57" s="144">
        <f t="shared" si="15"/>
        <v>3295</v>
      </c>
      <c r="K57" s="439"/>
      <c r="L57" s="440">
        <v>3295</v>
      </c>
      <c r="M57" s="1061">
        <f t="shared" si="11"/>
        <v>1.017313100657562</v>
      </c>
    </row>
    <row r="58" spans="1:13" ht="12.75">
      <c r="A58" s="407">
        <v>56</v>
      </c>
      <c r="B58" s="408">
        <v>85</v>
      </c>
      <c r="C58" s="99" t="s">
        <v>272</v>
      </c>
      <c r="D58" s="141">
        <f t="shared" si="14"/>
        <v>0</v>
      </c>
      <c r="E58" s="142">
        <f>E22</f>
        <v>0</v>
      </c>
      <c r="F58" s="422">
        <f t="shared" si="16"/>
        <v>0</v>
      </c>
      <c r="G58" s="895">
        <f>'příl.1-CP'!M144</f>
        <v>0</v>
      </c>
      <c r="H58" s="156">
        <f>'příl.1-CP'!M16</f>
        <v>0</v>
      </c>
      <c r="I58" s="157">
        <v>0</v>
      </c>
      <c r="J58" s="144">
        <f t="shared" si="15"/>
        <v>0</v>
      </c>
      <c r="K58" s="142"/>
      <c r="L58" s="440">
        <v>0</v>
      </c>
      <c r="M58" s="1061"/>
    </row>
    <row r="59" spans="1:13" ht="12.75">
      <c r="A59" s="407">
        <v>57</v>
      </c>
      <c r="B59" s="408">
        <v>87</v>
      </c>
      <c r="C59" s="99" t="s">
        <v>379</v>
      </c>
      <c r="D59" s="141">
        <f t="shared" si="14"/>
        <v>0</v>
      </c>
      <c r="E59" s="142"/>
      <c r="F59" s="422">
        <f t="shared" si="16"/>
        <v>0</v>
      </c>
      <c r="G59" s="895"/>
      <c r="H59" s="156"/>
      <c r="I59" s="157"/>
      <c r="J59" s="144">
        <f t="shared" si="15"/>
        <v>4460</v>
      </c>
      <c r="K59" s="142"/>
      <c r="L59" s="440">
        <v>4460</v>
      </c>
      <c r="M59" s="1061"/>
    </row>
    <row r="60" spans="1:13" ht="12.75">
      <c r="A60" s="407">
        <v>58</v>
      </c>
      <c r="B60" s="408">
        <v>92</v>
      </c>
      <c r="C60" s="99" t="s">
        <v>22</v>
      </c>
      <c r="D60" s="141">
        <f t="shared" si="14"/>
        <v>138449</v>
      </c>
      <c r="E60" s="142">
        <f>E23</f>
        <v>0</v>
      </c>
      <c r="F60" s="422">
        <f t="shared" si="16"/>
        <v>138449</v>
      </c>
      <c r="G60" s="895">
        <f>F23</f>
        <v>106629</v>
      </c>
      <c r="H60" s="156">
        <f>'příl.1-CP'!M18+'příl.1-CP'!M126</f>
        <v>31820</v>
      </c>
      <c r="I60" s="157">
        <v>0</v>
      </c>
      <c r="J60" s="144">
        <f t="shared" si="15"/>
        <v>134823</v>
      </c>
      <c r="K60" s="142"/>
      <c r="L60" s="440">
        <v>134823</v>
      </c>
      <c r="M60" s="1061">
        <f t="shared" si="11"/>
        <v>1.026894520964524</v>
      </c>
    </row>
    <row r="61" spans="1:13" ht="12.75">
      <c r="A61" s="407">
        <v>59</v>
      </c>
      <c r="B61" s="408">
        <v>96</v>
      </c>
      <c r="C61" s="99" t="s">
        <v>52</v>
      </c>
      <c r="D61" s="141">
        <f t="shared" si="14"/>
        <v>29689</v>
      </c>
      <c r="E61" s="142">
        <f>E24</f>
        <v>0</v>
      </c>
      <c r="F61" s="422">
        <f t="shared" si="16"/>
        <v>29689</v>
      </c>
      <c r="G61" s="895">
        <f>F24</f>
        <v>29532</v>
      </c>
      <c r="H61" s="156">
        <f>'příl.1-CP'!M20</f>
        <v>157</v>
      </c>
      <c r="I61" s="157">
        <v>0</v>
      </c>
      <c r="J61" s="144">
        <f t="shared" si="15"/>
        <v>28604</v>
      </c>
      <c r="K61" s="142"/>
      <c r="L61" s="440">
        <v>28604</v>
      </c>
      <c r="M61" s="1061">
        <f t="shared" si="11"/>
        <v>1.0379317577961125</v>
      </c>
    </row>
    <row r="62" spans="1:13" ht="12.75">
      <c r="A62" s="407">
        <v>60</v>
      </c>
      <c r="B62" s="408">
        <v>97</v>
      </c>
      <c r="C62" s="99" t="s">
        <v>53</v>
      </c>
      <c r="D62" s="141">
        <f t="shared" si="14"/>
        <v>8630</v>
      </c>
      <c r="E62" s="142">
        <f>E25</f>
        <v>0</v>
      </c>
      <c r="F62" s="422">
        <f t="shared" si="16"/>
        <v>8630</v>
      </c>
      <c r="G62" s="895">
        <f>F25</f>
        <v>8540</v>
      </c>
      <c r="H62" s="156">
        <f>'příl.1-CP'!M21</f>
        <v>90</v>
      </c>
      <c r="I62" s="157">
        <v>0</v>
      </c>
      <c r="J62" s="144">
        <f t="shared" si="15"/>
        <v>8365</v>
      </c>
      <c r="K62" s="142"/>
      <c r="L62" s="440">
        <v>8365</v>
      </c>
      <c r="M62" s="1061">
        <f t="shared" si="11"/>
        <v>1.031679617453676</v>
      </c>
    </row>
    <row r="63" spans="1:13" ht="12.75">
      <c r="A63" s="409">
        <v>61</v>
      </c>
      <c r="B63" s="410">
        <v>99</v>
      </c>
      <c r="C63" s="120" t="s">
        <v>208</v>
      </c>
      <c r="D63" s="69">
        <f t="shared" si="14"/>
        <v>223508</v>
      </c>
      <c r="E63" s="22">
        <f>E26</f>
        <v>0</v>
      </c>
      <c r="F63" s="437">
        <f t="shared" si="16"/>
        <v>223508</v>
      </c>
      <c r="G63" s="1342">
        <f>F26</f>
        <v>85498</v>
      </c>
      <c r="H63" s="438">
        <f>'příl.1-CP'!M22+'příl.1-CP'!M93+'příl.1-CP'!M23</f>
        <v>122010</v>
      </c>
      <c r="I63" s="42">
        <f>'příl.1-CP'!M135</f>
        <v>16000</v>
      </c>
      <c r="J63" s="66">
        <f t="shared" si="15"/>
        <v>196231</v>
      </c>
      <c r="K63" s="22"/>
      <c r="L63" s="440">
        <v>196231</v>
      </c>
      <c r="M63" s="1061">
        <f t="shared" si="11"/>
        <v>1.1390045405669849</v>
      </c>
    </row>
    <row r="64" spans="1:13" ht="12.75">
      <c r="A64" s="32">
        <v>62</v>
      </c>
      <c r="B64" s="35" t="s">
        <v>209</v>
      </c>
      <c r="C64" s="35"/>
      <c r="D64" s="70">
        <f aca="true" t="shared" si="17" ref="D64:I64">SUM(D54:D63)</f>
        <v>408459.27466666664</v>
      </c>
      <c r="E64" s="125">
        <f t="shared" si="17"/>
        <v>0</v>
      </c>
      <c r="F64" s="126">
        <f>SUM(F54:F63)</f>
        <v>408459.27466666664</v>
      </c>
      <c r="G64" s="125">
        <f t="shared" si="17"/>
        <v>236550</v>
      </c>
      <c r="H64" s="127">
        <f t="shared" si="17"/>
        <v>155909.27466666666</v>
      </c>
      <c r="I64" s="128">
        <f t="shared" si="17"/>
        <v>16000</v>
      </c>
      <c r="J64" s="129">
        <f>SUM(J54:J63)</f>
        <v>380150</v>
      </c>
      <c r="K64" s="130">
        <f>SUM(K58:K63)</f>
        <v>0</v>
      </c>
      <c r="L64" s="131">
        <f>SUM(L54:L63)</f>
        <v>380150</v>
      </c>
      <c r="M64" s="1061">
        <f t="shared" si="11"/>
        <v>1.0744686956902976</v>
      </c>
    </row>
    <row r="65" spans="1:13" ht="13.5" thickBot="1">
      <c r="A65" s="428">
        <v>63</v>
      </c>
      <c r="B65" s="151" t="s">
        <v>204</v>
      </c>
      <c r="C65" s="151"/>
      <c r="D65" s="152">
        <f>SUM(E65:F65)</f>
        <v>99000</v>
      </c>
      <c r="E65" s="153">
        <v>0</v>
      </c>
      <c r="F65" s="161">
        <f>SUM(G65:I65)</f>
        <v>99000</v>
      </c>
      <c r="G65" s="162"/>
      <c r="H65" s="163">
        <f>'příl.1-CP'!M7</f>
        <v>99000</v>
      </c>
      <c r="I65" s="164">
        <v>0</v>
      </c>
      <c r="J65" s="154">
        <f>SUM(K65:L65)</f>
        <v>99000</v>
      </c>
      <c r="K65" s="153">
        <v>0</v>
      </c>
      <c r="L65" s="165">
        <v>99000</v>
      </c>
      <c r="M65" s="1061">
        <f t="shared" si="11"/>
        <v>1</v>
      </c>
    </row>
    <row r="66" spans="1:13" ht="14.25" customHeight="1" thickBot="1">
      <c r="A66" s="86">
        <v>64</v>
      </c>
      <c r="B66" s="26" t="s">
        <v>66</v>
      </c>
      <c r="C66" s="27"/>
      <c r="D66" s="78">
        <f>D53+D64+D65</f>
        <v>1980701.2746666665</v>
      </c>
      <c r="E66" s="23">
        <f>E53+E64</f>
        <v>123764</v>
      </c>
      <c r="F66" s="28">
        <f>F53+F64+F65</f>
        <v>1856937.2746666665</v>
      </c>
      <c r="G66" s="82">
        <f>G53+G64+G65</f>
        <v>1507758</v>
      </c>
      <c r="H66" s="85">
        <f>H53+H64+H65</f>
        <v>333179.27466666664</v>
      </c>
      <c r="I66" s="83">
        <f>I53+I64+G65</f>
        <v>16000</v>
      </c>
      <c r="J66" s="89">
        <f>J53+SUM(J64:J65)</f>
        <v>1908149</v>
      </c>
      <c r="K66" s="87">
        <f>SUM(K64:K65)+K53</f>
        <v>121970</v>
      </c>
      <c r="L66" s="92">
        <f>SUM(L64:L65)+L53</f>
        <v>1786179</v>
      </c>
      <c r="M66" s="1061">
        <f t="shared" si="11"/>
        <v>1.038022331938788</v>
      </c>
    </row>
    <row r="67" spans="1:13" s="897" customFormat="1" ht="13.5">
      <c r="A67" s="896" t="s">
        <v>390</v>
      </c>
      <c r="D67" s="898"/>
      <c r="E67" s="898"/>
      <c r="G67" s="898"/>
      <c r="H67" s="898"/>
      <c r="I67" s="898"/>
      <c r="L67" s="898"/>
      <c r="M67" s="1062"/>
    </row>
    <row r="68" spans="1:13" s="1" customFormat="1" ht="14.25">
      <c r="A68" s="497"/>
      <c r="D68" s="1031"/>
      <c r="E68" s="498"/>
      <c r="G68" s="498"/>
      <c r="H68" s="498"/>
      <c r="I68" s="995"/>
      <c r="M68" s="1063"/>
    </row>
    <row r="69" spans="1:13" s="15" customFormat="1" ht="11.25">
      <c r="A69" s="1044" t="s">
        <v>71</v>
      </c>
      <c r="D69" s="1045"/>
      <c r="H69" s="1045"/>
      <c r="I69" s="995"/>
      <c r="M69" s="1064"/>
    </row>
    <row r="70" spans="1:13" s="15" customFormat="1" ht="11.25">
      <c r="A70" s="15" t="s">
        <v>72</v>
      </c>
      <c r="C70" s="15" t="s">
        <v>521</v>
      </c>
      <c r="M70" s="1064"/>
    </row>
    <row r="71" spans="1:13" s="15" customFormat="1" ht="11.25">
      <c r="A71" s="15" t="s">
        <v>73</v>
      </c>
      <c r="C71" s="15" t="s">
        <v>522</v>
      </c>
      <c r="M71" s="1064"/>
    </row>
    <row r="72" spans="1:13" s="15" customFormat="1" ht="11.25">
      <c r="A72" s="15" t="s">
        <v>150</v>
      </c>
      <c r="C72" s="15" t="s">
        <v>523</v>
      </c>
      <c r="M72" s="1064"/>
    </row>
    <row r="73" spans="1:13" s="15" customFormat="1" ht="11.25">
      <c r="A73" s="15" t="s">
        <v>336</v>
      </c>
      <c r="C73" s="1046" t="s">
        <v>524</v>
      </c>
      <c r="M73" s="1064"/>
    </row>
    <row r="74" spans="3:13" s="15" customFormat="1" ht="11.25">
      <c r="C74" s="836"/>
      <c r="M74" s="1064"/>
    </row>
    <row r="75" spans="1:13" s="15" customFormat="1" ht="11.25">
      <c r="A75" s="1047" t="s">
        <v>527</v>
      </c>
      <c r="B75" s="1047"/>
      <c r="C75" s="1047"/>
      <c r="D75" s="15" t="s">
        <v>394</v>
      </c>
      <c r="E75" s="15" t="s">
        <v>395</v>
      </c>
      <c r="H75" s="1048"/>
      <c r="I75" s="1048"/>
      <c r="J75" s="1048"/>
      <c r="K75" s="1048"/>
      <c r="L75" s="1048"/>
      <c r="M75" s="1064"/>
    </row>
    <row r="76" spans="1:13" s="15" customFormat="1" ht="11.25">
      <c r="A76" s="1047"/>
      <c r="E76" s="799" t="s">
        <v>396</v>
      </c>
      <c r="G76" s="799"/>
      <c r="J76" s="15" t="s">
        <v>398</v>
      </c>
      <c r="M76" s="1064"/>
    </row>
    <row r="77" spans="5:7" ht="12.75">
      <c r="E77" s="1058"/>
      <c r="G77" s="1058"/>
    </row>
    <row r="78" spans="5:13" s="15" customFormat="1" ht="11.25">
      <c r="E78" s="799" t="s">
        <v>397</v>
      </c>
      <c r="G78" s="799"/>
      <c r="H78" s="1048"/>
      <c r="I78" s="1048"/>
      <c r="J78" s="1048"/>
      <c r="K78" s="1048"/>
      <c r="L78" s="1048"/>
      <c r="M78" s="1064"/>
    </row>
    <row r="79" spans="5:13" s="15" customFormat="1" ht="11.25">
      <c r="E79" s="799" t="s">
        <v>400</v>
      </c>
      <c r="G79" s="799"/>
      <c r="J79" s="15" t="s">
        <v>398</v>
      </c>
      <c r="M79" s="1064"/>
    </row>
    <row r="80" spans="6:7" ht="12.75">
      <c r="F80" s="1058"/>
      <c r="G80" s="1058"/>
    </row>
    <row r="81" spans="6:7" ht="12.75">
      <c r="F81" s="1058"/>
      <c r="G81" s="1058"/>
    </row>
  </sheetData>
  <mergeCells count="9">
    <mergeCell ref="J40:L40"/>
    <mergeCell ref="E41:F41"/>
    <mergeCell ref="K41:L41"/>
    <mergeCell ref="G42:I42"/>
    <mergeCell ref="D40:F40"/>
    <mergeCell ref="D4:F4"/>
    <mergeCell ref="E5:F5"/>
    <mergeCell ref="G4:I4"/>
    <mergeCell ref="H5:I5"/>
  </mergeCells>
  <printOptions/>
  <pageMargins left="0.57" right="0.3" top="0.68" bottom="0.34" header="0.4921259845" footer="0.19"/>
  <pageSetup horizontalDpi="1200" verticalDpi="1200" orientation="landscape" paperSize="9" r:id="rId1"/>
  <headerFooter alignWithMargins="0">
    <oddFooter>&amp;C&amp;P+4
</oddFooter>
  </headerFooter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75"/>
  <sheetViews>
    <sheetView workbookViewId="0" topLeftCell="A1">
      <selection activeCell="C53" sqref="C53:M53"/>
    </sheetView>
  </sheetViews>
  <sheetFormatPr defaultColWidth="9.00390625" defaultRowHeight="12.75"/>
  <cols>
    <col min="1" max="1" width="4.375" style="305" customWidth="1"/>
    <col min="2" max="2" width="3.875" style="304" customWidth="1"/>
    <col min="3" max="3" width="52.625" style="305" bestFit="1" customWidth="1"/>
    <col min="4" max="6" width="6.625" style="306" hidden="1" customWidth="1"/>
    <col min="7" max="7" width="6.625" style="315" hidden="1" customWidth="1"/>
    <col min="8" max="8" width="7.375" style="315" hidden="1" customWidth="1"/>
    <col min="9" max="9" width="8.00390625" style="306" hidden="1" customWidth="1"/>
    <col min="10" max="10" width="9.375" style="315" hidden="1" customWidth="1"/>
    <col min="11" max="11" width="10.75390625" style="306" customWidth="1"/>
    <col min="12" max="12" width="0" style="305" hidden="1" customWidth="1"/>
    <col min="13" max="13" width="10.875" style="305" customWidth="1"/>
    <col min="14" max="14" width="9.125" style="1252" customWidth="1"/>
    <col min="15" max="16" width="9.125" style="305" customWidth="1"/>
    <col min="17" max="17" width="8.75390625" style="305" bestFit="1" customWidth="1"/>
    <col min="18" max="19" width="6.625" style="305" bestFit="1" customWidth="1"/>
    <col min="20" max="16384" width="9.125" style="305" customWidth="1"/>
  </cols>
  <sheetData>
    <row r="1" spans="1:11" ht="15.75">
      <c r="A1" s="303" t="s">
        <v>528</v>
      </c>
      <c r="G1" s="306"/>
      <c r="H1" s="306"/>
      <c r="I1" s="316"/>
      <c r="J1" s="937"/>
      <c r="K1" s="553"/>
    </row>
    <row r="2" spans="2:14" s="307" customFormat="1" ht="12.75">
      <c r="B2" s="308"/>
      <c r="D2" s="306"/>
      <c r="E2" s="306"/>
      <c r="F2" s="306"/>
      <c r="G2" s="306"/>
      <c r="I2" s="316"/>
      <c r="J2" s="554"/>
      <c r="K2" s="938"/>
      <c r="N2" s="1253"/>
    </row>
    <row r="3" spans="1:13" ht="12.75" customHeight="1" thickBot="1">
      <c r="A3" s="307"/>
      <c r="B3" s="308"/>
      <c r="C3" s="307"/>
      <c r="G3" s="306"/>
      <c r="H3" s="307"/>
      <c r="I3" s="316"/>
      <c r="J3" s="554"/>
      <c r="K3" s="938"/>
      <c r="L3" s="1212"/>
      <c r="M3" s="306"/>
    </row>
    <row r="4" spans="1:14" ht="12.75" customHeight="1">
      <c r="A4" s="309"/>
      <c r="B4" s="310"/>
      <c r="C4" s="311"/>
      <c r="D4" s="555" t="s">
        <v>54</v>
      </c>
      <c r="E4" s="555" t="s">
        <v>54</v>
      </c>
      <c r="F4" s="555" t="s">
        <v>54</v>
      </c>
      <c r="G4" s="555" t="s">
        <v>54</v>
      </c>
      <c r="H4" s="556" t="s">
        <v>54</v>
      </c>
      <c r="I4" s="721" t="s">
        <v>240</v>
      </c>
      <c r="J4" s="939" t="s">
        <v>241</v>
      </c>
      <c r="K4" s="939" t="s">
        <v>54</v>
      </c>
      <c r="L4" s="501" t="s">
        <v>446</v>
      </c>
      <c r="M4" s="1204" t="s">
        <v>54</v>
      </c>
      <c r="N4" s="1254"/>
    </row>
    <row r="5" spans="1:14" ht="12.75" customHeight="1" thickBot="1">
      <c r="A5" s="312"/>
      <c r="B5" s="313" t="s">
        <v>55</v>
      </c>
      <c r="C5" s="314" t="s">
        <v>56</v>
      </c>
      <c r="D5" s="557">
        <v>2002</v>
      </c>
      <c r="E5" s="557">
        <v>2003</v>
      </c>
      <c r="F5" s="557">
        <v>2004</v>
      </c>
      <c r="G5" s="557">
        <v>2005</v>
      </c>
      <c r="H5" s="558">
        <v>2006</v>
      </c>
      <c r="I5" s="722" t="s">
        <v>242</v>
      </c>
      <c r="J5" s="940">
        <v>2007</v>
      </c>
      <c r="K5" s="940">
        <v>2008</v>
      </c>
      <c r="L5" s="502">
        <v>2009</v>
      </c>
      <c r="M5" s="1205">
        <v>2009</v>
      </c>
      <c r="N5" s="1254"/>
    </row>
    <row r="6" spans="1:14" s="316" customFormat="1" ht="12.75" customHeight="1" thickBot="1">
      <c r="A6" s="503"/>
      <c r="B6" s="504"/>
      <c r="C6" s="505" t="s">
        <v>235</v>
      </c>
      <c r="D6" s="559">
        <f>D7+D10+D11+D23</f>
        <v>96800</v>
      </c>
      <c r="E6" s="560">
        <f>E7+E10+E11+E23</f>
        <v>135000</v>
      </c>
      <c r="F6" s="559">
        <f>F7+F10+F11+F23</f>
        <v>149727</v>
      </c>
      <c r="G6" s="560">
        <f>G7+G10+G11+G23</f>
        <v>208145</v>
      </c>
      <c r="H6" s="561">
        <f>H7+H10+H11+H23</f>
        <v>169333</v>
      </c>
      <c r="I6" s="735">
        <f>I7+SUM(I10:I11)+I23</f>
        <v>0</v>
      </c>
      <c r="J6" s="941">
        <v>185234</v>
      </c>
      <c r="K6" s="941">
        <v>183265</v>
      </c>
      <c r="L6" s="747">
        <f>L7+L10+L11+L23</f>
        <v>253096.90933333331</v>
      </c>
      <c r="M6" s="747">
        <f>M7+M10+M11+M23</f>
        <v>190543.27466666666</v>
      </c>
      <c r="N6" s="1254"/>
    </row>
    <row r="7" spans="1:14" s="316" customFormat="1" ht="12.75" customHeight="1">
      <c r="A7" s="506"/>
      <c r="B7" s="562">
        <v>1</v>
      </c>
      <c r="C7" s="563" t="s">
        <v>214</v>
      </c>
      <c r="D7" s="564">
        <v>88000</v>
      </c>
      <c r="E7" s="564">
        <v>89000</v>
      </c>
      <c r="F7" s="565"/>
      <c r="G7" s="565">
        <v>88000</v>
      </c>
      <c r="H7" s="566">
        <v>99000</v>
      </c>
      <c r="I7" s="736">
        <f>SUM(I8:I9)</f>
        <v>0</v>
      </c>
      <c r="J7" s="942">
        <v>99000</v>
      </c>
      <c r="K7" s="942">
        <v>99000</v>
      </c>
      <c r="L7" s="748">
        <f>SUM(L8:L9)</f>
        <v>99000</v>
      </c>
      <c r="M7" s="748">
        <f>SUM(M8:M9)</f>
        <v>99000</v>
      </c>
      <c r="N7" s="1254"/>
    </row>
    <row r="8" spans="1:14" s="316" customFormat="1" ht="12.75" customHeight="1">
      <c r="A8" s="320"/>
      <c r="B8" s="507" t="s">
        <v>456</v>
      </c>
      <c r="C8" s="523" t="s">
        <v>243</v>
      </c>
      <c r="D8" s="567"/>
      <c r="E8" s="567"/>
      <c r="F8" s="568"/>
      <c r="G8" s="568"/>
      <c r="H8" s="524"/>
      <c r="I8" s="737"/>
      <c r="J8" s="943">
        <v>23960</v>
      </c>
      <c r="K8" s="943">
        <v>40093</v>
      </c>
      <c r="L8" s="749">
        <v>0</v>
      </c>
      <c r="M8" s="749">
        <v>0</v>
      </c>
      <c r="N8" s="1254"/>
    </row>
    <row r="9" spans="1:14" s="316" customFormat="1" ht="12.75" customHeight="1">
      <c r="A9" s="320"/>
      <c r="B9" s="507" t="s">
        <v>457</v>
      </c>
      <c r="C9" s="569" t="s">
        <v>244</v>
      </c>
      <c r="D9" s="570"/>
      <c r="E9" s="570"/>
      <c r="F9" s="571"/>
      <c r="G9" s="571"/>
      <c r="H9" s="572"/>
      <c r="I9" s="738"/>
      <c r="J9" s="944">
        <v>75040</v>
      </c>
      <c r="K9" s="944">
        <v>58907</v>
      </c>
      <c r="L9" s="750">
        <v>99000</v>
      </c>
      <c r="M9" s="750">
        <v>99000</v>
      </c>
      <c r="N9" s="1254"/>
    </row>
    <row r="10" spans="1:14" s="317" customFormat="1" ht="12.75" customHeight="1">
      <c r="A10" s="320"/>
      <c r="B10" s="573">
        <v>2</v>
      </c>
      <c r="C10" s="574" t="s">
        <v>245</v>
      </c>
      <c r="D10" s="575"/>
      <c r="E10" s="575"/>
      <c r="F10" s="576">
        <v>92280</v>
      </c>
      <c r="G10" s="576">
        <v>21517</v>
      </c>
      <c r="H10" s="577">
        <v>38176</v>
      </c>
      <c r="I10" s="739">
        <v>0</v>
      </c>
      <c r="J10" s="945">
        <v>41148</v>
      </c>
      <c r="K10" s="945">
        <v>48601</v>
      </c>
      <c r="L10" s="1213">
        <f>'příl.4-odhad odpisu09'!N26</f>
        <v>46410</v>
      </c>
      <c r="M10" s="1054">
        <f>'příl.4-odhad odpisu09'!N26</f>
        <v>46410</v>
      </c>
      <c r="N10" s="1255"/>
    </row>
    <row r="11" spans="1:14" s="317" customFormat="1" ht="12.75" customHeight="1">
      <c r="A11" s="320"/>
      <c r="B11" s="573">
        <v>3</v>
      </c>
      <c r="C11" s="574" t="s">
        <v>215</v>
      </c>
      <c r="D11" s="575">
        <f aca="true" t="shared" si="0" ref="D11:I11">SUM(D12:D22)</f>
        <v>0</v>
      </c>
      <c r="E11" s="575">
        <f t="shared" si="0"/>
        <v>13000</v>
      </c>
      <c r="F11" s="575">
        <f t="shared" si="0"/>
        <v>37547</v>
      </c>
      <c r="G11" s="575">
        <f t="shared" si="0"/>
        <v>19628</v>
      </c>
      <c r="H11" s="578">
        <f t="shared" si="0"/>
        <v>22520</v>
      </c>
      <c r="I11" s="740">
        <f t="shared" si="0"/>
        <v>0</v>
      </c>
      <c r="J11" s="946">
        <v>21905</v>
      </c>
      <c r="K11" s="946">
        <v>17164</v>
      </c>
      <c r="L11" s="1214">
        <f>SUM(L12:L22)</f>
        <v>78696.54933333334</v>
      </c>
      <c r="M11" s="718">
        <f>SUM(M12:M22)</f>
        <v>16143.274666666666</v>
      </c>
      <c r="N11" s="1256"/>
    </row>
    <row r="12" spans="1:14" s="317" customFormat="1" ht="12.75" customHeight="1">
      <c r="A12" s="329"/>
      <c r="B12" s="508"/>
      <c r="C12" s="509" t="s">
        <v>59</v>
      </c>
      <c r="D12" s="579"/>
      <c r="E12" s="580"/>
      <c r="F12" s="580">
        <v>7078</v>
      </c>
      <c r="G12" s="580"/>
      <c r="H12" s="510">
        <v>0</v>
      </c>
      <c r="I12" s="726"/>
      <c r="J12" s="947">
        <v>0</v>
      </c>
      <c r="K12" s="947">
        <v>0</v>
      </c>
      <c r="L12" s="1216">
        <v>0</v>
      </c>
      <c r="M12" s="1055">
        <v>0</v>
      </c>
      <c r="N12" s="1256"/>
    </row>
    <row r="13" spans="1:14" s="317" customFormat="1" ht="12.75" customHeight="1">
      <c r="A13" s="329"/>
      <c r="B13" s="508"/>
      <c r="C13" s="511" t="s">
        <v>174</v>
      </c>
      <c r="D13" s="581"/>
      <c r="E13" s="582"/>
      <c r="F13" s="582"/>
      <c r="G13" s="582"/>
      <c r="H13" s="512">
        <v>0</v>
      </c>
      <c r="I13" s="734"/>
      <c r="J13" s="948">
        <v>0</v>
      </c>
      <c r="K13" s="947">
        <v>0</v>
      </c>
      <c r="L13" s="1216">
        <v>0</v>
      </c>
      <c r="M13" s="1055">
        <v>0</v>
      </c>
      <c r="N13" s="1256"/>
    </row>
    <row r="14" spans="1:14" s="317" customFormat="1" ht="12.75" customHeight="1">
      <c r="A14" s="329"/>
      <c r="B14" s="508"/>
      <c r="C14" s="511" t="s">
        <v>201</v>
      </c>
      <c r="D14" s="581"/>
      <c r="E14" s="582"/>
      <c r="F14" s="582"/>
      <c r="G14" s="582">
        <v>300</v>
      </c>
      <c r="H14" s="512">
        <v>395</v>
      </c>
      <c r="I14" s="734"/>
      <c r="J14" s="948">
        <v>396</v>
      </c>
      <c r="K14" s="947">
        <v>440</v>
      </c>
      <c r="L14" s="1216">
        <f>'příl.4-odhad odpisu09'!N17</f>
        <v>459.228</v>
      </c>
      <c r="M14" s="1055">
        <f>'příl.4-odhad odpisu09'!N17</f>
        <v>459.228</v>
      </c>
      <c r="N14" s="1256"/>
    </row>
    <row r="15" spans="1:14" s="317" customFormat="1" ht="12.75" customHeight="1">
      <c r="A15" s="329"/>
      <c r="B15" s="508"/>
      <c r="C15" s="511" t="s">
        <v>189</v>
      </c>
      <c r="D15" s="581"/>
      <c r="E15" s="582"/>
      <c r="F15" s="582"/>
      <c r="G15" s="582">
        <v>114</v>
      </c>
      <c r="H15" s="512">
        <v>30</v>
      </c>
      <c r="I15" s="734"/>
      <c r="J15" s="948">
        <v>64</v>
      </c>
      <c r="K15" s="947">
        <v>123</v>
      </c>
      <c r="L15" s="1216">
        <f>'příl.4-odhad odpisu09'!N18</f>
        <v>123.04666666666665</v>
      </c>
      <c r="M15" s="1055">
        <f>'příl.4-odhad odpisu09'!N18</f>
        <v>123.04666666666665</v>
      </c>
      <c r="N15" s="1256"/>
    </row>
    <row r="16" spans="1:14" s="317" customFormat="1" ht="12.75" customHeight="1">
      <c r="A16" s="329"/>
      <c r="B16" s="508"/>
      <c r="C16" s="511" t="s">
        <v>246</v>
      </c>
      <c r="D16" s="581"/>
      <c r="E16" s="582"/>
      <c r="F16" s="582"/>
      <c r="G16" s="582"/>
      <c r="H16" s="512">
        <v>0</v>
      </c>
      <c r="I16" s="734"/>
      <c r="J16" s="948">
        <v>0</v>
      </c>
      <c r="K16" s="947">
        <v>0</v>
      </c>
      <c r="L16" s="1216">
        <v>0</v>
      </c>
      <c r="M16" s="1055">
        <v>0</v>
      </c>
      <c r="N16" s="1256"/>
    </row>
    <row r="17" spans="1:14" s="317" customFormat="1" ht="12.75" customHeight="1" hidden="1">
      <c r="A17" s="329"/>
      <c r="B17" s="508"/>
      <c r="C17" s="511" t="s">
        <v>447</v>
      </c>
      <c r="D17" s="581"/>
      <c r="E17" s="582"/>
      <c r="F17" s="582">
        <v>381</v>
      </c>
      <c r="G17" s="582"/>
      <c r="H17" s="512"/>
      <c r="I17" s="734"/>
      <c r="J17" s="948">
        <v>0</v>
      </c>
      <c r="K17" s="947">
        <v>0</v>
      </c>
      <c r="L17" s="1216">
        <v>0</v>
      </c>
      <c r="M17" s="1055">
        <v>0</v>
      </c>
      <c r="N17" s="1256"/>
    </row>
    <row r="18" spans="1:14" s="317" customFormat="1" ht="12.75" customHeight="1">
      <c r="A18" s="329"/>
      <c r="B18" s="508"/>
      <c r="C18" s="511" t="s">
        <v>216</v>
      </c>
      <c r="D18" s="581"/>
      <c r="E18" s="582">
        <v>13000</v>
      </c>
      <c r="F18" s="582">
        <f>9708+17263</f>
        <v>26971</v>
      </c>
      <c r="G18" s="582">
        <v>18314</v>
      </c>
      <c r="H18" s="512">
        <v>20182</v>
      </c>
      <c r="I18" s="734"/>
      <c r="J18" s="948">
        <v>19690</v>
      </c>
      <c r="K18" s="947">
        <v>14235</v>
      </c>
      <c r="L18" s="988">
        <f>'příl.4-odhad odpisu09'!N21</f>
        <v>13135</v>
      </c>
      <c r="M18" s="1055">
        <f>'příl.4-odhad odpisu09'!N21</f>
        <v>13135</v>
      </c>
      <c r="N18" s="1256"/>
    </row>
    <row r="19" spans="1:14" s="318" customFormat="1" ht="12.75" customHeight="1" hidden="1">
      <c r="A19" s="329"/>
      <c r="B19" s="508"/>
      <c r="C19" s="511" t="s">
        <v>148</v>
      </c>
      <c r="D19" s="581"/>
      <c r="E19" s="582"/>
      <c r="F19" s="582"/>
      <c r="G19" s="582"/>
      <c r="H19" s="512">
        <v>0</v>
      </c>
      <c r="I19" s="734"/>
      <c r="J19" s="948">
        <v>0</v>
      </c>
      <c r="K19" s="947">
        <v>0</v>
      </c>
      <c r="L19" s="1216">
        <f>'příl.4-odhad odpisu09'!N22</f>
        <v>157</v>
      </c>
      <c r="M19" s="1055">
        <v>0</v>
      </c>
      <c r="N19" s="1256"/>
    </row>
    <row r="20" spans="1:14" s="316" customFormat="1" ht="12.75" customHeight="1">
      <c r="A20" s="329"/>
      <c r="B20" s="508"/>
      <c r="C20" s="511" t="s">
        <v>60</v>
      </c>
      <c r="D20" s="581"/>
      <c r="E20" s="582"/>
      <c r="F20" s="582">
        <v>68</v>
      </c>
      <c r="G20" s="582">
        <v>60</v>
      </c>
      <c r="H20" s="512">
        <v>42</v>
      </c>
      <c r="I20" s="734"/>
      <c r="J20" s="948">
        <v>58</v>
      </c>
      <c r="K20" s="947">
        <v>132</v>
      </c>
      <c r="L20" s="1216">
        <f>'příl.4-odhad odpisu09'!N23</f>
        <v>90</v>
      </c>
      <c r="M20" s="1055">
        <f>'příl.4-odhad odpisu09'!N22</f>
        <v>157</v>
      </c>
      <c r="N20" s="1257"/>
    </row>
    <row r="21" spans="1:14" s="318" customFormat="1" ht="12.75" customHeight="1">
      <c r="A21" s="329"/>
      <c r="B21" s="508"/>
      <c r="C21" s="511" t="s">
        <v>61</v>
      </c>
      <c r="D21" s="581"/>
      <c r="E21" s="582"/>
      <c r="F21" s="582">
        <v>74</v>
      </c>
      <c r="G21" s="582">
        <v>63</v>
      </c>
      <c r="H21" s="512">
        <v>64</v>
      </c>
      <c r="I21" s="734"/>
      <c r="J21" s="948">
        <v>71</v>
      </c>
      <c r="K21" s="947">
        <v>74</v>
      </c>
      <c r="L21" s="1216">
        <f>'příl.4-odhad odpisu09'!N24</f>
        <v>2179</v>
      </c>
      <c r="M21" s="1055">
        <f>'příl.4-odhad odpisu09'!N23</f>
        <v>90</v>
      </c>
      <c r="N21" s="1254"/>
    </row>
    <row r="22" spans="1:14" s="318" customFormat="1" ht="12">
      <c r="A22" s="513"/>
      <c r="B22" s="514"/>
      <c r="C22" s="515" t="s">
        <v>175</v>
      </c>
      <c r="D22" s="583"/>
      <c r="E22" s="584"/>
      <c r="F22" s="584">
        <v>2975</v>
      </c>
      <c r="G22" s="584">
        <v>777</v>
      </c>
      <c r="H22" s="516">
        <v>1807</v>
      </c>
      <c r="I22" s="741"/>
      <c r="J22" s="948">
        <v>1626</v>
      </c>
      <c r="K22" s="947">
        <v>2160</v>
      </c>
      <c r="L22" s="1269">
        <f>'příl.4-odhad odpisu09'!N25</f>
        <v>62553.27466666667</v>
      </c>
      <c r="M22" s="1217">
        <f>'příl.4-odhad odpisu09'!N24</f>
        <v>2179</v>
      </c>
      <c r="N22" s="1257"/>
    </row>
    <row r="23" spans="1:14" ht="12">
      <c r="A23" s="320"/>
      <c r="B23" s="573">
        <v>4</v>
      </c>
      <c r="C23" s="585" t="s">
        <v>176</v>
      </c>
      <c r="D23" s="586">
        <f aca="true" t="shared" si="1" ref="D23:I23">SUM(D24:D25)</f>
        <v>8800</v>
      </c>
      <c r="E23" s="586">
        <f t="shared" si="1"/>
        <v>33000</v>
      </c>
      <c r="F23" s="575">
        <f t="shared" si="1"/>
        <v>19900</v>
      </c>
      <c r="G23" s="575">
        <f t="shared" si="1"/>
        <v>79000</v>
      </c>
      <c r="H23" s="578">
        <f t="shared" si="1"/>
        <v>9637</v>
      </c>
      <c r="I23" s="740">
        <f t="shared" si="1"/>
        <v>0</v>
      </c>
      <c r="J23" s="946">
        <v>23181</v>
      </c>
      <c r="K23" s="946">
        <v>18500</v>
      </c>
      <c r="L23" s="718">
        <f>SUM(L24:L26)</f>
        <v>28990.36</v>
      </c>
      <c r="M23" s="718">
        <f>SUM(M24:M26)</f>
        <v>28990</v>
      </c>
      <c r="N23" s="1258"/>
    </row>
    <row r="24" spans="1:14" ht="12">
      <c r="A24" s="513"/>
      <c r="B24" s="587"/>
      <c r="C24" s="1207" t="s">
        <v>458</v>
      </c>
      <c r="D24" s="1218"/>
      <c r="E24" s="589">
        <v>13000</v>
      </c>
      <c r="F24" s="589">
        <v>10000</v>
      </c>
      <c r="G24" s="589">
        <v>41000</v>
      </c>
      <c r="H24" s="590">
        <v>0</v>
      </c>
      <c r="I24" s="742"/>
      <c r="J24" s="1219">
        <v>19681</v>
      </c>
      <c r="K24" s="1219">
        <v>18500</v>
      </c>
      <c r="L24" s="1220">
        <v>21130</v>
      </c>
      <c r="M24" s="1220">
        <v>21130</v>
      </c>
      <c r="N24" s="1254"/>
    </row>
    <row r="25" spans="1:14" ht="12.75" customHeight="1">
      <c r="A25" s="513"/>
      <c r="B25" s="1221"/>
      <c r="C25" s="511" t="s">
        <v>177</v>
      </c>
      <c r="D25" s="1222">
        <v>8800</v>
      </c>
      <c r="E25" s="1222">
        <v>20000</v>
      </c>
      <c r="F25" s="1222">
        <v>9900</v>
      </c>
      <c r="G25" s="1222">
        <v>38000</v>
      </c>
      <c r="H25" s="1223">
        <v>9637</v>
      </c>
      <c r="I25" s="723"/>
      <c r="J25" s="950">
        <v>3500</v>
      </c>
      <c r="K25" s="950"/>
      <c r="L25" s="752">
        <v>0</v>
      </c>
      <c r="M25" s="752">
        <v>0</v>
      </c>
      <c r="N25" s="1254"/>
    </row>
    <row r="26" spans="1:14" ht="12.75" thickBot="1">
      <c r="A26" s="513"/>
      <c r="B26" s="1206"/>
      <c r="C26" s="1207" t="s">
        <v>448</v>
      </c>
      <c r="D26" s="588"/>
      <c r="E26" s="589"/>
      <c r="F26" s="588"/>
      <c r="G26" s="589"/>
      <c r="H26" s="590"/>
      <c r="I26" s="742"/>
      <c r="J26" s="1208"/>
      <c r="K26" s="1208"/>
      <c r="L26" s="1209">
        <f>655030*12/1000</f>
        <v>7860.36</v>
      </c>
      <c r="M26" s="1209">
        <v>7860</v>
      </c>
      <c r="N26" s="1254" t="s">
        <v>459</v>
      </c>
    </row>
    <row r="27" spans="1:14" ht="12.75" customHeight="1" hidden="1" thickBot="1">
      <c r="A27" s="513"/>
      <c r="B27" s="795"/>
      <c r="C27" s="509" t="s">
        <v>247</v>
      </c>
      <c r="D27" s="588"/>
      <c r="E27" s="589"/>
      <c r="F27" s="588"/>
      <c r="G27" s="589"/>
      <c r="H27" s="590"/>
      <c r="I27" s="742"/>
      <c r="J27" s="949">
        <v>75750</v>
      </c>
      <c r="K27" s="1224"/>
      <c r="L27" s="1225"/>
      <c r="M27" s="1225"/>
      <c r="N27" s="1254"/>
    </row>
    <row r="28" spans="1:14" ht="12.75" customHeight="1" thickBot="1">
      <c r="A28" s="503"/>
      <c r="B28" s="504"/>
      <c r="C28" s="505" t="s">
        <v>178</v>
      </c>
      <c r="D28" s="559">
        <f>D93+D100+D126</f>
        <v>75279</v>
      </c>
      <c r="E28" s="560">
        <f>E93+E100+E126</f>
        <v>59485</v>
      </c>
      <c r="F28" s="559">
        <f>F93+F100+F126</f>
        <v>69200</v>
      </c>
      <c r="G28" s="560">
        <f>G93+G100+G126</f>
        <v>71185</v>
      </c>
      <c r="H28" s="591">
        <f>H93+H100+H126+H130+H134</f>
        <v>113878</v>
      </c>
      <c r="I28" s="735">
        <f>I93+I100+I126+I130+I134</f>
        <v>56069</v>
      </c>
      <c r="J28" s="941">
        <v>126313</v>
      </c>
      <c r="K28" s="941">
        <v>134992</v>
      </c>
      <c r="L28" s="747">
        <f>L93+L97+L100+L126+L130+L132</f>
        <v>156467</v>
      </c>
      <c r="M28" s="747">
        <f>M93+M97+M100+M126+M130+M132</f>
        <v>142636</v>
      </c>
      <c r="N28" s="1254"/>
    </row>
    <row r="29" spans="1:14" ht="12.75" customHeight="1">
      <c r="A29" s="320"/>
      <c r="B29" s="322">
        <v>5</v>
      </c>
      <c r="C29" s="517" t="s">
        <v>217</v>
      </c>
      <c r="D29" s="592">
        <v>1300</v>
      </c>
      <c r="E29" s="592">
        <f>D29</f>
        <v>1300</v>
      </c>
      <c r="F29" s="592">
        <v>1100</v>
      </c>
      <c r="G29" s="592">
        <v>1700</v>
      </c>
      <c r="H29" s="518">
        <v>2500</v>
      </c>
      <c r="I29" s="723"/>
      <c r="J29" s="950">
        <v>1639</v>
      </c>
      <c r="K29" s="950">
        <v>1940</v>
      </c>
      <c r="L29" s="752">
        <v>1832</v>
      </c>
      <c r="M29" s="752">
        <v>1832</v>
      </c>
      <c r="N29" s="1254"/>
    </row>
    <row r="30" spans="1:14" ht="12.75" customHeight="1">
      <c r="A30" s="320"/>
      <c r="B30" s="322">
        <v>6</v>
      </c>
      <c r="C30" s="323" t="s">
        <v>213</v>
      </c>
      <c r="D30" s="592">
        <v>350</v>
      </c>
      <c r="E30" s="592">
        <f>D30</f>
        <v>350</v>
      </c>
      <c r="F30" s="592">
        <v>360</v>
      </c>
      <c r="G30" s="592">
        <v>400</v>
      </c>
      <c r="H30" s="518">
        <v>490</v>
      </c>
      <c r="I30" s="723"/>
      <c r="J30" s="950">
        <v>800</v>
      </c>
      <c r="K30" s="950">
        <v>800</v>
      </c>
      <c r="L30" s="752">
        <v>600</v>
      </c>
      <c r="M30" s="752">
        <v>600</v>
      </c>
      <c r="N30" s="1254"/>
    </row>
    <row r="31" spans="1:14" ht="12.75" customHeight="1">
      <c r="A31" s="320"/>
      <c r="B31" s="322">
        <v>7</v>
      </c>
      <c r="C31" s="767" t="s">
        <v>275</v>
      </c>
      <c r="D31" s="592">
        <v>400</v>
      </c>
      <c r="E31" s="592">
        <f>D31</f>
        <v>400</v>
      </c>
      <c r="F31" s="592">
        <v>2000</v>
      </c>
      <c r="G31" s="592">
        <v>2100</v>
      </c>
      <c r="H31" s="518">
        <v>120</v>
      </c>
      <c r="I31" s="723"/>
      <c r="J31" s="950">
        <v>1500</v>
      </c>
      <c r="K31" s="950">
        <v>1500</v>
      </c>
      <c r="L31" s="752">
        <v>1500</v>
      </c>
      <c r="M31" s="752">
        <v>1500</v>
      </c>
      <c r="N31" s="1254"/>
    </row>
    <row r="32" spans="1:14" ht="12.75" customHeight="1">
      <c r="A32" s="320"/>
      <c r="B32" s="322">
        <v>8</v>
      </c>
      <c r="C32" s="323" t="s">
        <v>179</v>
      </c>
      <c r="D32" s="592"/>
      <c r="E32" s="592"/>
      <c r="F32" s="592"/>
      <c r="G32" s="592">
        <v>1050</v>
      </c>
      <c r="H32" s="518">
        <v>1000</v>
      </c>
      <c r="I32" s="723"/>
      <c r="J32" s="950">
        <v>850</v>
      </c>
      <c r="K32" s="950">
        <v>1000</v>
      </c>
      <c r="L32" s="752">
        <v>1000</v>
      </c>
      <c r="M32" s="752">
        <v>1000</v>
      </c>
      <c r="N32" s="1254"/>
    </row>
    <row r="33" spans="1:14" ht="12.75" customHeight="1">
      <c r="A33" s="320"/>
      <c r="B33" s="322">
        <v>9</v>
      </c>
      <c r="C33" s="323" t="s">
        <v>353</v>
      </c>
      <c r="D33" s="592"/>
      <c r="E33" s="592"/>
      <c r="F33" s="592"/>
      <c r="G33" s="592"/>
      <c r="H33" s="518"/>
      <c r="I33" s="723"/>
      <c r="J33" s="950"/>
      <c r="K33" s="950">
        <v>250</v>
      </c>
      <c r="L33" s="752">
        <v>250</v>
      </c>
      <c r="M33" s="752">
        <v>250</v>
      </c>
      <c r="N33" s="1254"/>
    </row>
    <row r="34" spans="1:14" ht="12.75" customHeight="1">
      <c r="A34" s="320"/>
      <c r="B34" s="1210">
        <v>10</v>
      </c>
      <c r="C34" s="517" t="s">
        <v>449</v>
      </c>
      <c r="D34" s="593">
        <v>20000</v>
      </c>
      <c r="E34" s="593">
        <v>16900</v>
      </c>
      <c r="F34" s="593">
        <v>16304</v>
      </c>
      <c r="G34" s="593">
        <v>15500</v>
      </c>
      <c r="H34" s="519">
        <v>17540</v>
      </c>
      <c r="I34" s="723"/>
      <c r="J34" s="950">
        <v>17762</v>
      </c>
      <c r="K34" s="950">
        <v>15300</v>
      </c>
      <c r="L34" s="752">
        <v>19000</v>
      </c>
      <c r="M34" s="752">
        <f>L34</f>
        <v>19000</v>
      </c>
      <c r="N34" s="1254"/>
    </row>
    <row r="35" spans="1:14" ht="12.75" customHeight="1" hidden="1">
      <c r="A35" s="320"/>
      <c r="B35" s="322">
        <v>11</v>
      </c>
      <c r="C35" s="323" t="s">
        <v>218</v>
      </c>
      <c r="D35" s="592">
        <v>48757</v>
      </c>
      <c r="E35" s="592">
        <v>10000</v>
      </c>
      <c r="F35" s="592">
        <v>7800</v>
      </c>
      <c r="G35" s="592">
        <v>6000</v>
      </c>
      <c r="H35" s="518">
        <v>0</v>
      </c>
      <c r="I35" s="723"/>
      <c r="J35" s="950">
        <v>0</v>
      </c>
      <c r="K35" s="950"/>
      <c r="L35" s="752"/>
      <c r="M35" s="752"/>
      <c r="N35" s="1254"/>
    </row>
    <row r="36" spans="1:14" ht="12.75" customHeight="1">
      <c r="A36" s="320"/>
      <c r="B36" s="322">
        <v>12</v>
      </c>
      <c r="C36" s="323" t="s">
        <v>180</v>
      </c>
      <c r="D36" s="592">
        <v>500</v>
      </c>
      <c r="E36" s="592">
        <f>D36</f>
        <v>500</v>
      </c>
      <c r="F36" s="592">
        <v>225</v>
      </c>
      <c r="G36" s="592">
        <v>300</v>
      </c>
      <c r="H36" s="518">
        <v>300</v>
      </c>
      <c r="I36" s="723"/>
      <c r="J36" s="950">
        <v>300</v>
      </c>
      <c r="K36" s="950">
        <v>300</v>
      </c>
      <c r="L36" s="752">
        <v>300</v>
      </c>
      <c r="M36" s="752">
        <v>300</v>
      </c>
      <c r="N36" s="1254"/>
    </row>
    <row r="37" spans="1:14" ht="12.75" customHeight="1">
      <c r="A37" s="320"/>
      <c r="B37" s="322">
        <v>11</v>
      </c>
      <c r="C37" s="323" t="s">
        <v>450</v>
      </c>
      <c r="D37" s="592"/>
      <c r="E37" s="592"/>
      <c r="F37" s="592"/>
      <c r="G37" s="592"/>
      <c r="H37" s="518"/>
      <c r="I37" s="723"/>
      <c r="J37" s="950"/>
      <c r="K37" s="950">
        <v>0</v>
      </c>
      <c r="L37" s="752">
        <v>470</v>
      </c>
      <c r="M37" s="752">
        <v>470</v>
      </c>
      <c r="N37" s="1254"/>
    </row>
    <row r="38" spans="1:14" ht="12.75" customHeight="1">
      <c r="A38" s="320"/>
      <c r="B38" s="322">
        <v>12</v>
      </c>
      <c r="C38" s="323" t="s">
        <v>181</v>
      </c>
      <c r="D38" s="592"/>
      <c r="E38" s="592">
        <v>620</v>
      </c>
      <c r="F38" s="592">
        <v>890</v>
      </c>
      <c r="G38" s="592">
        <v>1235</v>
      </c>
      <c r="H38" s="518">
        <v>1300</v>
      </c>
      <c r="I38" s="723"/>
      <c r="J38" s="950">
        <v>1300</v>
      </c>
      <c r="K38" s="950">
        <v>1500</v>
      </c>
      <c r="L38" s="752">
        <v>1500</v>
      </c>
      <c r="M38" s="752">
        <v>1500</v>
      </c>
      <c r="N38" s="1254"/>
    </row>
    <row r="39" spans="1:14" ht="12.75" customHeight="1" hidden="1">
      <c r="A39" s="320"/>
      <c r="B39" s="322">
        <v>13</v>
      </c>
      <c r="C39" s="768" t="s">
        <v>248</v>
      </c>
      <c r="D39" s="593"/>
      <c r="E39" s="593">
        <v>1500</v>
      </c>
      <c r="F39" s="593">
        <f>600+1500</f>
        <v>2100</v>
      </c>
      <c r="G39" s="593">
        <v>1600</v>
      </c>
      <c r="H39" s="519">
        <v>500</v>
      </c>
      <c r="I39" s="723"/>
      <c r="J39" s="950">
        <v>0</v>
      </c>
      <c r="K39" s="950">
        <v>0</v>
      </c>
      <c r="L39" s="752">
        <v>0</v>
      </c>
      <c r="M39" s="752">
        <v>0</v>
      </c>
      <c r="N39" s="1254"/>
    </row>
    <row r="40" spans="1:14" ht="12.75" customHeight="1">
      <c r="A40" s="320"/>
      <c r="B40" s="322"/>
      <c r="C40" s="768" t="s">
        <v>249</v>
      </c>
      <c r="D40" s="593"/>
      <c r="E40" s="593"/>
      <c r="F40" s="593"/>
      <c r="G40" s="593"/>
      <c r="H40" s="519"/>
      <c r="I40" s="723"/>
      <c r="J40" s="950">
        <v>500</v>
      </c>
      <c r="K40" s="950">
        <v>250</v>
      </c>
      <c r="L40" s="752">
        <v>0</v>
      </c>
      <c r="M40" s="752">
        <v>0</v>
      </c>
      <c r="N40" s="1254"/>
    </row>
    <row r="41" spans="1:14" ht="12.75" customHeight="1">
      <c r="A41" s="320"/>
      <c r="B41" s="322">
        <v>13</v>
      </c>
      <c r="C41" s="517" t="s">
        <v>182</v>
      </c>
      <c r="D41" s="593"/>
      <c r="E41" s="593">
        <v>100</v>
      </c>
      <c r="F41" s="593">
        <v>100</v>
      </c>
      <c r="G41" s="593">
        <v>100</v>
      </c>
      <c r="H41" s="519">
        <v>100</v>
      </c>
      <c r="I41" s="723"/>
      <c r="J41" s="950">
        <v>200</v>
      </c>
      <c r="K41" s="950">
        <v>200</v>
      </c>
      <c r="L41" s="752">
        <v>200</v>
      </c>
      <c r="M41" s="752">
        <v>200</v>
      </c>
      <c r="N41" s="1254"/>
    </row>
    <row r="42" spans="1:14" ht="12.75" customHeight="1">
      <c r="A42" s="320"/>
      <c r="B42" s="322">
        <v>14</v>
      </c>
      <c r="C42" s="323" t="s">
        <v>219</v>
      </c>
      <c r="D42" s="592"/>
      <c r="E42" s="592"/>
      <c r="F42" s="592"/>
      <c r="G42" s="592"/>
      <c r="H42" s="518">
        <v>500</v>
      </c>
      <c r="I42" s="723"/>
      <c r="J42" s="950">
        <v>500</v>
      </c>
      <c r="K42" s="950">
        <v>500</v>
      </c>
      <c r="L42" s="752">
        <v>500</v>
      </c>
      <c r="M42" s="752">
        <v>500</v>
      </c>
      <c r="N42" s="1254"/>
    </row>
    <row r="43" spans="1:14" ht="12.75" customHeight="1">
      <c r="A43" s="320"/>
      <c r="B43" s="322">
        <v>15</v>
      </c>
      <c r="C43" s="323" t="s">
        <v>183</v>
      </c>
      <c r="D43" s="592"/>
      <c r="E43" s="592">
        <v>212</v>
      </c>
      <c r="F43" s="592">
        <v>300</v>
      </c>
      <c r="G43" s="592">
        <v>300</v>
      </c>
      <c r="H43" s="518">
        <v>300</v>
      </c>
      <c r="I43" s="723"/>
      <c r="J43" s="950">
        <v>350</v>
      </c>
      <c r="K43" s="950">
        <v>400</v>
      </c>
      <c r="L43" s="752">
        <v>400</v>
      </c>
      <c r="M43" s="752">
        <v>400</v>
      </c>
      <c r="N43" s="1254"/>
    </row>
    <row r="44" spans="1:14" ht="12.75" customHeight="1">
      <c r="A44" s="320"/>
      <c r="B44" s="322">
        <v>16</v>
      </c>
      <c r="C44" s="520" t="s">
        <v>220</v>
      </c>
      <c r="D44" s="594"/>
      <c r="E44" s="594"/>
      <c r="F44" s="594"/>
      <c r="G44" s="594"/>
      <c r="H44" s="521">
        <v>1000</v>
      </c>
      <c r="I44" s="723"/>
      <c r="J44" s="950">
        <v>1000</v>
      </c>
      <c r="K44" s="950">
        <v>500</v>
      </c>
      <c r="L44" s="752">
        <v>500</v>
      </c>
      <c r="M44" s="752">
        <v>500</v>
      </c>
      <c r="N44" s="1254"/>
    </row>
    <row r="45" spans="1:14" ht="12.75" customHeight="1">
      <c r="A45" s="320"/>
      <c r="B45" s="322">
        <v>17</v>
      </c>
      <c r="C45" s="520" t="s">
        <v>221</v>
      </c>
      <c r="D45" s="594"/>
      <c r="E45" s="594"/>
      <c r="F45" s="594"/>
      <c r="G45" s="594"/>
      <c r="H45" s="521">
        <v>200</v>
      </c>
      <c r="I45" s="723"/>
      <c r="J45" s="950">
        <v>200</v>
      </c>
      <c r="K45" s="950">
        <v>100</v>
      </c>
      <c r="L45" s="752">
        <v>100</v>
      </c>
      <c r="M45" s="752">
        <v>100</v>
      </c>
      <c r="N45" s="1254"/>
    </row>
    <row r="46" spans="1:14" ht="12.75" customHeight="1">
      <c r="A46" s="320"/>
      <c r="B46" s="322">
        <v>18</v>
      </c>
      <c r="C46" s="769" t="s">
        <v>451</v>
      </c>
      <c r="D46" s="594"/>
      <c r="E46" s="594"/>
      <c r="F46" s="593">
        <v>300</v>
      </c>
      <c r="G46" s="593">
        <v>300</v>
      </c>
      <c r="H46" s="519">
        <v>400</v>
      </c>
      <c r="I46" s="723"/>
      <c r="J46" s="950">
        <v>400</v>
      </c>
      <c r="K46" s="950">
        <f>440+220</f>
        <v>660</v>
      </c>
      <c r="L46" s="752">
        <v>750</v>
      </c>
      <c r="M46" s="752">
        <v>750</v>
      </c>
      <c r="N46" s="1254"/>
    </row>
    <row r="47" spans="1:14" ht="12.75" customHeight="1">
      <c r="A47" s="320"/>
      <c r="B47" s="322">
        <v>19</v>
      </c>
      <c r="C47" s="520" t="s">
        <v>452</v>
      </c>
      <c r="D47" s="594"/>
      <c r="E47" s="594"/>
      <c r="F47" s="594"/>
      <c r="G47" s="594"/>
      <c r="H47" s="521">
        <v>882</v>
      </c>
      <c r="I47" s="723"/>
      <c r="J47" s="950">
        <v>650</v>
      </c>
      <c r="K47" s="950">
        <v>725</v>
      </c>
      <c r="L47" s="752">
        <v>800</v>
      </c>
      <c r="M47" s="752">
        <v>800</v>
      </c>
      <c r="N47" s="1254" t="s">
        <v>460</v>
      </c>
    </row>
    <row r="48" spans="1:14" ht="12.75" customHeight="1">
      <c r="A48" s="320"/>
      <c r="B48" s="322">
        <v>20</v>
      </c>
      <c r="C48" s="769" t="s">
        <v>276</v>
      </c>
      <c r="D48" s="594"/>
      <c r="E48" s="594"/>
      <c r="F48" s="594"/>
      <c r="G48" s="594"/>
      <c r="H48" s="521">
        <v>500</v>
      </c>
      <c r="I48" s="723"/>
      <c r="J48" s="950">
        <v>500</v>
      </c>
      <c r="K48" s="950">
        <v>850</v>
      </c>
      <c r="L48" s="752">
        <v>850</v>
      </c>
      <c r="M48" s="752">
        <v>850</v>
      </c>
      <c r="N48" s="1254"/>
    </row>
    <row r="49" spans="1:14" ht="12.75" customHeight="1" hidden="1">
      <c r="A49" s="320"/>
      <c r="B49" s="322">
        <v>23</v>
      </c>
      <c r="C49" s="1211" t="s">
        <v>277</v>
      </c>
      <c r="D49" s="594"/>
      <c r="E49" s="594"/>
      <c r="F49" s="594"/>
      <c r="G49" s="594"/>
      <c r="H49" s="521">
        <v>180</v>
      </c>
      <c r="I49" s="723"/>
      <c r="J49" s="950">
        <v>200</v>
      </c>
      <c r="K49" s="950"/>
      <c r="L49" s="752"/>
      <c r="M49" s="752"/>
      <c r="N49" s="1254"/>
    </row>
    <row r="50" spans="1:14" ht="12.75" customHeight="1">
      <c r="A50" s="320"/>
      <c r="B50" s="322">
        <v>21</v>
      </c>
      <c r="C50" s="769" t="s">
        <v>222</v>
      </c>
      <c r="D50" s="594"/>
      <c r="E50" s="594"/>
      <c r="F50" s="594"/>
      <c r="G50" s="594"/>
      <c r="H50" s="521">
        <v>310</v>
      </c>
      <c r="I50" s="723"/>
      <c r="J50" s="950">
        <v>40</v>
      </c>
      <c r="K50" s="950">
        <v>100</v>
      </c>
      <c r="L50" s="752">
        <v>120</v>
      </c>
      <c r="M50" s="752">
        <v>120</v>
      </c>
      <c r="N50" s="1254"/>
    </row>
    <row r="51" spans="1:14" ht="12.75" customHeight="1" hidden="1">
      <c r="A51" s="320"/>
      <c r="B51" s="322">
        <v>24</v>
      </c>
      <c r="C51" s="769" t="s">
        <v>250</v>
      </c>
      <c r="D51" s="594"/>
      <c r="E51" s="594"/>
      <c r="F51" s="594"/>
      <c r="G51" s="594"/>
      <c r="H51" s="521"/>
      <c r="I51" s="723"/>
      <c r="J51" s="950">
        <v>300</v>
      </c>
      <c r="K51" s="950">
        <v>0</v>
      </c>
      <c r="L51" s="752">
        <v>0</v>
      </c>
      <c r="M51" s="752">
        <v>0</v>
      </c>
      <c r="N51" s="1254"/>
    </row>
    <row r="52" spans="1:14" ht="12.75" customHeight="1">
      <c r="A52" s="320"/>
      <c r="B52" s="322">
        <v>22</v>
      </c>
      <c r="C52" s="769" t="s">
        <v>354</v>
      </c>
      <c r="D52" s="594"/>
      <c r="E52" s="594"/>
      <c r="F52" s="594"/>
      <c r="G52" s="594"/>
      <c r="H52" s="521"/>
      <c r="I52" s="723"/>
      <c r="J52" s="950"/>
      <c r="K52" s="950">
        <v>330</v>
      </c>
      <c r="L52" s="752">
        <v>330</v>
      </c>
      <c r="M52" s="752">
        <v>330</v>
      </c>
      <c r="N52" s="1254"/>
    </row>
    <row r="53" spans="1:14" ht="12.75" customHeight="1">
      <c r="A53" s="320"/>
      <c r="B53" s="322">
        <v>23</v>
      </c>
      <c r="C53" s="769" t="s">
        <v>453</v>
      </c>
      <c r="D53" s="594"/>
      <c r="E53" s="594"/>
      <c r="F53" s="594"/>
      <c r="G53" s="594"/>
      <c r="H53" s="521"/>
      <c r="I53" s="723"/>
      <c r="J53" s="950"/>
      <c r="K53" s="950"/>
      <c r="L53" s="752"/>
      <c r="M53" s="752">
        <v>1100</v>
      </c>
      <c r="N53" s="1254"/>
    </row>
    <row r="54" spans="1:14" ht="12.75" customHeight="1">
      <c r="A54" s="320"/>
      <c r="B54" s="322"/>
      <c r="C54" s="769" t="s">
        <v>355</v>
      </c>
      <c r="D54" s="594"/>
      <c r="E54" s="594"/>
      <c r="F54" s="594"/>
      <c r="G54" s="594"/>
      <c r="H54" s="521"/>
      <c r="I54" s="723"/>
      <c r="J54" s="950"/>
      <c r="K54" s="950">
        <v>200</v>
      </c>
      <c r="L54" s="752">
        <v>0</v>
      </c>
      <c r="M54" s="752">
        <v>0</v>
      </c>
      <c r="N54" s="1254"/>
    </row>
    <row r="55" spans="1:19" ht="12.75" customHeight="1">
      <c r="A55" s="320"/>
      <c r="B55" s="322">
        <v>24</v>
      </c>
      <c r="C55" s="769" t="s">
        <v>454</v>
      </c>
      <c r="D55" s="594"/>
      <c r="E55" s="594"/>
      <c r="F55" s="594"/>
      <c r="G55" s="594"/>
      <c r="H55" s="521"/>
      <c r="I55" s="723"/>
      <c r="J55" s="950"/>
      <c r="K55" s="950"/>
      <c r="L55" s="752">
        <v>704</v>
      </c>
      <c r="M55" s="752">
        <v>704</v>
      </c>
      <c r="N55" s="1254"/>
      <c r="O55" s="951"/>
      <c r="P55" s="951"/>
      <c r="Q55" s="951"/>
      <c r="R55" s="951"/>
      <c r="S55" s="951"/>
    </row>
    <row r="56" spans="1:19" ht="12.75" customHeight="1">
      <c r="A56" s="320"/>
      <c r="B56" s="322">
        <f>B55+1</f>
        <v>25</v>
      </c>
      <c r="C56" s="520" t="s">
        <v>223</v>
      </c>
      <c r="D56" s="594"/>
      <c r="E56" s="594"/>
      <c r="F56" s="594"/>
      <c r="G56" s="594"/>
      <c r="H56" s="521">
        <v>700</v>
      </c>
      <c r="I56" s="723"/>
      <c r="J56" s="950">
        <v>300</v>
      </c>
      <c r="K56" s="950">
        <v>300</v>
      </c>
      <c r="L56" s="752">
        <v>300</v>
      </c>
      <c r="M56" s="752">
        <v>300</v>
      </c>
      <c r="N56" s="1254"/>
      <c r="O56" s="951"/>
      <c r="P56" s="951"/>
      <c r="Q56" s="951"/>
      <c r="R56" s="951"/>
      <c r="S56" s="951"/>
    </row>
    <row r="57" spans="1:19" s="325" customFormat="1" ht="12">
      <c r="A57" s="320"/>
      <c r="B57" s="322">
        <f aca="true" t="shared" si="2" ref="B57:B70">B56+1</f>
        <v>26</v>
      </c>
      <c r="C57" s="520" t="s">
        <v>455</v>
      </c>
      <c r="D57" s="594"/>
      <c r="E57" s="594"/>
      <c r="F57" s="594"/>
      <c r="G57" s="594"/>
      <c r="H57" s="521"/>
      <c r="I57" s="723"/>
      <c r="J57" s="950"/>
      <c r="K57" s="950">
        <v>582</v>
      </c>
      <c r="L57" s="752">
        <v>1490</v>
      </c>
      <c r="M57" s="752">
        <f>L57</f>
        <v>1490</v>
      </c>
      <c r="N57" s="1254"/>
      <c r="O57" s="952"/>
      <c r="P57" s="952"/>
      <c r="Q57" s="952"/>
      <c r="R57" s="952"/>
      <c r="S57" s="952"/>
    </row>
    <row r="58" spans="1:19" s="325" customFormat="1" ht="12">
      <c r="A58" s="320"/>
      <c r="B58" s="322">
        <f t="shared" si="2"/>
        <v>27</v>
      </c>
      <c r="C58" s="520" t="s">
        <v>224</v>
      </c>
      <c r="D58" s="594"/>
      <c r="E58" s="594"/>
      <c r="F58" s="594"/>
      <c r="G58" s="594"/>
      <c r="H58" s="521">
        <v>300</v>
      </c>
      <c r="I58" s="723"/>
      <c r="J58" s="950">
        <v>300</v>
      </c>
      <c r="K58" s="950">
        <v>300</v>
      </c>
      <c r="L58" s="752">
        <v>300</v>
      </c>
      <c r="M58" s="752">
        <v>300</v>
      </c>
      <c r="N58" s="1254"/>
      <c r="O58" s="952"/>
      <c r="P58" s="952"/>
      <c r="Q58" s="952"/>
      <c r="R58" s="952"/>
      <c r="S58" s="952"/>
    </row>
    <row r="59" spans="1:19" s="325" customFormat="1" ht="12">
      <c r="A59" s="320"/>
      <c r="B59" s="322">
        <f t="shared" si="2"/>
        <v>28</v>
      </c>
      <c r="C59" s="520" t="s">
        <v>251</v>
      </c>
      <c r="D59" s="594"/>
      <c r="E59" s="594"/>
      <c r="F59" s="594"/>
      <c r="G59" s="594"/>
      <c r="H59" s="521">
        <v>500</v>
      </c>
      <c r="I59" s="723"/>
      <c r="J59" s="950">
        <v>500</v>
      </c>
      <c r="K59" s="950">
        <v>500</v>
      </c>
      <c r="L59" s="752">
        <v>500</v>
      </c>
      <c r="M59" s="752">
        <v>500</v>
      </c>
      <c r="N59" s="1254"/>
      <c r="O59" s="952"/>
      <c r="P59" s="952"/>
      <c r="Q59" s="952"/>
      <c r="R59" s="952"/>
      <c r="S59" s="952"/>
    </row>
    <row r="60" spans="1:19" s="325" customFormat="1" ht="12">
      <c r="A60" s="320"/>
      <c r="B60" s="322">
        <f t="shared" si="2"/>
        <v>29</v>
      </c>
      <c r="C60" s="520" t="s">
        <v>252</v>
      </c>
      <c r="D60" s="594"/>
      <c r="E60" s="594"/>
      <c r="F60" s="594"/>
      <c r="G60" s="594"/>
      <c r="H60" s="521">
        <v>500</v>
      </c>
      <c r="I60" s="723"/>
      <c r="J60" s="950">
        <v>500</v>
      </c>
      <c r="K60" s="950">
        <v>500</v>
      </c>
      <c r="L60" s="752">
        <v>500</v>
      </c>
      <c r="M60" s="752">
        <v>500</v>
      </c>
      <c r="N60" s="1259"/>
      <c r="O60" s="952"/>
      <c r="P60" s="952"/>
      <c r="Q60" s="952"/>
      <c r="R60" s="952"/>
      <c r="S60" s="952"/>
    </row>
    <row r="61" spans="1:19" s="325" customFormat="1" ht="12">
      <c r="A61" s="320"/>
      <c r="B61" s="322">
        <f t="shared" si="2"/>
        <v>30</v>
      </c>
      <c r="C61" s="520" t="s">
        <v>356</v>
      </c>
      <c r="D61" s="594"/>
      <c r="E61" s="594"/>
      <c r="F61" s="594"/>
      <c r="G61" s="594"/>
      <c r="H61" s="521"/>
      <c r="I61" s="723"/>
      <c r="J61" s="950"/>
      <c r="K61" s="950">
        <v>100</v>
      </c>
      <c r="L61" s="752">
        <v>90</v>
      </c>
      <c r="M61" s="752">
        <v>50</v>
      </c>
      <c r="N61" s="1259"/>
      <c r="O61" s="952"/>
      <c r="P61" s="952"/>
      <c r="Q61" s="952"/>
      <c r="R61" s="952"/>
      <c r="S61" s="952"/>
    </row>
    <row r="62" spans="1:19" s="325" customFormat="1" ht="12">
      <c r="A62" s="320"/>
      <c r="B62" s="322">
        <f t="shared" si="2"/>
        <v>31</v>
      </c>
      <c r="C62" s="520" t="s">
        <v>461</v>
      </c>
      <c r="D62" s="594"/>
      <c r="E62" s="594"/>
      <c r="F62" s="594"/>
      <c r="G62" s="594"/>
      <c r="H62" s="521"/>
      <c r="I62" s="724"/>
      <c r="J62" s="950"/>
      <c r="K62" s="950">
        <v>0</v>
      </c>
      <c r="L62" s="752">
        <v>150</v>
      </c>
      <c r="M62" s="752">
        <v>150</v>
      </c>
      <c r="N62" s="1259"/>
      <c r="O62" s="952"/>
      <c r="P62" s="952"/>
      <c r="Q62" s="952"/>
      <c r="R62" s="952"/>
      <c r="S62" s="952"/>
    </row>
    <row r="63" spans="1:19" s="325" customFormat="1" ht="12">
      <c r="A63" s="320"/>
      <c r="B63" s="322">
        <f t="shared" si="2"/>
        <v>32</v>
      </c>
      <c r="C63" s="520" t="s">
        <v>357</v>
      </c>
      <c r="D63" s="594"/>
      <c r="E63" s="594"/>
      <c r="F63" s="594"/>
      <c r="G63" s="594"/>
      <c r="H63" s="521"/>
      <c r="I63" s="724"/>
      <c r="J63" s="950">
        <v>15000</v>
      </c>
      <c r="K63" s="950">
        <v>7000</v>
      </c>
      <c r="L63" s="752">
        <v>7000</v>
      </c>
      <c r="M63" s="752">
        <v>7000</v>
      </c>
      <c r="N63" s="1254"/>
      <c r="O63" s="952"/>
      <c r="P63" s="952"/>
      <c r="Q63" s="952"/>
      <c r="R63" s="952"/>
      <c r="S63" s="952"/>
    </row>
    <row r="64" spans="1:19" s="959" customFormat="1" ht="12">
      <c r="A64" s="320"/>
      <c r="B64" s="322">
        <f t="shared" si="2"/>
        <v>33</v>
      </c>
      <c r="C64" s="520" t="s">
        <v>462</v>
      </c>
      <c r="D64" s="594"/>
      <c r="E64" s="594"/>
      <c r="F64" s="594"/>
      <c r="G64" s="594"/>
      <c r="H64" s="521"/>
      <c r="I64" s="724"/>
      <c r="J64" s="950"/>
      <c r="K64" s="950">
        <v>0</v>
      </c>
      <c r="L64" s="752">
        <f>ROUNDUP(600780*12/1000,0)</f>
        <v>7210</v>
      </c>
      <c r="M64" s="752">
        <v>7210</v>
      </c>
      <c r="N64" s="1254" t="s">
        <v>463</v>
      </c>
      <c r="O64" s="958"/>
      <c r="P64" s="958"/>
      <c r="Q64" s="958"/>
      <c r="R64" s="958"/>
      <c r="S64" s="958"/>
    </row>
    <row r="65" spans="1:19" s="325" customFormat="1" ht="12">
      <c r="A65" s="320"/>
      <c r="B65" s="322">
        <f t="shared" si="2"/>
        <v>34</v>
      </c>
      <c r="C65" s="520" t="s">
        <v>358</v>
      </c>
      <c r="D65" s="594"/>
      <c r="E65" s="594"/>
      <c r="F65" s="594"/>
      <c r="G65" s="594"/>
      <c r="H65" s="521"/>
      <c r="I65" s="724"/>
      <c r="J65" s="950"/>
      <c r="K65" s="950">
        <v>1850</v>
      </c>
      <c r="L65" s="752">
        <v>2010</v>
      </c>
      <c r="M65" s="752">
        <v>2010</v>
      </c>
      <c r="N65" s="1254"/>
      <c r="O65" s="952"/>
      <c r="P65" s="952"/>
      <c r="Q65" s="952"/>
      <c r="R65" s="952"/>
      <c r="S65" s="952"/>
    </row>
    <row r="66" spans="1:19" s="325" customFormat="1" ht="12.75" customHeight="1">
      <c r="A66" s="320"/>
      <c r="B66" s="322">
        <f t="shared" si="2"/>
        <v>35</v>
      </c>
      <c r="C66" s="520" t="s">
        <v>464</v>
      </c>
      <c r="D66" s="594"/>
      <c r="E66" s="594"/>
      <c r="F66" s="594"/>
      <c r="G66" s="594"/>
      <c r="H66" s="521"/>
      <c r="I66" s="724"/>
      <c r="J66" s="950"/>
      <c r="K66" s="950">
        <v>200</v>
      </c>
      <c r="L66" s="752">
        <v>200</v>
      </c>
      <c r="M66" s="752">
        <v>200</v>
      </c>
      <c r="N66" s="1259" t="s">
        <v>465</v>
      </c>
      <c r="O66" s="952"/>
      <c r="P66" s="952"/>
      <c r="Q66" s="952"/>
      <c r="R66" s="952"/>
      <c r="S66" s="952"/>
    </row>
    <row r="67" spans="1:14" s="325" customFormat="1" ht="12.75" customHeight="1">
      <c r="A67" s="320"/>
      <c r="B67" s="322">
        <f t="shared" si="2"/>
        <v>36</v>
      </c>
      <c r="C67" s="520" t="s">
        <v>225</v>
      </c>
      <c r="D67" s="594"/>
      <c r="E67" s="594"/>
      <c r="F67" s="594"/>
      <c r="G67" s="594"/>
      <c r="H67" s="521">
        <v>250</v>
      </c>
      <c r="I67" s="724"/>
      <c r="J67" s="950">
        <v>250</v>
      </c>
      <c r="K67" s="950">
        <v>250</v>
      </c>
      <c r="L67" s="752">
        <v>250</v>
      </c>
      <c r="M67" s="752">
        <v>250</v>
      </c>
      <c r="N67" s="1259" t="s">
        <v>466</v>
      </c>
    </row>
    <row r="68" spans="1:14" s="325" customFormat="1" ht="12.75" customHeight="1">
      <c r="A68" s="320"/>
      <c r="B68" s="322"/>
      <c r="C68" s="769" t="s">
        <v>359</v>
      </c>
      <c r="D68" s="594"/>
      <c r="E68" s="594"/>
      <c r="F68" s="594"/>
      <c r="G68" s="594"/>
      <c r="H68" s="521"/>
      <c r="I68" s="724"/>
      <c r="J68" s="950">
        <v>40</v>
      </c>
      <c r="K68" s="950">
        <v>40</v>
      </c>
      <c r="L68" s="752"/>
      <c r="M68" s="752"/>
      <c r="N68" s="1260"/>
    </row>
    <row r="69" spans="1:14" s="325" customFormat="1" ht="12.75" customHeight="1">
      <c r="A69" s="320"/>
      <c r="B69" s="322">
        <v>37</v>
      </c>
      <c r="C69" s="520" t="s">
        <v>253</v>
      </c>
      <c r="D69" s="594"/>
      <c r="E69" s="594"/>
      <c r="F69" s="594"/>
      <c r="G69" s="594"/>
      <c r="H69" s="521"/>
      <c r="I69" s="724"/>
      <c r="J69" s="950">
        <v>2075</v>
      </c>
      <c r="K69" s="950">
        <v>2100</v>
      </c>
      <c r="L69" s="752">
        <v>2750</v>
      </c>
      <c r="M69" s="752">
        <f>L69</f>
        <v>2750</v>
      </c>
      <c r="N69" s="1260"/>
    </row>
    <row r="70" spans="1:14" s="325" customFormat="1" ht="12.75" customHeight="1">
      <c r="A70" s="320"/>
      <c r="B70" s="322">
        <f t="shared" si="2"/>
        <v>38</v>
      </c>
      <c r="C70" s="520" t="s">
        <v>467</v>
      </c>
      <c r="D70" s="594"/>
      <c r="E70" s="594"/>
      <c r="F70" s="594"/>
      <c r="G70" s="594"/>
      <c r="H70" s="521"/>
      <c r="I70" s="724"/>
      <c r="J70" s="950"/>
      <c r="K70" s="950"/>
      <c r="L70" s="752">
        <v>200</v>
      </c>
      <c r="M70" s="752">
        <f>L70</f>
        <v>200</v>
      </c>
      <c r="N70" s="1260"/>
    </row>
    <row r="71" spans="1:14" s="325" customFormat="1" ht="12">
      <c r="A71" s="320"/>
      <c r="B71" s="322"/>
      <c r="C71" s="520" t="s">
        <v>360</v>
      </c>
      <c r="D71" s="594"/>
      <c r="E71" s="594"/>
      <c r="F71" s="594"/>
      <c r="G71" s="594"/>
      <c r="H71" s="521">
        <v>200</v>
      </c>
      <c r="I71" s="724"/>
      <c r="J71" s="950">
        <v>0</v>
      </c>
      <c r="K71" s="950">
        <v>100</v>
      </c>
      <c r="L71" s="752">
        <v>0</v>
      </c>
      <c r="M71" s="752">
        <v>0</v>
      </c>
      <c r="N71" s="1260"/>
    </row>
    <row r="72" spans="1:14" s="335" customFormat="1" ht="12">
      <c r="A72" s="320"/>
      <c r="B72" s="1227">
        <v>39</v>
      </c>
      <c r="C72" s="520" t="s">
        <v>379</v>
      </c>
      <c r="D72" s="594"/>
      <c r="E72" s="594"/>
      <c r="F72" s="594"/>
      <c r="G72" s="594"/>
      <c r="H72" s="521"/>
      <c r="I72" s="960"/>
      <c r="J72" s="961"/>
      <c r="K72" s="961"/>
      <c r="L72" s="962"/>
      <c r="M72" s="962">
        <v>3000</v>
      </c>
      <c r="N72" s="1260"/>
    </row>
    <row r="73" spans="1:14" ht="12">
      <c r="A73" s="320"/>
      <c r="B73" s="1227">
        <f>B72+1</f>
        <v>40</v>
      </c>
      <c r="C73" s="520" t="s">
        <v>468</v>
      </c>
      <c r="D73" s="594"/>
      <c r="E73" s="594"/>
      <c r="F73" s="594"/>
      <c r="G73" s="594"/>
      <c r="H73" s="521"/>
      <c r="I73" s="960"/>
      <c r="J73" s="961"/>
      <c r="K73" s="961"/>
      <c r="L73" s="962"/>
      <c r="M73" s="962">
        <v>100</v>
      </c>
      <c r="N73" s="1260"/>
    </row>
    <row r="74" spans="1:14" s="330" customFormat="1" ht="12.75" customHeight="1" hidden="1">
      <c r="A74" s="953"/>
      <c r="B74" s="954"/>
      <c r="C74" s="769" t="s">
        <v>361</v>
      </c>
      <c r="D74" s="955"/>
      <c r="E74" s="955"/>
      <c r="F74" s="955"/>
      <c r="G74" s="955"/>
      <c r="H74" s="956"/>
      <c r="I74" s="956"/>
      <c r="J74" s="957"/>
      <c r="K74" s="961">
        <v>0</v>
      </c>
      <c r="L74" s="1228">
        <v>0</v>
      </c>
      <c r="M74" s="1228">
        <v>0</v>
      </c>
      <c r="N74" s="1260"/>
    </row>
    <row r="75" spans="1:14" ht="12.75" customHeight="1">
      <c r="A75" s="320"/>
      <c r="B75" s="790">
        <f>B73+1</f>
        <v>41</v>
      </c>
      <c r="C75" s="791" t="s">
        <v>280</v>
      </c>
      <c r="D75" s="792"/>
      <c r="E75" s="792">
        <v>12803</v>
      </c>
      <c r="F75" s="792">
        <v>15430</v>
      </c>
      <c r="G75" s="792">
        <v>13430</v>
      </c>
      <c r="H75" s="793">
        <v>15700</v>
      </c>
      <c r="I75" s="794">
        <v>56069</v>
      </c>
      <c r="J75" s="963">
        <v>16000</v>
      </c>
      <c r="K75" s="963">
        <v>16000</v>
      </c>
      <c r="L75" s="1229">
        <v>16000</v>
      </c>
      <c r="M75" s="1229">
        <v>16000</v>
      </c>
      <c r="N75" s="1260"/>
    </row>
    <row r="76" spans="1:14" ht="12">
      <c r="A76" s="320"/>
      <c r="B76" s="522">
        <f>B75+1</f>
        <v>42</v>
      </c>
      <c r="C76" s="523" t="s">
        <v>236</v>
      </c>
      <c r="D76" s="568">
        <v>2000</v>
      </c>
      <c r="E76" s="568">
        <v>6500</v>
      </c>
      <c r="F76" s="568">
        <v>2954</v>
      </c>
      <c r="G76" s="568">
        <v>4905</v>
      </c>
      <c r="H76" s="524">
        <v>4113</v>
      </c>
      <c r="I76" s="725"/>
      <c r="J76" s="964">
        <v>2600</v>
      </c>
      <c r="K76" s="1230">
        <v>1894</v>
      </c>
      <c r="L76" s="965">
        <v>624</v>
      </c>
      <c r="M76" s="965">
        <v>624</v>
      </c>
      <c r="N76" s="1260"/>
    </row>
    <row r="77" spans="1:14" s="891" customFormat="1" ht="12" customHeight="1">
      <c r="A77" s="329"/>
      <c r="B77" s="322">
        <v>43</v>
      </c>
      <c r="C77" s="523" t="s">
        <v>254</v>
      </c>
      <c r="D77" s="595"/>
      <c r="E77" s="595"/>
      <c r="F77" s="595">
        <v>4812</v>
      </c>
      <c r="G77" s="595">
        <v>5545</v>
      </c>
      <c r="H77" s="525">
        <v>5655</v>
      </c>
      <c r="I77" s="725"/>
      <c r="J77" s="950">
        <v>5655</v>
      </c>
      <c r="K77" s="950">
        <v>3114</v>
      </c>
      <c r="L77" s="752">
        <v>3114</v>
      </c>
      <c r="M77" s="752">
        <v>3114</v>
      </c>
      <c r="N77" s="1256"/>
    </row>
    <row r="78" spans="1:14" ht="12">
      <c r="A78" s="329"/>
      <c r="B78" s="522">
        <v>43</v>
      </c>
      <c r="C78" s="523" t="s">
        <v>226</v>
      </c>
      <c r="D78" s="595"/>
      <c r="E78" s="595"/>
      <c r="F78" s="595"/>
      <c r="G78" s="595"/>
      <c r="H78" s="525">
        <v>5753</v>
      </c>
      <c r="I78" s="725"/>
      <c r="J78" s="950">
        <v>5753</v>
      </c>
      <c r="K78" s="1231">
        <v>6742</v>
      </c>
      <c r="L78" s="966">
        <v>6742</v>
      </c>
      <c r="M78" s="966">
        <v>6742</v>
      </c>
      <c r="N78" s="1256"/>
    </row>
    <row r="79" spans="1:14" ht="12">
      <c r="A79" s="329"/>
      <c r="B79" s="322">
        <f>B78+1</f>
        <v>44</v>
      </c>
      <c r="C79" s="523" t="s">
        <v>469</v>
      </c>
      <c r="D79" s="595"/>
      <c r="E79" s="595"/>
      <c r="F79" s="595"/>
      <c r="G79" s="595"/>
      <c r="H79" s="525">
        <v>350</v>
      </c>
      <c r="I79" s="725"/>
      <c r="J79" s="950">
        <v>595</v>
      </c>
      <c r="K79" s="950">
        <v>1100</v>
      </c>
      <c r="L79" s="752">
        <v>1100</v>
      </c>
      <c r="M79" s="752">
        <v>1100</v>
      </c>
      <c r="N79" s="1254"/>
    </row>
    <row r="80" spans="1:14" ht="12.75" customHeight="1" hidden="1">
      <c r="A80" s="329"/>
      <c r="B80" s="322">
        <f>B79+1</f>
        <v>45</v>
      </c>
      <c r="C80" s="523" t="s">
        <v>255</v>
      </c>
      <c r="D80" s="595"/>
      <c r="E80" s="595"/>
      <c r="F80" s="595"/>
      <c r="G80" s="595"/>
      <c r="H80" s="525">
        <v>400</v>
      </c>
      <c r="I80" s="725"/>
      <c r="J80" s="950"/>
      <c r="K80" s="950"/>
      <c r="L80" s="752">
        <v>0</v>
      </c>
      <c r="M80" s="752">
        <v>0</v>
      </c>
      <c r="N80" s="1256"/>
    </row>
    <row r="81" spans="1:14" ht="12.75" customHeight="1" hidden="1">
      <c r="A81" s="329"/>
      <c r="B81" s="322">
        <f>B80+1</f>
        <v>46</v>
      </c>
      <c r="C81" s="523" t="s">
        <v>363</v>
      </c>
      <c r="D81" s="595"/>
      <c r="E81" s="595"/>
      <c r="F81" s="595"/>
      <c r="G81" s="595"/>
      <c r="H81" s="525">
        <v>350</v>
      </c>
      <c r="I81" s="725"/>
      <c r="J81" s="950">
        <v>55</v>
      </c>
      <c r="K81" s="950">
        <v>0</v>
      </c>
      <c r="L81" s="752">
        <v>0</v>
      </c>
      <c r="M81" s="752">
        <v>0</v>
      </c>
      <c r="N81" s="1256"/>
    </row>
    <row r="82" spans="1:14" ht="12">
      <c r="A82" s="329"/>
      <c r="B82" s="322">
        <f>B81+1</f>
        <v>47</v>
      </c>
      <c r="C82" s="523" t="s">
        <v>364</v>
      </c>
      <c r="D82" s="595"/>
      <c r="E82" s="595"/>
      <c r="F82" s="595">
        <f>2000+160+1200</f>
        <v>3360</v>
      </c>
      <c r="G82" s="595"/>
      <c r="H82" s="525"/>
      <c r="I82" s="725"/>
      <c r="J82" s="950">
        <v>250</v>
      </c>
      <c r="K82" s="950">
        <v>260</v>
      </c>
      <c r="L82" s="752">
        <v>0</v>
      </c>
      <c r="M82" s="752">
        <v>0</v>
      </c>
      <c r="N82" s="1256"/>
    </row>
    <row r="83" spans="1:14" ht="12.75" customHeight="1">
      <c r="A83" s="967"/>
      <c r="B83" s="322">
        <v>45</v>
      </c>
      <c r="C83" s="1033" t="s">
        <v>470</v>
      </c>
      <c r="D83" s="968"/>
      <c r="E83" s="968"/>
      <c r="F83" s="968"/>
      <c r="G83" s="968"/>
      <c r="H83" s="969"/>
      <c r="I83" s="970"/>
      <c r="J83" s="971">
        <v>0</v>
      </c>
      <c r="K83" s="950">
        <v>3500</v>
      </c>
      <c r="L83" s="972">
        <v>611</v>
      </c>
      <c r="M83" s="972">
        <v>1000</v>
      </c>
      <c r="N83" s="1254" t="s">
        <v>471</v>
      </c>
    </row>
    <row r="84" spans="1:14" ht="12.75" customHeight="1">
      <c r="A84" s="967"/>
      <c r="B84" s="322">
        <f>B83+1</f>
        <v>46</v>
      </c>
      <c r="C84" s="1033" t="s">
        <v>472</v>
      </c>
      <c r="D84" s="968"/>
      <c r="E84" s="968"/>
      <c r="F84" s="968"/>
      <c r="G84" s="968"/>
      <c r="H84" s="969"/>
      <c r="I84" s="970"/>
      <c r="J84" s="971"/>
      <c r="K84" s="950"/>
      <c r="L84" s="972">
        <v>4550</v>
      </c>
      <c r="M84" s="972">
        <v>1800</v>
      </c>
      <c r="N84" s="1254" t="s">
        <v>473</v>
      </c>
    </row>
    <row r="85" spans="1:14" ht="12.75" customHeight="1">
      <c r="A85" s="967"/>
      <c r="B85" s="1232"/>
      <c r="C85" s="1033" t="s">
        <v>474</v>
      </c>
      <c r="D85" s="968"/>
      <c r="E85" s="968"/>
      <c r="F85" s="968"/>
      <c r="G85" s="968"/>
      <c r="H85" s="969"/>
      <c r="I85" s="970"/>
      <c r="J85" s="971"/>
      <c r="K85" s="950"/>
      <c r="L85" s="972">
        <v>500</v>
      </c>
      <c r="M85" s="972">
        <v>500</v>
      </c>
      <c r="N85" s="1254"/>
    </row>
    <row r="86" spans="1:14" ht="12.75" customHeight="1">
      <c r="A86" s="329"/>
      <c r="B86" s="522"/>
      <c r="C86" s="523" t="s">
        <v>378</v>
      </c>
      <c r="D86" s="595"/>
      <c r="E86" s="595"/>
      <c r="F86" s="595">
        <f>1000+850+265</f>
        <v>2115</v>
      </c>
      <c r="G86" s="595">
        <v>1000</v>
      </c>
      <c r="H86" s="525">
        <v>1000</v>
      </c>
      <c r="I86" s="726"/>
      <c r="J86" s="950">
        <v>1000</v>
      </c>
      <c r="K86" s="950">
        <v>3500</v>
      </c>
      <c r="L86" s="972">
        <v>0</v>
      </c>
      <c r="M86" s="972">
        <v>0</v>
      </c>
      <c r="N86" s="1254"/>
    </row>
    <row r="87" spans="1:14" ht="12.75" customHeight="1" hidden="1">
      <c r="A87" s="329"/>
      <c r="B87" s="322">
        <v>48</v>
      </c>
      <c r="C87" s="523" t="s">
        <v>256</v>
      </c>
      <c r="D87" s="595"/>
      <c r="E87" s="595"/>
      <c r="F87" s="595"/>
      <c r="G87" s="595">
        <v>1000</v>
      </c>
      <c r="H87" s="525">
        <v>0</v>
      </c>
      <c r="I87" s="726"/>
      <c r="J87" s="950">
        <v>1500</v>
      </c>
      <c r="K87" s="950">
        <v>0</v>
      </c>
      <c r="L87" s="752">
        <v>0</v>
      </c>
      <c r="M87" s="752">
        <v>0</v>
      </c>
      <c r="N87" s="1256"/>
    </row>
    <row r="88" spans="1:14" ht="12.75" customHeight="1" hidden="1">
      <c r="A88" s="329"/>
      <c r="B88" s="522">
        <v>49</v>
      </c>
      <c r="C88" s="523" t="s">
        <v>257</v>
      </c>
      <c r="D88" s="595"/>
      <c r="E88" s="595"/>
      <c r="F88" s="595"/>
      <c r="G88" s="595"/>
      <c r="H88" s="525"/>
      <c r="I88" s="726"/>
      <c r="J88" s="950">
        <v>1500</v>
      </c>
      <c r="K88" s="950">
        <v>0</v>
      </c>
      <c r="L88" s="752">
        <v>0</v>
      </c>
      <c r="M88" s="752">
        <v>0</v>
      </c>
      <c r="N88" s="1254"/>
    </row>
    <row r="89" spans="1:14" ht="12.75" customHeight="1">
      <c r="A89" s="329"/>
      <c r="B89" s="522">
        <v>47</v>
      </c>
      <c r="C89" s="523" t="s">
        <v>475</v>
      </c>
      <c r="D89" s="595"/>
      <c r="E89" s="595"/>
      <c r="F89" s="595"/>
      <c r="G89" s="595"/>
      <c r="H89" s="525"/>
      <c r="I89" s="726"/>
      <c r="J89" s="950"/>
      <c r="K89" s="950"/>
      <c r="L89" s="752">
        <v>1000</v>
      </c>
      <c r="M89" s="752">
        <v>1000</v>
      </c>
      <c r="N89" s="1254"/>
    </row>
    <row r="90" spans="1:14" ht="12.75" customHeight="1">
      <c r="A90" s="329"/>
      <c r="B90" s="522">
        <f>B89+1</f>
        <v>48</v>
      </c>
      <c r="C90" s="523" t="s">
        <v>476</v>
      </c>
      <c r="D90" s="595"/>
      <c r="E90" s="595"/>
      <c r="F90" s="595"/>
      <c r="G90" s="595"/>
      <c r="H90" s="525"/>
      <c r="I90" s="726"/>
      <c r="J90" s="950"/>
      <c r="K90" s="950"/>
      <c r="L90" s="752">
        <v>100</v>
      </c>
      <c r="M90" s="752">
        <v>100</v>
      </c>
      <c r="N90" s="1254" t="s">
        <v>477</v>
      </c>
    </row>
    <row r="91" spans="1:14" ht="12.75" customHeight="1">
      <c r="A91" s="329"/>
      <c r="B91" s="322">
        <v>49</v>
      </c>
      <c r="C91" s="523" t="s">
        <v>227</v>
      </c>
      <c r="D91" s="595"/>
      <c r="E91" s="595"/>
      <c r="F91" s="595"/>
      <c r="G91" s="595"/>
      <c r="H91" s="525">
        <v>25</v>
      </c>
      <c r="I91" s="726"/>
      <c r="J91" s="950">
        <v>25</v>
      </c>
      <c r="K91" s="950">
        <v>45</v>
      </c>
      <c r="L91" s="752">
        <v>45</v>
      </c>
      <c r="M91" s="752">
        <v>45</v>
      </c>
      <c r="N91" s="1254"/>
    </row>
    <row r="92" spans="1:14" ht="12.75" customHeight="1" hidden="1">
      <c r="A92" s="973"/>
      <c r="B92" s="974">
        <v>41</v>
      </c>
      <c r="C92" s="975" t="s">
        <v>184</v>
      </c>
      <c r="D92" s="976"/>
      <c r="E92" s="976"/>
      <c r="F92" s="976"/>
      <c r="G92" s="976">
        <v>4000</v>
      </c>
      <c r="H92" s="977">
        <v>0</v>
      </c>
      <c r="I92" s="978"/>
      <c r="J92" s="950">
        <v>0</v>
      </c>
      <c r="K92" s="950"/>
      <c r="L92" s="972"/>
      <c r="M92" s="972"/>
      <c r="N92" s="1254"/>
    </row>
    <row r="93" spans="1:14" ht="12.75" customHeight="1">
      <c r="A93" s="320"/>
      <c r="B93" s="326"/>
      <c r="C93" s="327" t="s">
        <v>57</v>
      </c>
      <c r="D93" s="596">
        <f aca="true" t="shared" si="3" ref="D93:I93">SUM(D29:D92)</f>
        <v>73307</v>
      </c>
      <c r="E93" s="596">
        <f t="shared" si="3"/>
        <v>51185</v>
      </c>
      <c r="F93" s="596">
        <f t="shared" si="3"/>
        <v>60150</v>
      </c>
      <c r="G93" s="596">
        <f t="shared" si="3"/>
        <v>60465</v>
      </c>
      <c r="H93" s="526">
        <f t="shared" si="3"/>
        <v>63918</v>
      </c>
      <c r="I93" s="727">
        <f t="shared" si="3"/>
        <v>56069</v>
      </c>
      <c r="J93" s="979">
        <v>82889</v>
      </c>
      <c r="K93" s="979">
        <v>77362</v>
      </c>
      <c r="L93" s="753">
        <f>SUM(L29:L91)</f>
        <v>89042</v>
      </c>
      <c r="M93" s="753">
        <f>SUM(M29:M91)</f>
        <v>90841</v>
      </c>
      <c r="N93" s="1254"/>
    </row>
    <row r="94" spans="1:14" ht="12.75" customHeight="1">
      <c r="A94" s="320"/>
      <c r="B94" s="531"/>
      <c r="C94" s="520" t="s">
        <v>478</v>
      </c>
      <c r="D94" s="594"/>
      <c r="E94" s="594"/>
      <c r="F94" s="594"/>
      <c r="G94" s="594"/>
      <c r="H94" s="521">
        <v>1835</v>
      </c>
      <c r="I94" s="723"/>
      <c r="J94" s="950">
        <v>2029</v>
      </c>
      <c r="K94" s="950">
        <v>2200</v>
      </c>
      <c r="L94" s="1233">
        <v>5000</v>
      </c>
      <c r="M94" s="1233"/>
      <c r="N94" s="1254" t="s">
        <v>479</v>
      </c>
    </row>
    <row r="95" spans="1:14" ht="12.75" customHeight="1" hidden="1">
      <c r="A95" s="320"/>
      <c r="B95" s="321"/>
      <c r="C95" s="520" t="s">
        <v>468</v>
      </c>
      <c r="D95" s="594"/>
      <c r="E95" s="594"/>
      <c r="F95" s="594"/>
      <c r="G95" s="594"/>
      <c r="H95" s="521"/>
      <c r="I95" s="960"/>
      <c r="J95" s="961"/>
      <c r="K95" s="961"/>
      <c r="L95" s="962">
        <v>100</v>
      </c>
      <c r="M95" s="962"/>
      <c r="N95" s="1254" t="s">
        <v>480</v>
      </c>
    </row>
    <row r="96" spans="1:14" ht="12.75" customHeight="1">
      <c r="A96" s="320"/>
      <c r="B96" s="321"/>
      <c r="C96" s="769" t="s">
        <v>362</v>
      </c>
      <c r="D96" s="594"/>
      <c r="E96" s="594"/>
      <c r="F96" s="594"/>
      <c r="G96" s="594"/>
      <c r="H96" s="521"/>
      <c r="I96" s="960"/>
      <c r="J96" s="961"/>
      <c r="K96" s="961">
        <v>2260</v>
      </c>
      <c r="L96" s="962">
        <v>0</v>
      </c>
      <c r="M96" s="962">
        <v>0</v>
      </c>
      <c r="N96" s="1254" t="s">
        <v>481</v>
      </c>
    </row>
    <row r="97" spans="1:14" ht="12.75" customHeight="1">
      <c r="A97" s="329"/>
      <c r="B97" s="326"/>
      <c r="C97" s="327" t="s">
        <v>380</v>
      </c>
      <c r="D97" s="596"/>
      <c r="E97" s="596"/>
      <c r="F97" s="596"/>
      <c r="G97" s="596"/>
      <c r="H97" s="526"/>
      <c r="I97" s="743"/>
      <c r="J97" s="979">
        <v>2029</v>
      </c>
      <c r="K97" s="979">
        <v>4460</v>
      </c>
      <c r="L97" s="753">
        <f>SUM(L94:L96)</f>
        <v>5100</v>
      </c>
      <c r="M97" s="753">
        <f>SUM(M94:M96)</f>
        <v>0</v>
      </c>
      <c r="N97" s="1261">
        <f>M97/K97</f>
        <v>0</v>
      </c>
    </row>
    <row r="98" spans="1:14" ht="12.75" customHeight="1">
      <c r="A98" s="320"/>
      <c r="B98" s="531">
        <v>50</v>
      </c>
      <c r="C98" s="532" t="s">
        <v>482</v>
      </c>
      <c r="D98" s="597">
        <f>(1777+195)</f>
        <v>1972</v>
      </c>
      <c r="E98" s="597">
        <v>2300</v>
      </c>
      <c r="F98" s="597">
        <v>2300</v>
      </c>
      <c r="G98" s="597">
        <v>3600</v>
      </c>
      <c r="H98" s="533">
        <v>4500</v>
      </c>
      <c r="I98" s="728"/>
      <c r="J98" s="980">
        <v>6560</v>
      </c>
      <c r="K98" s="980">
        <v>6560</v>
      </c>
      <c r="L98" s="754">
        <v>7560</v>
      </c>
      <c r="M98" s="754">
        <v>7560</v>
      </c>
      <c r="N98" s="1261"/>
    </row>
    <row r="99" spans="1:14" ht="12.75" customHeight="1">
      <c r="A99" s="320"/>
      <c r="B99" s="321">
        <v>51</v>
      </c>
      <c r="C99" s="598" t="s">
        <v>483</v>
      </c>
      <c r="D99" s="599"/>
      <c r="E99" s="599"/>
      <c r="F99" s="599"/>
      <c r="G99" s="599"/>
      <c r="H99" s="600"/>
      <c r="I99" s="729"/>
      <c r="J99" s="981">
        <v>1014</v>
      </c>
      <c r="K99" s="981">
        <v>1000</v>
      </c>
      <c r="L99" s="755">
        <v>1000</v>
      </c>
      <c r="M99" s="755">
        <v>1000</v>
      </c>
      <c r="N99" s="1261"/>
    </row>
    <row r="100" spans="1:14" ht="12.75" customHeight="1">
      <c r="A100" s="329"/>
      <c r="B100" s="326"/>
      <c r="C100" s="327" t="s">
        <v>58</v>
      </c>
      <c r="D100" s="596">
        <f>SUM(D98)</f>
        <v>1972</v>
      </c>
      <c r="E100" s="596">
        <f>SUM(E98)</f>
        <v>2300</v>
      </c>
      <c r="F100" s="596">
        <f>SUM(F98)</f>
        <v>2300</v>
      </c>
      <c r="G100" s="596">
        <f>SUM(G98)</f>
        <v>3600</v>
      </c>
      <c r="H100" s="526">
        <f>H98</f>
        <v>4500</v>
      </c>
      <c r="I100" s="743">
        <v>0</v>
      </c>
      <c r="J100" s="979">
        <v>7574</v>
      </c>
      <c r="K100" s="979">
        <v>7560</v>
      </c>
      <c r="L100" s="753">
        <f>SUM(L98:L99)</f>
        <v>8560</v>
      </c>
      <c r="M100" s="753">
        <f>SUM(M98:M99)</f>
        <v>8560</v>
      </c>
      <c r="N100" s="1254"/>
    </row>
    <row r="101" spans="1:14" ht="12.75" customHeight="1">
      <c r="A101" s="320"/>
      <c r="B101" s="331">
        <v>52</v>
      </c>
      <c r="C101" s="332" t="s">
        <v>128</v>
      </c>
      <c r="D101" s="601" t="s">
        <v>185</v>
      </c>
      <c r="E101" s="602">
        <v>5400</v>
      </c>
      <c r="F101" s="602">
        <v>5670</v>
      </c>
      <c r="G101" s="602">
        <v>6040</v>
      </c>
      <c r="H101" s="528">
        <v>6040</v>
      </c>
      <c r="I101" s="730"/>
      <c r="J101" s="982">
        <v>6300</v>
      </c>
      <c r="K101" s="982">
        <v>7000</v>
      </c>
      <c r="L101" s="756">
        <v>7300</v>
      </c>
      <c r="M101" s="756">
        <f>L101</f>
        <v>7300</v>
      </c>
      <c r="N101" s="1254"/>
    </row>
    <row r="102" spans="1:14" ht="12.75" customHeight="1">
      <c r="A102" s="320"/>
      <c r="B102" s="333">
        <f>B101+1</f>
        <v>53</v>
      </c>
      <c r="C102" s="334" t="s">
        <v>365</v>
      </c>
      <c r="D102" s="603"/>
      <c r="E102" s="604">
        <v>600</v>
      </c>
      <c r="F102" s="604">
        <v>1080</v>
      </c>
      <c r="G102" s="604">
        <v>1080</v>
      </c>
      <c r="H102" s="336">
        <v>1550</v>
      </c>
      <c r="I102" s="731"/>
      <c r="J102" s="948">
        <v>2150</v>
      </c>
      <c r="K102" s="948">
        <v>1500</v>
      </c>
      <c r="L102" s="751">
        <v>1500</v>
      </c>
      <c r="M102" s="751">
        <v>1500</v>
      </c>
      <c r="N102" s="1254"/>
    </row>
    <row r="103" spans="1:14" ht="12.75" customHeight="1">
      <c r="A103" s="320"/>
      <c r="B103" s="333">
        <f>B102+1</f>
        <v>54</v>
      </c>
      <c r="C103" s="323" t="s">
        <v>228</v>
      </c>
      <c r="D103" s="603"/>
      <c r="E103" s="604"/>
      <c r="F103" s="604"/>
      <c r="G103" s="604"/>
      <c r="H103" s="336">
        <v>5000</v>
      </c>
      <c r="I103" s="731"/>
      <c r="J103" s="948">
        <v>1000</v>
      </c>
      <c r="K103" s="948">
        <v>1000</v>
      </c>
      <c r="L103" s="751">
        <v>600</v>
      </c>
      <c r="M103" s="751">
        <f aca="true" t="shared" si="4" ref="M103:M123">L103</f>
        <v>600</v>
      </c>
      <c r="N103" s="1254"/>
    </row>
    <row r="104" spans="1:14" ht="12.75" customHeight="1">
      <c r="A104" s="320"/>
      <c r="B104" s="333">
        <f>B103+1</f>
        <v>55</v>
      </c>
      <c r="C104" s="323" t="s">
        <v>366</v>
      </c>
      <c r="D104" s="603"/>
      <c r="E104" s="604"/>
      <c r="F104" s="604"/>
      <c r="G104" s="604"/>
      <c r="H104" s="336"/>
      <c r="I104" s="731"/>
      <c r="J104" s="948"/>
      <c r="K104" s="948">
        <v>600</v>
      </c>
      <c r="L104" s="751">
        <v>650</v>
      </c>
      <c r="M104" s="751">
        <f t="shared" si="4"/>
        <v>650</v>
      </c>
      <c r="N104" s="1254" t="s">
        <v>484</v>
      </c>
    </row>
    <row r="105" spans="1:14" ht="12.75" customHeight="1" hidden="1">
      <c r="A105" s="320"/>
      <c r="B105" s="331"/>
      <c r="C105" s="323" t="s">
        <v>229</v>
      </c>
      <c r="D105" s="603"/>
      <c r="E105" s="604"/>
      <c r="F105" s="604"/>
      <c r="G105" s="604"/>
      <c r="H105" s="336">
        <v>6150</v>
      </c>
      <c r="I105" s="731"/>
      <c r="J105" s="948"/>
      <c r="K105" s="948">
        <v>0</v>
      </c>
      <c r="L105" s="751">
        <v>0</v>
      </c>
      <c r="M105" s="751">
        <f t="shared" si="4"/>
        <v>0</v>
      </c>
      <c r="N105" s="1254"/>
    </row>
    <row r="106" spans="1:14" ht="12.75" customHeight="1" hidden="1">
      <c r="A106" s="320"/>
      <c r="B106" s="333"/>
      <c r="C106" s="323" t="s">
        <v>258</v>
      </c>
      <c r="D106" s="603"/>
      <c r="E106" s="604"/>
      <c r="F106" s="604"/>
      <c r="G106" s="604"/>
      <c r="H106" s="336">
        <v>1800</v>
      </c>
      <c r="I106" s="731"/>
      <c r="J106" s="948"/>
      <c r="K106" s="948">
        <v>0</v>
      </c>
      <c r="L106" s="751">
        <v>0</v>
      </c>
      <c r="M106" s="751">
        <f t="shared" si="4"/>
        <v>0</v>
      </c>
      <c r="N106" s="1254"/>
    </row>
    <row r="107" spans="1:14" ht="12.75" customHeight="1">
      <c r="A107" s="320"/>
      <c r="B107" s="331">
        <v>56</v>
      </c>
      <c r="C107" s="323" t="s">
        <v>485</v>
      </c>
      <c r="D107" s="603"/>
      <c r="E107" s="604"/>
      <c r="F107" s="604"/>
      <c r="G107" s="604"/>
      <c r="H107" s="336"/>
      <c r="I107" s="731"/>
      <c r="J107" s="948">
        <v>1500</v>
      </c>
      <c r="K107" s="948">
        <v>1500</v>
      </c>
      <c r="L107" s="751">
        <v>1255</v>
      </c>
      <c r="M107" s="751">
        <f t="shared" si="4"/>
        <v>1255</v>
      </c>
      <c r="N107" s="1254"/>
    </row>
    <row r="108" spans="1:14" ht="12.75" customHeight="1">
      <c r="A108" s="320"/>
      <c r="B108" s="333">
        <f>B107+1</f>
        <v>57</v>
      </c>
      <c r="C108" s="323" t="s">
        <v>486</v>
      </c>
      <c r="D108" s="603"/>
      <c r="E108" s="604"/>
      <c r="F108" s="604"/>
      <c r="G108" s="604"/>
      <c r="H108" s="336"/>
      <c r="I108" s="731"/>
      <c r="J108" s="948"/>
      <c r="K108" s="948">
        <v>0</v>
      </c>
      <c r="L108" s="751">
        <v>500</v>
      </c>
      <c r="M108" s="751">
        <f>L108</f>
        <v>500</v>
      </c>
      <c r="N108" s="1254" t="s">
        <v>487</v>
      </c>
    </row>
    <row r="109" spans="1:14" ht="12.75" customHeight="1">
      <c r="A109" s="320"/>
      <c r="B109" s="333">
        <f>B108+1</f>
        <v>58</v>
      </c>
      <c r="C109" s="323" t="s">
        <v>488</v>
      </c>
      <c r="D109" s="603"/>
      <c r="E109" s="604"/>
      <c r="F109" s="604"/>
      <c r="G109" s="604"/>
      <c r="H109" s="336"/>
      <c r="I109" s="731"/>
      <c r="J109" s="948">
        <v>1500</v>
      </c>
      <c r="K109" s="948">
        <v>1500</v>
      </c>
      <c r="L109" s="988">
        <v>2200</v>
      </c>
      <c r="M109" s="751">
        <v>1500</v>
      </c>
      <c r="N109" s="1254"/>
    </row>
    <row r="110" spans="1:14" s="330" customFormat="1" ht="12.75" customHeight="1" hidden="1">
      <c r="A110" s="320"/>
      <c r="B110" s="333" t="e">
        <f>#REF!+1</f>
        <v>#REF!</v>
      </c>
      <c r="C110" s="323" t="s">
        <v>489</v>
      </c>
      <c r="D110" s="603"/>
      <c r="E110" s="604"/>
      <c r="F110" s="604"/>
      <c r="G110" s="604"/>
      <c r="H110" s="336"/>
      <c r="I110" s="731"/>
      <c r="J110" s="948">
        <v>1850</v>
      </c>
      <c r="K110" s="948">
        <v>0</v>
      </c>
      <c r="L110" s="988">
        <v>1000</v>
      </c>
      <c r="M110" s="751">
        <v>0</v>
      </c>
      <c r="N110" s="1254"/>
    </row>
    <row r="111" spans="1:14" ht="12.75" customHeight="1">
      <c r="A111" s="320"/>
      <c r="B111" s="333"/>
      <c r="C111" s="767" t="s">
        <v>490</v>
      </c>
      <c r="D111" s="983"/>
      <c r="E111" s="984"/>
      <c r="F111" s="984"/>
      <c r="G111" s="984"/>
      <c r="H111" s="985"/>
      <c r="I111" s="986"/>
      <c r="J111" s="987"/>
      <c r="K111" s="948">
        <v>400</v>
      </c>
      <c r="L111" s="1234">
        <v>400</v>
      </c>
      <c r="M111" s="751">
        <v>0</v>
      </c>
      <c r="N111" s="1254"/>
    </row>
    <row r="112" spans="1:14" ht="12.75" customHeight="1">
      <c r="A112" s="320"/>
      <c r="B112" s="333"/>
      <c r="C112" s="767" t="s">
        <v>367</v>
      </c>
      <c r="D112" s="983"/>
      <c r="E112" s="984"/>
      <c r="F112" s="984"/>
      <c r="G112" s="984"/>
      <c r="H112" s="985"/>
      <c r="I112" s="986"/>
      <c r="J112" s="987"/>
      <c r="K112" s="948">
        <v>300</v>
      </c>
      <c r="L112" s="1234">
        <v>300</v>
      </c>
      <c r="M112" s="751">
        <v>0</v>
      </c>
      <c r="N112" s="1254"/>
    </row>
    <row r="113" spans="1:14" ht="12.75" customHeight="1">
      <c r="A113" s="320"/>
      <c r="B113" s="333"/>
      <c r="C113" s="323" t="s">
        <v>368</v>
      </c>
      <c r="D113" s="603"/>
      <c r="E113" s="604"/>
      <c r="F113" s="604"/>
      <c r="G113" s="604"/>
      <c r="H113" s="336"/>
      <c r="I113" s="731"/>
      <c r="J113" s="948"/>
      <c r="K113" s="948">
        <v>300</v>
      </c>
      <c r="L113" s="1234">
        <v>300</v>
      </c>
      <c r="M113" s="751">
        <v>0</v>
      </c>
      <c r="N113" s="1254"/>
    </row>
    <row r="114" spans="1:14" s="330" customFormat="1" ht="12.75" customHeight="1">
      <c r="A114" s="320"/>
      <c r="B114" s="333">
        <v>59</v>
      </c>
      <c r="C114" s="323" t="s">
        <v>369</v>
      </c>
      <c r="D114" s="603"/>
      <c r="E114" s="604"/>
      <c r="F114" s="604"/>
      <c r="G114" s="604"/>
      <c r="H114" s="336"/>
      <c r="I114" s="731"/>
      <c r="J114" s="948"/>
      <c r="K114" s="948">
        <v>1560</v>
      </c>
      <c r="L114" s="988">
        <v>2160</v>
      </c>
      <c r="M114" s="751">
        <v>1600</v>
      </c>
      <c r="N114" s="1254" t="s">
        <v>491</v>
      </c>
    </row>
    <row r="115" spans="1:14" s="330" customFormat="1" ht="12.75" customHeight="1" hidden="1">
      <c r="A115" s="320"/>
      <c r="B115" s="333"/>
      <c r="C115" s="323" t="s">
        <v>492</v>
      </c>
      <c r="D115" s="603"/>
      <c r="E115" s="604"/>
      <c r="F115" s="604"/>
      <c r="G115" s="604"/>
      <c r="H115" s="336"/>
      <c r="I115" s="731"/>
      <c r="J115" s="948"/>
      <c r="K115" s="948">
        <v>0</v>
      </c>
      <c r="L115" s="988">
        <v>600</v>
      </c>
      <c r="M115" s="751">
        <v>0</v>
      </c>
      <c r="N115" s="1254"/>
    </row>
    <row r="116" spans="1:14" ht="12.75" customHeight="1">
      <c r="A116" s="320"/>
      <c r="B116" s="333">
        <f>B114+1</f>
        <v>60</v>
      </c>
      <c r="C116" s="323" t="s">
        <v>370</v>
      </c>
      <c r="D116" s="603"/>
      <c r="E116" s="604"/>
      <c r="F116" s="604"/>
      <c r="G116" s="604"/>
      <c r="H116" s="336"/>
      <c r="I116" s="731"/>
      <c r="J116" s="948"/>
      <c r="K116" s="948">
        <v>200</v>
      </c>
      <c r="L116" s="751">
        <v>250</v>
      </c>
      <c r="M116" s="751">
        <f t="shared" si="4"/>
        <v>250</v>
      </c>
      <c r="N116" s="1254"/>
    </row>
    <row r="117" spans="1:14" ht="12.75" customHeight="1">
      <c r="A117" s="320"/>
      <c r="B117" s="333">
        <v>61</v>
      </c>
      <c r="C117" s="323" t="s">
        <v>371</v>
      </c>
      <c r="D117" s="603"/>
      <c r="E117" s="604"/>
      <c r="F117" s="604"/>
      <c r="G117" s="604"/>
      <c r="H117" s="336"/>
      <c r="I117" s="731"/>
      <c r="J117" s="948"/>
      <c r="K117" s="948">
        <v>300</v>
      </c>
      <c r="L117" s="988">
        <v>2000</v>
      </c>
      <c r="M117" s="751">
        <v>630</v>
      </c>
      <c r="N117" s="1254"/>
    </row>
    <row r="118" spans="1:14" ht="12.75" customHeight="1">
      <c r="A118" s="320"/>
      <c r="B118" s="333">
        <v>62</v>
      </c>
      <c r="C118" s="323" t="s">
        <v>372</v>
      </c>
      <c r="D118" s="603"/>
      <c r="E118" s="604"/>
      <c r="F118" s="604"/>
      <c r="G118" s="604"/>
      <c r="H118" s="336"/>
      <c r="I118" s="731"/>
      <c r="J118" s="948"/>
      <c r="K118" s="948">
        <v>1000</v>
      </c>
      <c r="L118" s="751">
        <v>1000</v>
      </c>
      <c r="M118" s="751">
        <f t="shared" si="4"/>
        <v>1000</v>
      </c>
      <c r="N118" s="1254" t="s">
        <v>493</v>
      </c>
    </row>
    <row r="119" spans="1:14" ht="12.75" customHeight="1" hidden="1">
      <c r="A119" s="320"/>
      <c r="B119" s="333"/>
      <c r="C119" s="323" t="s">
        <v>373</v>
      </c>
      <c r="D119" s="603"/>
      <c r="E119" s="604"/>
      <c r="F119" s="604"/>
      <c r="G119" s="604"/>
      <c r="H119" s="336"/>
      <c r="I119" s="731"/>
      <c r="J119" s="948"/>
      <c r="K119" s="948">
        <v>0</v>
      </c>
      <c r="L119" s="751">
        <v>0</v>
      </c>
      <c r="M119" s="751">
        <f t="shared" si="4"/>
        <v>0</v>
      </c>
      <c r="N119" s="1254"/>
    </row>
    <row r="120" spans="1:14" ht="12.75" customHeight="1" hidden="1">
      <c r="A120" s="320"/>
      <c r="B120" s="333"/>
      <c r="C120" s="323" t="s">
        <v>374</v>
      </c>
      <c r="D120" s="603"/>
      <c r="E120" s="604"/>
      <c r="F120" s="604"/>
      <c r="G120" s="604"/>
      <c r="H120" s="336"/>
      <c r="I120" s="731"/>
      <c r="J120" s="948"/>
      <c r="K120" s="948">
        <v>0</v>
      </c>
      <c r="L120" s="751">
        <v>0</v>
      </c>
      <c r="M120" s="751">
        <f t="shared" si="4"/>
        <v>0</v>
      </c>
      <c r="N120" s="1254"/>
    </row>
    <row r="121" spans="1:14" ht="12.75" customHeight="1">
      <c r="A121" s="320"/>
      <c r="B121" s="333">
        <v>63</v>
      </c>
      <c r="C121" s="323" t="s">
        <v>375</v>
      </c>
      <c r="D121" s="603"/>
      <c r="E121" s="604"/>
      <c r="F121" s="604"/>
      <c r="G121" s="604"/>
      <c r="H121" s="336"/>
      <c r="I121" s="731"/>
      <c r="J121" s="948"/>
      <c r="K121" s="948">
        <v>500</v>
      </c>
      <c r="L121" s="988">
        <v>1400</v>
      </c>
      <c r="M121" s="751">
        <v>500</v>
      </c>
      <c r="N121" s="1254"/>
    </row>
    <row r="122" spans="1:14" ht="12.75" customHeight="1">
      <c r="A122" s="320"/>
      <c r="B122" s="333">
        <v>64</v>
      </c>
      <c r="C122" s="323" t="s">
        <v>376</v>
      </c>
      <c r="D122" s="603"/>
      <c r="E122" s="604"/>
      <c r="F122" s="604"/>
      <c r="G122" s="604"/>
      <c r="H122" s="336"/>
      <c r="I122" s="731"/>
      <c r="J122" s="948"/>
      <c r="K122" s="948">
        <v>400</v>
      </c>
      <c r="L122" s="751">
        <v>500</v>
      </c>
      <c r="M122" s="751">
        <f t="shared" si="4"/>
        <v>500</v>
      </c>
      <c r="N122" s="1254"/>
    </row>
    <row r="123" spans="1:14" ht="12.75" customHeight="1">
      <c r="A123" s="320"/>
      <c r="B123" s="333">
        <v>65</v>
      </c>
      <c r="C123" s="323" t="s">
        <v>494</v>
      </c>
      <c r="D123" s="603"/>
      <c r="E123" s="604"/>
      <c r="F123" s="604"/>
      <c r="G123" s="604"/>
      <c r="H123" s="336"/>
      <c r="I123" s="731"/>
      <c r="J123" s="948"/>
      <c r="K123" s="948"/>
      <c r="L123" s="751">
        <v>400</v>
      </c>
      <c r="M123" s="751">
        <f t="shared" si="4"/>
        <v>400</v>
      </c>
      <c r="N123" s="1254"/>
    </row>
    <row r="124" spans="1:14" ht="12.75" customHeight="1">
      <c r="A124" s="320"/>
      <c r="B124" s="324">
        <v>66</v>
      </c>
      <c r="C124" s="323" t="s">
        <v>495</v>
      </c>
      <c r="D124" s="603"/>
      <c r="E124" s="604"/>
      <c r="F124" s="604"/>
      <c r="G124" s="604"/>
      <c r="H124" s="336"/>
      <c r="I124" s="731"/>
      <c r="J124" s="948"/>
      <c r="K124" s="948"/>
      <c r="L124" s="988">
        <v>700</v>
      </c>
      <c r="M124" s="751">
        <v>500</v>
      </c>
      <c r="N124" s="1254"/>
    </row>
    <row r="125" spans="1:14" ht="12.75" customHeight="1" hidden="1">
      <c r="A125" s="320"/>
      <c r="B125" s="771"/>
      <c r="C125" s="529" t="s">
        <v>259</v>
      </c>
      <c r="D125" s="601"/>
      <c r="E125" s="602"/>
      <c r="F125" s="602"/>
      <c r="G125" s="602"/>
      <c r="H125" s="528">
        <v>6100</v>
      </c>
      <c r="I125" s="732"/>
      <c r="J125" s="981"/>
      <c r="K125" s="981">
        <v>0</v>
      </c>
      <c r="L125" s="755">
        <v>0</v>
      </c>
      <c r="M125" s="755">
        <v>0</v>
      </c>
      <c r="N125" s="1254"/>
    </row>
    <row r="126" spans="1:14" ht="12.75" customHeight="1">
      <c r="A126" s="329"/>
      <c r="B126" s="530"/>
      <c r="C126" s="327" t="s">
        <v>186</v>
      </c>
      <c r="D126" s="605">
        <f>SUM(D101:D102)</f>
        <v>0</v>
      </c>
      <c r="E126" s="605">
        <f>SUM(E101:E102)</f>
        <v>6000</v>
      </c>
      <c r="F126" s="596">
        <f>SUM(F101:F102)</f>
        <v>6750</v>
      </c>
      <c r="G126" s="596">
        <f>SUM(G101:G102)</f>
        <v>7120</v>
      </c>
      <c r="H126" s="526">
        <f>SUM(H101:H125)</f>
        <v>26640</v>
      </c>
      <c r="I126" s="743">
        <f>SUM(I101:I125)</f>
        <v>0</v>
      </c>
      <c r="J126" s="979">
        <v>14300</v>
      </c>
      <c r="K126" s="979">
        <v>18060</v>
      </c>
      <c r="L126" s="753">
        <f>SUM(L101:L125)</f>
        <v>25015</v>
      </c>
      <c r="M126" s="753">
        <f>SUM(M101:M125)</f>
        <v>18685</v>
      </c>
      <c r="N126" s="1261"/>
    </row>
    <row r="127" spans="1:14" ht="12.75" customHeight="1">
      <c r="A127" s="320"/>
      <c r="B127" s="531">
        <v>67</v>
      </c>
      <c r="C127" s="532" t="s">
        <v>230</v>
      </c>
      <c r="D127" s="597">
        <f>(1777+195)</f>
        <v>1972</v>
      </c>
      <c r="E127" s="597">
        <v>2300</v>
      </c>
      <c r="F127" s="597"/>
      <c r="G127" s="597"/>
      <c r="H127" s="533">
        <v>15500</v>
      </c>
      <c r="I127" s="733"/>
      <c r="J127" s="980">
        <v>20000</v>
      </c>
      <c r="K127" s="980">
        <v>23000</v>
      </c>
      <c r="L127" s="754">
        <v>27500</v>
      </c>
      <c r="M127" s="754">
        <v>23000</v>
      </c>
      <c r="N127" s="1261"/>
    </row>
    <row r="128" spans="1:14" ht="12.75" customHeight="1">
      <c r="A128" s="320"/>
      <c r="B128" s="322"/>
      <c r="C128" s="323" t="s">
        <v>231</v>
      </c>
      <c r="D128" s="592"/>
      <c r="E128" s="592"/>
      <c r="F128" s="592"/>
      <c r="G128" s="592"/>
      <c r="H128" s="518">
        <v>2650</v>
      </c>
      <c r="I128" s="734"/>
      <c r="J128" s="948">
        <v>0</v>
      </c>
      <c r="K128" s="948">
        <v>3000</v>
      </c>
      <c r="L128" s="751"/>
      <c r="M128" s="751"/>
      <c r="N128" s="1254"/>
    </row>
    <row r="129" spans="1:14" s="317" customFormat="1" ht="12.75" customHeight="1">
      <c r="A129" s="320"/>
      <c r="B129" s="324">
        <v>68</v>
      </c>
      <c r="C129" s="529" t="s">
        <v>496</v>
      </c>
      <c r="D129" s="601"/>
      <c r="E129" s="602"/>
      <c r="F129" s="602"/>
      <c r="G129" s="602"/>
      <c r="H129" s="528">
        <v>670</v>
      </c>
      <c r="I129" s="729"/>
      <c r="J129" s="981">
        <v>300</v>
      </c>
      <c r="K129" s="981">
        <v>300</v>
      </c>
      <c r="L129" s="755"/>
      <c r="M129" s="755">
        <v>300</v>
      </c>
      <c r="N129" s="1254"/>
    </row>
    <row r="130" spans="1:14" ht="12.75" customHeight="1">
      <c r="A130" s="329"/>
      <c r="B130" s="326"/>
      <c r="C130" s="327" t="s">
        <v>232</v>
      </c>
      <c r="D130" s="596">
        <f>SUM(D127)</f>
        <v>1972</v>
      </c>
      <c r="E130" s="596">
        <f>SUM(E127)</f>
        <v>2300</v>
      </c>
      <c r="F130" s="596">
        <f>SUM(F127)</f>
        <v>0</v>
      </c>
      <c r="G130" s="596"/>
      <c r="H130" s="526">
        <f>SUM(H127:H129)</f>
        <v>18820</v>
      </c>
      <c r="I130" s="744">
        <f>SUM(I127:I129)</f>
        <v>0</v>
      </c>
      <c r="J130" s="989">
        <v>20300</v>
      </c>
      <c r="K130" s="989">
        <v>26300</v>
      </c>
      <c r="L130" s="757">
        <f>SUM(L127:L129)</f>
        <v>27500</v>
      </c>
      <c r="M130" s="757">
        <f>SUM(M127:M129)</f>
        <v>23300</v>
      </c>
      <c r="N130" s="1254"/>
    </row>
    <row r="131" spans="1:14" ht="12.75" customHeight="1">
      <c r="A131" s="320"/>
      <c r="B131" s="321">
        <v>69</v>
      </c>
      <c r="C131" s="328" t="s">
        <v>260</v>
      </c>
      <c r="D131" s="606"/>
      <c r="E131" s="606"/>
      <c r="F131" s="606"/>
      <c r="G131" s="606"/>
      <c r="H131" s="527"/>
      <c r="I131" s="745"/>
      <c r="J131" s="990">
        <v>1250</v>
      </c>
      <c r="K131" s="990">
        <v>1250</v>
      </c>
      <c r="L131" s="758">
        <v>1250</v>
      </c>
      <c r="M131" s="758">
        <f>L131</f>
        <v>1250</v>
      </c>
      <c r="N131" s="1254"/>
    </row>
    <row r="132" spans="1:14" ht="12.75" customHeight="1" thickBot="1">
      <c r="A132" s="329"/>
      <c r="B132" s="326"/>
      <c r="C132" s="327" t="s">
        <v>261</v>
      </c>
      <c r="D132" s="596"/>
      <c r="E132" s="596"/>
      <c r="F132" s="596"/>
      <c r="G132" s="596"/>
      <c r="H132" s="526">
        <f>H131</f>
        <v>0</v>
      </c>
      <c r="I132" s="744"/>
      <c r="J132" s="989">
        <v>1250</v>
      </c>
      <c r="K132" s="989">
        <v>1250</v>
      </c>
      <c r="L132" s="757">
        <f>SUM(L131)</f>
        <v>1250</v>
      </c>
      <c r="M132" s="757">
        <f>SUM(M131)</f>
        <v>1250</v>
      </c>
      <c r="N132" s="1256"/>
    </row>
    <row r="133" spans="1:14" ht="12.75" customHeight="1" hidden="1">
      <c r="A133" s="320"/>
      <c r="B133" s="321"/>
      <c r="C133" s="328" t="s">
        <v>233</v>
      </c>
      <c r="D133" s="606">
        <f>(1777+195)</f>
        <v>1972</v>
      </c>
      <c r="E133" s="606">
        <v>2300</v>
      </c>
      <c r="F133" s="606"/>
      <c r="G133" s="606"/>
      <c r="H133" s="527"/>
      <c r="I133" s="745">
        <v>0</v>
      </c>
      <c r="J133" s="990">
        <v>0</v>
      </c>
      <c r="K133" s="990"/>
      <c r="L133" s="758"/>
      <c r="M133" s="758"/>
      <c r="N133" s="1254"/>
    </row>
    <row r="134" spans="1:14" ht="12.75" customHeight="1" hidden="1" thickBot="1">
      <c r="A134" s="329"/>
      <c r="B134" s="326"/>
      <c r="C134" s="327" t="s">
        <v>234</v>
      </c>
      <c r="D134" s="596">
        <f>SUM(D133)</f>
        <v>1972</v>
      </c>
      <c r="E134" s="596">
        <f>SUM(E133)</f>
        <v>2300</v>
      </c>
      <c r="F134" s="596">
        <f>SUM(F133)</f>
        <v>0</v>
      </c>
      <c r="G134" s="596">
        <f>G133</f>
        <v>0</v>
      </c>
      <c r="H134" s="526">
        <f>H133</f>
        <v>0</v>
      </c>
      <c r="I134" s="740">
        <f>SUM(I133)</f>
        <v>0</v>
      </c>
      <c r="J134" s="946">
        <v>0</v>
      </c>
      <c r="K134" s="946"/>
      <c r="L134" s="718"/>
      <c r="M134" s="718"/>
      <c r="N134" s="1254"/>
    </row>
    <row r="135" spans="1:14" ht="12.75" customHeight="1" thickBot="1">
      <c r="A135" s="503"/>
      <c r="B135" s="504"/>
      <c r="C135" s="534" t="s">
        <v>279</v>
      </c>
      <c r="D135" s="607">
        <f>928479*0.01</f>
        <v>9284.79</v>
      </c>
      <c r="E135" s="607">
        <v>10583</v>
      </c>
      <c r="F135" s="607">
        <v>13092</v>
      </c>
      <c r="G135" s="607">
        <v>10000</v>
      </c>
      <c r="H135" s="535">
        <v>15700</v>
      </c>
      <c r="I135" s="735">
        <v>0</v>
      </c>
      <c r="J135" s="941">
        <v>16000</v>
      </c>
      <c r="K135" s="941">
        <v>16000</v>
      </c>
      <c r="L135" s="747">
        <v>16000</v>
      </c>
      <c r="M135" s="747">
        <v>16000</v>
      </c>
      <c r="N135" s="1254"/>
    </row>
    <row r="136" spans="1:14" ht="12.75" customHeight="1" thickBot="1">
      <c r="A136" s="312"/>
      <c r="B136" s="536">
        <v>70</v>
      </c>
      <c r="C136" s="537" t="s">
        <v>187</v>
      </c>
      <c r="D136" s="608">
        <f aca="true" t="shared" si="5" ref="D136:I136">D6+D28+D135</f>
        <v>181363.79</v>
      </c>
      <c r="E136" s="608">
        <f t="shared" si="5"/>
        <v>205068</v>
      </c>
      <c r="F136" s="608">
        <f t="shared" si="5"/>
        <v>232019</v>
      </c>
      <c r="G136" s="608">
        <f t="shared" si="5"/>
        <v>289330</v>
      </c>
      <c r="H136" s="609">
        <f t="shared" si="5"/>
        <v>298911</v>
      </c>
      <c r="I136" s="746">
        <f t="shared" si="5"/>
        <v>56069</v>
      </c>
      <c r="J136" s="991">
        <v>327547</v>
      </c>
      <c r="K136" s="991">
        <v>334257</v>
      </c>
      <c r="L136" s="759">
        <f>L135+L28+L6</f>
        <v>425563.9093333333</v>
      </c>
      <c r="M136" s="759">
        <f>M135+M28+M6</f>
        <v>349179.27466666664</v>
      </c>
      <c r="N136" s="1256"/>
    </row>
    <row r="137" spans="1:14" ht="12.75" customHeight="1">
      <c r="A137" s="610"/>
      <c r="B137" s="538"/>
      <c r="C137" s="538"/>
      <c r="D137" s="611"/>
      <c r="E137" s="611"/>
      <c r="F137" s="611"/>
      <c r="G137" s="611"/>
      <c r="H137" s="612"/>
      <c r="I137" s="539"/>
      <c r="J137" s="992"/>
      <c r="K137" s="992"/>
      <c r="L137" s="760"/>
      <c r="M137" s="760"/>
      <c r="N137" s="1256"/>
    </row>
    <row r="138" spans="1:14" ht="12.75" customHeight="1" thickBot="1">
      <c r="A138" s="613"/>
      <c r="B138" s="614"/>
      <c r="C138" s="615"/>
      <c r="D138" s="616"/>
      <c r="E138" s="616"/>
      <c r="F138" s="616"/>
      <c r="G138" s="616"/>
      <c r="H138" s="617"/>
      <c r="I138" s="618"/>
      <c r="J138" s="761">
        <v>1.07</v>
      </c>
      <c r="K138" s="1235">
        <v>1.07</v>
      </c>
      <c r="L138" s="1049">
        <v>1</v>
      </c>
      <c r="M138" s="1049">
        <v>1.03</v>
      </c>
      <c r="N138" s="1254"/>
    </row>
    <row r="139" spans="1:14" ht="12.75" customHeight="1">
      <c r="A139" s="619"/>
      <c r="B139" s="620"/>
      <c r="C139" s="621" t="s">
        <v>262</v>
      </c>
      <c r="D139" s="622">
        <v>2002</v>
      </c>
      <c r="E139" s="622">
        <v>2003</v>
      </c>
      <c r="F139" s="622">
        <v>2004</v>
      </c>
      <c r="G139" s="622">
        <v>2005</v>
      </c>
      <c r="H139" s="620">
        <v>2006</v>
      </c>
      <c r="I139" s="623"/>
      <c r="J139" s="1036">
        <v>2007</v>
      </c>
      <c r="K139" s="1036">
        <v>2008</v>
      </c>
      <c r="L139" s="762">
        <v>2009</v>
      </c>
      <c r="M139" s="762">
        <v>2009</v>
      </c>
      <c r="N139" s="1254"/>
    </row>
    <row r="140" spans="1:14" ht="12">
      <c r="A140" s="624"/>
      <c r="B140" s="625">
        <v>71</v>
      </c>
      <c r="C140" s="319" t="s">
        <v>263</v>
      </c>
      <c r="D140" s="626"/>
      <c r="E140" s="626"/>
      <c r="F140" s="626"/>
      <c r="G140" s="626"/>
      <c r="H140" s="627">
        <v>0</v>
      </c>
      <c r="I140" s="628"/>
      <c r="J140" s="1037">
        <v>0</v>
      </c>
      <c r="K140" s="1037">
        <v>0</v>
      </c>
      <c r="L140" s="763">
        <v>0</v>
      </c>
      <c r="M140" s="763">
        <v>0</v>
      </c>
      <c r="N140" s="1254"/>
    </row>
    <row r="141" spans="1:19" ht="12">
      <c r="A141" s="629"/>
      <c r="B141" s="630">
        <v>72</v>
      </c>
      <c r="C141" s="631" t="s">
        <v>264</v>
      </c>
      <c r="D141" s="632"/>
      <c r="E141" s="632"/>
      <c r="F141" s="632"/>
      <c r="G141" s="632"/>
      <c r="H141" s="633">
        <v>0</v>
      </c>
      <c r="I141" s="634"/>
      <c r="J141" s="1038">
        <v>0</v>
      </c>
      <c r="K141" s="1038">
        <v>0</v>
      </c>
      <c r="L141" s="764">
        <v>0</v>
      </c>
      <c r="M141" s="764">
        <v>0</v>
      </c>
      <c r="N141" s="1254"/>
      <c r="Q141" s="1259"/>
      <c r="R141" s="1290" t="s">
        <v>533</v>
      </c>
      <c r="S141" s="1290" t="s">
        <v>534</v>
      </c>
    </row>
    <row r="142" spans="1:19" ht="12">
      <c r="A142" s="629"/>
      <c r="B142" s="625">
        <v>73</v>
      </c>
      <c r="C142" s="631" t="s">
        <v>265</v>
      </c>
      <c r="D142" s="632"/>
      <c r="E142" s="632"/>
      <c r="F142" s="632"/>
      <c r="G142" s="632">
        <v>1700</v>
      </c>
      <c r="H142" s="633">
        <v>3500</v>
      </c>
      <c r="I142" s="634"/>
      <c r="J142" s="1039">
        <v>3675</v>
      </c>
      <c r="K142" s="1038">
        <v>3932.25</v>
      </c>
      <c r="L142" s="1236">
        <v>4372</v>
      </c>
      <c r="M142" s="1343">
        <v>4372</v>
      </c>
      <c r="N142" s="1254" t="s">
        <v>497</v>
      </c>
      <c r="Q142" s="1291">
        <v>4372</v>
      </c>
      <c r="R142" s="1292">
        <v>4372</v>
      </c>
      <c r="S142" s="1292">
        <v>4372</v>
      </c>
    </row>
    <row r="143" spans="1:19" ht="12">
      <c r="A143" s="629"/>
      <c r="B143" s="630">
        <v>74</v>
      </c>
      <c r="C143" s="631" t="s">
        <v>266</v>
      </c>
      <c r="D143" s="632"/>
      <c r="E143" s="632"/>
      <c r="F143" s="632"/>
      <c r="G143" s="632">
        <v>1500</v>
      </c>
      <c r="H143" s="633">
        <v>1710</v>
      </c>
      <c r="I143" s="634"/>
      <c r="J143" s="1039">
        <v>1796</v>
      </c>
      <c r="K143" s="1038">
        <v>1921.72</v>
      </c>
      <c r="L143" s="1237">
        <f>K143*$M$138</f>
        <v>1979.3716000000002</v>
      </c>
      <c r="M143" s="1343">
        <f>K143*M138</f>
        <v>1979.3716000000002</v>
      </c>
      <c r="N143" s="1254" t="s">
        <v>498</v>
      </c>
      <c r="Q143" s="1291">
        <f>K143*M138</f>
        <v>1979.3716000000002</v>
      </c>
      <c r="R143" s="1292">
        <v>1979</v>
      </c>
      <c r="S143" s="1292">
        <v>1979</v>
      </c>
    </row>
    <row r="144" spans="1:19" ht="12">
      <c r="A144" s="629"/>
      <c r="B144" s="625">
        <v>75</v>
      </c>
      <c r="C144" s="631" t="s">
        <v>267</v>
      </c>
      <c r="D144" s="632"/>
      <c r="E144" s="632"/>
      <c r="F144" s="632"/>
      <c r="G144" s="632"/>
      <c r="H144" s="633">
        <v>0</v>
      </c>
      <c r="I144" s="634"/>
      <c r="J144" s="1038">
        <v>0</v>
      </c>
      <c r="K144" s="1038">
        <v>0</v>
      </c>
      <c r="L144" s="764">
        <v>0</v>
      </c>
      <c r="M144" s="764">
        <v>0</v>
      </c>
      <c r="N144" s="1254"/>
      <c r="Q144" s="1291"/>
      <c r="R144" s="1292"/>
      <c r="S144" s="1292"/>
    </row>
    <row r="145" spans="1:19" ht="12" hidden="1">
      <c r="A145" s="629"/>
      <c r="B145" s="630"/>
      <c r="C145" s="631" t="s">
        <v>391</v>
      </c>
      <c r="D145" s="632"/>
      <c r="E145" s="632"/>
      <c r="F145" s="632"/>
      <c r="G145" s="632"/>
      <c r="H145" s="633"/>
      <c r="I145" s="634"/>
      <c r="J145" s="1038"/>
      <c r="K145" s="950">
        <v>0</v>
      </c>
      <c r="L145" s="1237">
        <v>0</v>
      </c>
      <c r="M145" s="1237">
        <f>L145</f>
        <v>0</v>
      </c>
      <c r="N145" s="1254"/>
      <c r="Q145" s="1291"/>
      <c r="R145" s="1292"/>
      <c r="S145" s="1292"/>
    </row>
    <row r="146" spans="1:19" ht="12">
      <c r="A146" s="629"/>
      <c r="B146" s="625">
        <v>76</v>
      </c>
      <c r="C146" s="631" t="s">
        <v>268</v>
      </c>
      <c r="D146" s="632"/>
      <c r="E146" s="632"/>
      <c r="F146" s="632">
        <v>50459</v>
      </c>
      <c r="G146" s="632">
        <v>53991</v>
      </c>
      <c r="H146" s="633">
        <v>88369</v>
      </c>
      <c r="I146" s="634"/>
      <c r="J146" s="1038">
        <v>94555</v>
      </c>
      <c r="K146" s="950">
        <v>102528.3</v>
      </c>
      <c r="L146" s="993">
        <f>K146*$M$138</f>
        <v>105604.149</v>
      </c>
      <c r="M146" s="1343">
        <f>K146*1.04</f>
        <v>106629.432</v>
      </c>
      <c r="N146" s="1254"/>
      <c r="Q146" s="1291">
        <f>K146*1.04</f>
        <v>106629.432</v>
      </c>
      <c r="R146" s="1292">
        <v>106629</v>
      </c>
      <c r="S146" s="1292">
        <v>106629</v>
      </c>
    </row>
    <row r="147" spans="1:19" ht="12">
      <c r="A147" s="629"/>
      <c r="B147" s="630">
        <v>77</v>
      </c>
      <c r="C147" s="631" t="s">
        <v>377</v>
      </c>
      <c r="D147" s="632"/>
      <c r="E147" s="632"/>
      <c r="F147" s="632">
        <v>17545</v>
      </c>
      <c r="G147" s="632">
        <v>19264</v>
      </c>
      <c r="H147" s="633">
        <v>21961</v>
      </c>
      <c r="I147" s="634"/>
      <c r="J147" s="1039">
        <v>26609</v>
      </c>
      <c r="K147" s="1038">
        <v>28471.63</v>
      </c>
      <c r="L147" s="1236">
        <f>(K147+200)*$M$138</f>
        <v>29531.7789</v>
      </c>
      <c r="M147" s="764">
        <f>(K147+200)*M138</f>
        <v>29531.7789</v>
      </c>
      <c r="N147" s="1254" t="s">
        <v>499</v>
      </c>
      <c r="Q147" s="1291">
        <f>(K147+200)*M138</f>
        <v>29531.7789</v>
      </c>
      <c r="R147" s="1292">
        <v>29532</v>
      </c>
      <c r="S147" s="1292">
        <v>29532</v>
      </c>
    </row>
    <row r="148" spans="1:19" ht="12">
      <c r="A148" s="629"/>
      <c r="B148" s="630">
        <v>78</v>
      </c>
      <c r="C148" s="631" t="s">
        <v>269</v>
      </c>
      <c r="D148" s="632"/>
      <c r="E148" s="632"/>
      <c r="F148" s="632">
        <v>6050</v>
      </c>
      <c r="G148" s="632">
        <v>6474</v>
      </c>
      <c r="H148" s="633">
        <v>7380</v>
      </c>
      <c r="I148" s="634"/>
      <c r="J148" s="1039">
        <v>7749</v>
      </c>
      <c r="K148" s="1038">
        <v>8291.43</v>
      </c>
      <c r="L148" s="892">
        <f>K148*$M$138</f>
        <v>8540.172900000001</v>
      </c>
      <c r="M148" s="764">
        <f>K148*M138</f>
        <v>8540.172900000001</v>
      </c>
      <c r="N148" s="1254"/>
      <c r="Q148" s="1291">
        <f>K148*M138</f>
        <v>8540.172900000001</v>
      </c>
      <c r="R148" s="1292">
        <v>8540</v>
      </c>
      <c r="S148" s="1292">
        <v>8540</v>
      </c>
    </row>
    <row r="149" spans="1:19" ht="12">
      <c r="A149" s="624"/>
      <c r="B149" s="1034">
        <v>79</v>
      </c>
      <c r="C149" s="319" t="s">
        <v>270</v>
      </c>
      <c r="D149" s="626"/>
      <c r="E149" s="626"/>
      <c r="F149" s="635">
        <f>56191+500</f>
        <v>56691</v>
      </c>
      <c r="G149" s="635">
        <f>60124+500</f>
        <v>60624</v>
      </c>
      <c r="H149" s="627">
        <v>74128</v>
      </c>
      <c r="I149" s="628"/>
      <c r="J149" s="1038">
        <v>79317</v>
      </c>
      <c r="K149" s="1038">
        <v>82209.02</v>
      </c>
      <c r="L149" s="993">
        <f>(K149)*$M$138</f>
        <v>84675.29060000001</v>
      </c>
      <c r="M149" s="1343">
        <f>K149*1.04</f>
        <v>85497.38080000001</v>
      </c>
      <c r="N149" s="1254"/>
      <c r="Q149" s="1291">
        <f>K149*1.04</f>
        <v>85497.38080000001</v>
      </c>
      <c r="R149" s="1292">
        <v>85497</v>
      </c>
      <c r="S149" s="1292">
        <v>85498</v>
      </c>
    </row>
    <row r="150" spans="1:19" ht="12">
      <c r="A150" s="636"/>
      <c r="B150" s="637"/>
      <c r="C150" s="770" t="s">
        <v>278</v>
      </c>
      <c r="D150" s="638">
        <f aca="true" t="shared" si="6" ref="D150:I150">SUM(D140:D149)</f>
        <v>0</v>
      </c>
      <c r="E150" s="638">
        <f t="shared" si="6"/>
        <v>0</v>
      </c>
      <c r="F150" s="638">
        <f t="shared" si="6"/>
        <v>130745</v>
      </c>
      <c r="G150" s="638">
        <f t="shared" si="6"/>
        <v>143553</v>
      </c>
      <c r="H150" s="639">
        <f t="shared" si="6"/>
        <v>197048</v>
      </c>
      <c r="I150" s="719">
        <f t="shared" si="6"/>
        <v>0</v>
      </c>
      <c r="J150" s="1040">
        <v>213701</v>
      </c>
      <c r="K150" s="1040">
        <v>227354.35</v>
      </c>
      <c r="L150" s="765">
        <f>SUM(L140:L149)</f>
        <v>234702.763</v>
      </c>
      <c r="M150" s="765">
        <f>SUM(M140:M149)</f>
        <v>236550.1362</v>
      </c>
      <c r="N150" s="1254"/>
      <c r="Q150" s="1291">
        <f>SUM(Q142:Q149)</f>
        <v>236550.1362</v>
      </c>
      <c r="R150" s="1292">
        <f>SUM(R142:R149)</f>
        <v>236549</v>
      </c>
      <c r="S150" s="1292">
        <f>SUM(S142:S149)</f>
        <v>236550</v>
      </c>
    </row>
    <row r="151" spans="1:14" ht="12.75" thickBot="1">
      <c r="A151" s="640"/>
      <c r="B151" s="1035">
        <v>80</v>
      </c>
      <c r="C151" s="641" t="s">
        <v>271</v>
      </c>
      <c r="D151" s="642">
        <f aca="true" t="shared" si="7" ref="D151:I151">D150+D136</f>
        <v>181363.79</v>
      </c>
      <c r="E151" s="642">
        <f t="shared" si="7"/>
        <v>205068</v>
      </c>
      <c r="F151" s="642">
        <f t="shared" si="7"/>
        <v>362764</v>
      </c>
      <c r="G151" s="642">
        <f t="shared" si="7"/>
        <v>432883</v>
      </c>
      <c r="H151" s="643">
        <f t="shared" si="7"/>
        <v>495959</v>
      </c>
      <c r="I151" s="720">
        <f t="shared" si="7"/>
        <v>56069</v>
      </c>
      <c r="J151" s="1041">
        <v>541248</v>
      </c>
      <c r="K151" s="1041">
        <v>561611.35</v>
      </c>
      <c r="L151" s="766">
        <f>L150+L136</f>
        <v>660266.6723333333</v>
      </c>
      <c r="M151" s="766">
        <f>M150+M136</f>
        <v>585729.4108666666</v>
      </c>
      <c r="N151" s="1254"/>
    </row>
    <row r="152" spans="1:14" ht="12">
      <c r="A152" s="613"/>
      <c r="B152" s="906"/>
      <c r="C152" s="615"/>
      <c r="D152" s="615"/>
      <c r="E152" s="615"/>
      <c r="F152" s="615"/>
      <c r="G152" s="615"/>
      <c r="H152" s="615"/>
      <c r="I152" s="615"/>
      <c r="J152" s="994">
        <v>45289</v>
      </c>
      <c r="K152" s="1042"/>
      <c r="L152" s="1042"/>
      <c r="M152" s="1042"/>
      <c r="N152" s="1256"/>
    </row>
    <row r="153" spans="1:14" ht="12">
      <c r="A153" s="613"/>
      <c r="B153" s="906"/>
      <c r="C153" s="615"/>
      <c r="D153" s="615"/>
      <c r="E153" s="615"/>
      <c r="F153" s="615"/>
      <c r="G153" s="615"/>
      <c r="H153" s="615"/>
      <c r="I153" s="615"/>
      <c r="J153" s="994"/>
      <c r="K153" s="1042"/>
      <c r="L153" s="1042"/>
      <c r="M153" s="1238"/>
      <c r="N153" s="1256"/>
    </row>
    <row r="154" spans="1:14" ht="12">
      <c r="A154" s="1264" t="s">
        <v>500</v>
      </c>
      <c r="K154" s="315"/>
      <c r="L154" s="315"/>
      <c r="M154" s="1239"/>
      <c r="N154" s="1254"/>
    </row>
    <row r="155" spans="1:14" ht="12">
      <c r="A155" s="306"/>
      <c r="C155" s="325" t="s">
        <v>501</v>
      </c>
      <c r="K155" s="315"/>
      <c r="L155" s="315"/>
      <c r="M155" s="1239"/>
      <c r="N155" s="1254"/>
    </row>
    <row r="156" spans="1:14" ht="12">
      <c r="A156" s="306"/>
      <c r="B156" s="1240"/>
      <c r="C156" s="315" t="s">
        <v>502</v>
      </c>
      <c r="D156" s="315"/>
      <c r="E156" s="315"/>
      <c r="F156" s="315"/>
      <c r="I156" s="315"/>
      <c r="K156" s="315"/>
      <c r="L156" s="1241">
        <v>57000</v>
      </c>
      <c r="M156" s="1241">
        <v>57000</v>
      </c>
      <c r="N156" s="1254"/>
    </row>
    <row r="157" spans="1:14" ht="12">
      <c r="A157" s="306"/>
      <c r="B157" s="1240"/>
      <c r="C157" s="315" t="s">
        <v>503</v>
      </c>
      <c r="D157" s="315"/>
      <c r="E157" s="315"/>
      <c r="F157" s="315"/>
      <c r="I157" s="315"/>
      <c r="K157" s="315"/>
      <c r="L157" s="1241">
        <v>32800</v>
      </c>
      <c r="M157" s="1241">
        <v>20200</v>
      </c>
      <c r="N157" s="1254"/>
    </row>
    <row r="158" spans="1:14" ht="12">
      <c r="A158" s="306"/>
      <c r="B158" s="1240"/>
      <c r="C158" s="315" t="s">
        <v>504</v>
      </c>
      <c r="D158" s="315"/>
      <c r="E158" s="315"/>
      <c r="F158" s="315"/>
      <c r="I158" s="315"/>
      <c r="K158" s="315"/>
      <c r="L158" s="1241">
        <v>26524</v>
      </c>
      <c r="M158" s="1241">
        <v>10291</v>
      </c>
      <c r="N158" s="1254"/>
    </row>
    <row r="159" spans="1:14" ht="12">
      <c r="A159" s="306"/>
      <c r="B159" s="1240"/>
      <c r="C159" s="315" t="s">
        <v>505</v>
      </c>
      <c r="D159" s="315"/>
      <c r="E159" s="315"/>
      <c r="F159" s="315"/>
      <c r="I159" s="315"/>
      <c r="K159" s="315"/>
      <c r="L159" s="1241">
        <v>1200</v>
      </c>
      <c r="M159" s="1241">
        <v>1200</v>
      </c>
      <c r="N159" s="1254"/>
    </row>
    <row r="160" spans="1:14" ht="12">
      <c r="A160" s="1215"/>
      <c r="B160" s="1243"/>
      <c r="C160" s="1244" t="s">
        <v>337</v>
      </c>
      <c r="D160" s="1244"/>
      <c r="E160" s="1244"/>
      <c r="F160" s="1244"/>
      <c r="G160" s="1244"/>
      <c r="H160" s="1244"/>
      <c r="I160" s="1244"/>
      <c r="J160" s="1244"/>
      <c r="K160" s="1244"/>
      <c r="L160" s="1245">
        <f>L161-SUM(L156:L159)</f>
        <v>-18524</v>
      </c>
      <c r="M160" s="1245">
        <f>M161-SUM(M156:M159)</f>
        <v>10309</v>
      </c>
      <c r="N160" s="1256"/>
    </row>
    <row r="161" spans="1:14" ht="12">
      <c r="A161" s="306"/>
      <c r="B161" s="1240"/>
      <c r="C161" s="315" t="s">
        <v>21</v>
      </c>
      <c r="D161" s="315"/>
      <c r="E161" s="315"/>
      <c r="F161" s="315"/>
      <c r="I161" s="315"/>
      <c r="K161" s="315"/>
      <c r="L161" s="1241">
        <f>L9</f>
        <v>99000</v>
      </c>
      <c r="M161" s="1241">
        <f>M9</f>
        <v>99000</v>
      </c>
      <c r="N161" s="1255"/>
    </row>
    <row r="162" spans="1:14" ht="12">
      <c r="A162" s="306"/>
      <c r="B162" s="1240"/>
      <c r="C162" s="315"/>
      <c r="D162" s="315"/>
      <c r="E162" s="315"/>
      <c r="F162" s="315"/>
      <c r="I162" s="315"/>
      <c r="K162" s="315"/>
      <c r="L162" s="315"/>
      <c r="M162" s="1247"/>
      <c r="N162" s="1254"/>
    </row>
    <row r="163" spans="1:14" ht="12" hidden="1">
      <c r="A163" s="1239" t="s">
        <v>506</v>
      </c>
      <c r="B163" s="1240"/>
      <c r="C163" s="306"/>
      <c r="G163" s="306"/>
      <c r="H163" s="306"/>
      <c r="J163" s="306"/>
      <c r="L163" s="306"/>
      <c r="M163" s="1247"/>
      <c r="N163" s="1254"/>
    </row>
    <row r="164" spans="1:14" ht="12" hidden="1">
      <c r="A164" s="306"/>
      <c r="B164" s="1240"/>
      <c r="C164" s="306" t="s">
        <v>507</v>
      </c>
      <c r="G164" s="306"/>
      <c r="H164" s="306"/>
      <c r="J164" s="306"/>
      <c r="L164" s="1246">
        <v>11470</v>
      </c>
      <c r="M164" s="1242">
        <v>11470</v>
      </c>
      <c r="N164" s="1254"/>
    </row>
    <row r="165" spans="1:14" ht="12" hidden="1">
      <c r="A165" s="306"/>
      <c r="B165" s="1240"/>
      <c r="C165" s="306" t="s">
        <v>508</v>
      </c>
      <c r="G165" s="306"/>
      <c r="H165" s="306"/>
      <c r="J165" s="306"/>
      <c r="L165" s="1246">
        <v>22500</v>
      </c>
      <c r="M165" s="1242">
        <v>20000</v>
      </c>
      <c r="N165" s="1254"/>
    </row>
    <row r="166" spans="1:14" ht="12" hidden="1">
      <c r="A166" s="306"/>
      <c r="B166" s="1240"/>
      <c r="C166" s="306" t="s">
        <v>509</v>
      </c>
      <c r="G166" s="306"/>
      <c r="H166" s="306"/>
      <c r="J166" s="306"/>
      <c r="L166" s="1246">
        <v>6200</v>
      </c>
      <c r="M166" s="1242">
        <v>6200</v>
      </c>
      <c r="N166" s="1254"/>
    </row>
    <row r="167" spans="1:14" ht="12" hidden="1">
      <c r="A167" s="306"/>
      <c r="B167" s="1240"/>
      <c r="C167" s="306" t="s">
        <v>510</v>
      </c>
      <c r="G167" s="306"/>
      <c r="H167" s="306"/>
      <c r="J167" s="306"/>
      <c r="L167" s="1246">
        <v>18000</v>
      </c>
      <c r="M167" s="1242">
        <v>18000</v>
      </c>
      <c r="N167" s="1254" t="s">
        <v>511</v>
      </c>
    </row>
    <row r="168" spans="1:14" ht="12" hidden="1">
      <c r="A168" s="306"/>
      <c r="B168" s="1240"/>
      <c r="C168" s="1226" t="s">
        <v>512</v>
      </c>
      <c r="D168" s="1226"/>
      <c r="E168" s="1226"/>
      <c r="F168" s="1226"/>
      <c r="G168" s="1226"/>
      <c r="H168" s="1226"/>
      <c r="I168" s="1226"/>
      <c r="J168" s="1226"/>
      <c r="K168" s="1226"/>
      <c r="L168" s="1262">
        <v>400</v>
      </c>
      <c r="M168" s="1263">
        <v>400</v>
      </c>
      <c r="N168" s="1254" t="s">
        <v>511</v>
      </c>
    </row>
    <row r="169" spans="1:14" ht="12" hidden="1">
      <c r="A169" s="317"/>
      <c r="B169" s="1248"/>
      <c r="C169" s="1249" t="s">
        <v>513</v>
      </c>
      <c r="D169" s="1249"/>
      <c r="E169" s="1249"/>
      <c r="F169" s="1249"/>
      <c r="G169" s="1249"/>
      <c r="H169" s="1249"/>
      <c r="I169" s="1249"/>
      <c r="J169" s="1249"/>
      <c r="K169" s="1249"/>
      <c r="L169" s="1250">
        <f>L170-SUM(L164:L168)</f>
        <v>9430</v>
      </c>
      <c r="M169" s="1251">
        <f>M170-SUM(M164:M168)</f>
        <v>11930</v>
      </c>
      <c r="N169" s="1256"/>
    </row>
    <row r="170" spans="1:14" ht="12" hidden="1">
      <c r="A170" s="306"/>
      <c r="B170" s="1240"/>
      <c r="C170" s="306" t="s">
        <v>21</v>
      </c>
      <c r="G170" s="306"/>
      <c r="H170" s="306"/>
      <c r="J170" s="306"/>
      <c r="L170" s="1246">
        <v>68000</v>
      </c>
      <c r="M170" s="1242">
        <v>68000</v>
      </c>
      <c r="N170" s="1254"/>
    </row>
    <row r="171" spans="1:14" ht="12">
      <c r="A171" s="306"/>
      <c r="B171" s="1240"/>
      <c r="C171" s="306"/>
      <c r="G171" s="306"/>
      <c r="H171" s="306"/>
      <c r="J171" s="306"/>
      <c r="L171" s="306"/>
      <c r="M171" s="306"/>
      <c r="N171" s="1254"/>
    </row>
    <row r="172" spans="11:14" ht="12">
      <c r="K172" s="315"/>
      <c r="L172" s="315"/>
      <c r="N172" s="1254"/>
    </row>
    <row r="173" spans="11:14" ht="12">
      <c r="K173" s="315"/>
      <c r="L173" s="315"/>
      <c r="N173" s="1254"/>
    </row>
    <row r="174" spans="11:14" ht="12">
      <c r="K174" s="315"/>
      <c r="L174" s="315"/>
      <c r="N174" s="1254"/>
    </row>
    <row r="175" spans="11:13" ht="12">
      <c r="K175" s="315"/>
      <c r="M175" s="306"/>
    </row>
  </sheetData>
  <printOptions horizontalCentered="1"/>
  <pageMargins left="0.4" right="0.2755905511811024" top="0.29" bottom="0.2755905511811024" header="0.1968503937007874" footer="0.1968503937007874"/>
  <pageSetup horizontalDpi="600" verticalDpi="600" orientation="portrait" paperSize="9" scale="56" r:id="rId1"/>
  <headerFooter alignWithMargins="0">
    <oddHeader>&amp;R&amp;8Příloha 1</oddHeader>
  </headerFooter>
  <rowBreaks count="1" manualBreakCount="1">
    <brk id="1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59"/>
  <sheetViews>
    <sheetView workbookViewId="0" topLeftCell="A1">
      <selection activeCell="D10" sqref="D10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1" bestFit="1" customWidth="1"/>
    <col min="6" max="6" width="60.875" style="60" customWidth="1"/>
    <col min="7" max="7" width="10.00390625" style="2" customWidth="1"/>
    <col min="8" max="8" width="5.125" style="0" hidden="1" customWidth="1"/>
    <col min="9" max="9" width="7.625" style="107" customWidth="1"/>
    <col min="10" max="13" width="8.00390625" style="107" customWidth="1"/>
    <col min="14" max="14" width="8.125" style="107" customWidth="1"/>
    <col min="15" max="15" width="10.125" style="115" customWidth="1"/>
  </cols>
  <sheetData>
    <row r="1" spans="1:15" ht="15.75" customHeight="1">
      <c r="A1" s="1320" t="s">
        <v>442</v>
      </c>
      <c r="B1" s="1321"/>
      <c r="C1" s="1321"/>
      <c r="D1" s="1322"/>
      <c r="E1" s="43"/>
      <c r="F1" s="44"/>
      <c r="G1" s="772" t="s">
        <v>74</v>
      </c>
      <c r="H1" s="45" t="s">
        <v>75</v>
      </c>
      <c r="I1" s="773" t="s">
        <v>188</v>
      </c>
      <c r="J1" s="1323" t="s">
        <v>281</v>
      </c>
      <c r="K1" s="1324"/>
      <c r="L1" s="1324"/>
      <c r="M1" s="1324"/>
      <c r="N1" s="1325"/>
      <c r="O1" s="1159" t="s">
        <v>76</v>
      </c>
    </row>
    <row r="2" spans="1:15" s="2" customFormat="1" ht="13.5" thickBot="1">
      <c r="A2" s="46" t="s">
        <v>399</v>
      </c>
      <c r="B2" s="33"/>
      <c r="C2" s="33"/>
      <c r="D2" s="47"/>
      <c r="E2" s="48" t="s">
        <v>65</v>
      </c>
      <c r="F2" s="49" t="s">
        <v>67</v>
      </c>
      <c r="G2" s="774">
        <v>2009</v>
      </c>
      <c r="H2" s="50" t="s">
        <v>54</v>
      </c>
      <c r="I2" s="775" t="s">
        <v>282</v>
      </c>
      <c r="J2" s="776" t="s">
        <v>283</v>
      </c>
      <c r="K2" s="777" t="s">
        <v>284</v>
      </c>
      <c r="L2" s="777" t="s">
        <v>285</v>
      </c>
      <c r="M2" s="777" t="s">
        <v>441</v>
      </c>
      <c r="N2" s="777" t="s">
        <v>286</v>
      </c>
      <c r="O2" s="1160">
        <v>2008</v>
      </c>
    </row>
    <row r="3" spans="1:15" ht="13.5" thickBot="1">
      <c r="A3" s="104" t="s">
        <v>287</v>
      </c>
      <c r="B3" s="105"/>
      <c r="C3" s="105"/>
      <c r="D3" s="105"/>
      <c r="E3" s="102">
        <v>1</v>
      </c>
      <c r="F3" s="106"/>
      <c r="G3" s="78">
        <f aca="true" t="shared" si="0" ref="G3:O3">G4+SUM(G16:G27)</f>
        <v>0</v>
      </c>
      <c r="H3" s="1161">
        <f t="shared" si="0"/>
        <v>0</v>
      </c>
      <c r="I3" s="1162">
        <f t="shared" si="0"/>
        <v>0</v>
      </c>
      <c r="J3" s="1163">
        <f t="shared" si="0"/>
        <v>0</v>
      </c>
      <c r="K3" s="1163">
        <f t="shared" si="0"/>
        <v>0</v>
      </c>
      <c r="L3" s="1163">
        <f t="shared" si="0"/>
        <v>0</v>
      </c>
      <c r="M3" s="1162">
        <f t="shared" si="0"/>
        <v>0</v>
      </c>
      <c r="N3" s="1162">
        <f t="shared" si="0"/>
        <v>0</v>
      </c>
      <c r="O3" s="1164">
        <f t="shared" si="0"/>
        <v>0</v>
      </c>
    </row>
    <row r="4" spans="1:15" s="17" customFormat="1" ht="12.75">
      <c r="A4" s="18" t="s">
        <v>77</v>
      </c>
      <c r="B4" s="51" t="s">
        <v>288</v>
      </c>
      <c r="C4" s="51"/>
      <c r="D4" s="51"/>
      <c r="E4" s="52">
        <v>2</v>
      </c>
      <c r="F4" s="53" t="s">
        <v>443</v>
      </c>
      <c r="G4" s="1165">
        <f aca="true" t="shared" si="1" ref="G4:O4">SUM(G5:G15)</f>
        <v>0</v>
      </c>
      <c r="H4" s="1166">
        <f t="shared" si="1"/>
        <v>0</v>
      </c>
      <c r="I4" s="1167">
        <f t="shared" si="1"/>
        <v>0</v>
      </c>
      <c r="J4" s="1168">
        <f t="shared" si="1"/>
        <v>0</v>
      </c>
      <c r="K4" s="1168">
        <f t="shared" si="1"/>
        <v>0</v>
      </c>
      <c r="L4" s="1168">
        <f t="shared" si="1"/>
        <v>0</v>
      </c>
      <c r="M4" s="1167">
        <f t="shared" si="1"/>
        <v>0</v>
      </c>
      <c r="N4" s="1167">
        <f t="shared" si="1"/>
        <v>0</v>
      </c>
      <c r="O4" s="1169">
        <f t="shared" si="1"/>
        <v>0</v>
      </c>
    </row>
    <row r="5" spans="1:15" s="1180" customFormat="1" ht="12.75">
      <c r="A5" s="1170"/>
      <c r="B5" s="1171"/>
      <c r="C5" s="1171" t="s">
        <v>78</v>
      </c>
      <c r="D5" s="1172" t="s">
        <v>79</v>
      </c>
      <c r="E5" s="1173">
        <v>3</v>
      </c>
      <c r="F5" s="1174"/>
      <c r="G5" s="1175"/>
      <c r="H5" s="1176"/>
      <c r="I5" s="1177"/>
      <c r="J5" s="1177"/>
      <c r="K5" s="1178"/>
      <c r="L5" s="1178"/>
      <c r="M5" s="1176"/>
      <c r="N5" s="1176"/>
      <c r="O5" s="1179"/>
    </row>
    <row r="6" spans="1:15" s="1180" customFormat="1" ht="12.75">
      <c r="A6" s="1170"/>
      <c r="B6" s="1171"/>
      <c r="C6" s="1171"/>
      <c r="D6" s="1172" t="s">
        <v>80</v>
      </c>
      <c r="E6" s="1173">
        <v>4</v>
      </c>
      <c r="F6" s="1174"/>
      <c r="G6" s="1175"/>
      <c r="H6" s="1176"/>
      <c r="I6" s="1177"/>
      <c r="J6" s="1177"/>
      <c r="K6" s="1178"/>
      <c r="L6" s="1178"/>
      <c r="M6" s="1176"/>
      <c r="N6" s="1176"/>
      <c r="O6" s="1179"/>
    </row>
    <row r="7" spans="1:15" s="1180" customFormat="1" ht="12.75">
      <c r="A7" s="1170"/>
      <c r="B7" s="1171"/>
      <c r="C7" s="1171"/>
      <c r="D7" s="1172" t="s">
        <v>345</v>
      </c>
      <c r="E7" s="1173">
        <v>5</v>
      </c>
      <c r="F7" s="1174"/>
      <c r="G7" s="1175"/>
      <c r="H7" s="1176"/>
      <c r="I7" s="1177"/>
      <c r="J7" s="1177"/>
      <c r="K7" s="1178"/>
      <c r="L7" s="1178"/>
      <c r="M7" s="1176"/>
      <c r="N7" s="1176"/>
      <c r="O7" s="1179"/>
    </row>
    <row r="8" spans="1:15" s="1180" customFormat="1" ht="12.75">
      <c r="A8" s="1170"/>
      <c r="B8" s="1171"/>
      <c r="C8" s="1171"/>
      <c r="D8" s="1172" t="s">
        <v>81</v>
      </c>
      <c r="E8" s="1173">
        <v>6</v>
      </c>
      <c r="F8" s="1174"/>
      <c r="G8" s="1175"/>
      <c r="H8" s="1176"/>
      <c r="I8" s="1177"/>
      <c r="J8" s="1177"/>
      <c r="K8" s="1178"/>
      <c r="L8" s="1178"/>
      <c r="M8" s="1176"/>
      <c r="N8" s="1176"/>
      <c r="O8" s="1179"/>
    </row>
    <row r="9" spans="1:15" s="1180" customFormat="1" ht="12.75">
      <c r="A9" s="1170"/>
      <c r="B9" s="1171"/>
      <c r="C9" s="1171"/>
      <c r="D9" s="1172" t="s">
        <v>82</v>
      </c>
      <c r="E9" s="1173">
        <v>7</v>
      </c>
      <c r="F9" s="1174"/>
      <c r="G9" s="1175"/>
      <c r="H9" s="1176"/>
      <c r="I9" s="1177"/>
      <c r="J9" s="1177"/>
      <c r="K9" s="1178"/>
      <c r="L9" s="1178"/>
      <c r="M9" s="1176"/>
      <c r="N9" s="1176"/>
      <c r="O9" s="1179"/>
    </row>
    <row r="10" spans="1:15" s="1180" customFormat="1" ht="12.75">
      <c r="A10" s="1170"/>
      <c r="B10" s="1171"/>
      <c r="C10" s="1171"/>
      <c r="D10" s="1172" t="s">
        <v>83</v>
      </c>
      <c r="E10" s="1173">
        <v>8</v>
      </c>
      <c r="F10" s="1174"/>
      <c r="G10" s="1175"/>
      <c r="H10" s="1176"/>
      <c r="I10" s="1177"/>
      <c r="J10" s="1177"/>
      <c r="K10" s="1178"/>
      <c r="L10" s="1178"/>
      <c r="M10" s="1176"/>
      <c r="N10" s="1176"/>
      <c r="O10" s="1179"/>
    </row>
    <row r="11" spans="1:15" s="1180" customFormat="1" ht="12.75">
      <c r="A11" s="1170"/>
      <c r="B11" s="1171"/>
      <c r="C11" s="1171"/>
      <c r="D11" s="1172" t="s">
        <v>84</v>
      </c>
      <c r="E11" s="1173">
        <v>9</v>
      </c>
      <c r="F11" s="1174"/>
      <c r="G11" s="1175"/>
      <c r="H11" s="1176"/>
      <c r="I11" s="1177"/>
      <c r="J11" s="1177"/>
      <c r="K11" s="1178"/>
      <c r="L11" s="1178"/>
      <c r="M11" s="1176"/>
      <c r="N11" s="1176"/>
      <c r="O11" s="1179"/>
    </row>
    <row r="12" spans="1:15" s="1180" customFormat="1" ht="12.75">
      <c r="A12" s="1170"/>
      <c r="B12" s="1171"/>
      <c r="C12" s="1171"/>
      <c r="D12" s="1172" t="s">
        <v>85</v>
      </c>
      <c r="E12" s="1173">
        <v>10</v>
      </c>
      <c r="F12" s="1174"/>
      <c r="G12" s="1175"/>
      <c r="H12" s="1176"/>
      <c r="I12" s="1177"/>
      <c r="J12" s="1177"/>
      <c r="K12" s="1178"/>
      <c r="L12" s="1178"/>
      <c r="M12" s="1176"/>
      <c r="N12" s="1176"/>
      <c r="O12" s="1179"/>
    </row>
    <row r="13" spans="1:15" s="1180" customFormat="1" ht="12.75">
      <c r="A13" s="1170"/>
      <c r="B13" s="1171"/>
      <c r="C13" s="1171"/>
      <c r="D13" s="1172" t="s">
        <v>51</v>
      </c>
      <c r="E13" s="1173">
        <v>11</v>
      </c>
      <c r="F13" s="1174"/>
      <c r="G13" s="1175"/>
      <c r="H13" s="1176"/>
      <c r="I13" s="1177"/>
      <c r="J13" s="1177"/>
      <c r="K13" s="1178"/>
      <c r="L13" s="1178"/>
      <c r="M13" s="1176"/>
      <c r="N13" s="1176"/>
      <c r="O13" s="1179"/>
    </row>
    <row r="14" spans="1:15" s="1180" customFormat="1" ht="12.75">
      <c r="A14" s="1170"/>
      <c r="B14" s="1171"/>
      <c r="C14" s="1171"/>
      <c r="D14" s="1172" t="s">
        <v>86</v>
      </c>
      <c r="E14" s="1173">
        <v>12</v>
      </c>
      <c r="F14" s="1174"/>
      <c r="G14" s="1175"/>
      <c r="H14" s="1176"/>
      <c r="I14" s="1177"/>
      <c r="J14" s="1177"/>
      <c r="K14" s="1178"/>
      <c r="L14" s="1178"/>
      <c r="M14" s="1176"/>
      <c r="N14" s="1176"/>
      <c r="O14" s="1179"/>
    </row>
    <row r="15" spans="1:15" s="1180" customFormat="1" ht="12.75">
      <c r="A15" s="1170"/>
      <c r="B15" s="1171"/>
      <c r="C15" s="1172"/>
      <c r="D15" s="1172" t="s">
        <v>26</v>
      </c>
      <c r="E15" s="1173">
        <v>13</v>
      </c>
      <c r="F15" s="1174"/>
      <c r="G15" s="1175"/>
      <c r="H15" s="1176"/>
      <c r="I15" s="1177"/>
      <c r="J15" s="1177"/>
      <c r="K15" s="1178"/>
      <c r="L15" s="1178"/>
      <c r="M15" s="1176"/>
      <c r="N15" s="1176"/>
      <c r="O15" s="1179"/>
    </row>
    <row r="16" spans="1:15" s="17" customFormat="1" ht="12.75">
      <c r="A16" s="18"/>
      <c r="B16" s="56" t="s">
        <v>87</v>
      </c>
      <c r="C16" s="29"/>
      <c r="D16" s="29"/>
      <c r="E16" s="54">
        <v>14</v>
      </c>
      <c r="F16" s="55" t="s">
        <v>88</v>
      </c>
      <c r="G16" s="1181"/>
      <c r="H16" s="1182"/>
      <c r="I16" s="1183"/>
      <c r="J16" s="1183"/>
      <c r="K16" s="1184"/>
      <c r="L16" s="1184"/>
      <c r="M16" s="1185"/>
      <c r="N16" s="1185"/>
      <c r="O16" s="1186"/>
    </row>
    <row r="17" spans="1:15" s="17" customFormat="1" ht="12.75">
      <c r="A17" s="18"/>
      <c r="B17" s="56" t="s">
        <v>89</v>
      </c>
      <c r="C17" s="29"/>
      <c r="D17" s="29"/>
      <c r="E17" s="54">
        <v>15</v>
      </c>
      <c r="F17" s="55" t="s">
        <v>90</v>
      </c>
      <c r="G17" s="1181"/>
      <c r="H17" s="1182"/>
      <c r="I17" s="1183"/>
      <c r="J17" s="1183"/>
      <c r="K17" s="1184"/>
      <c r="L17" s="1184"/>
      <c r="M17" s="1185"/>
      <c r="N17" s="1185"/>
      <c r="O17" s="1186"/>
    </row>
    <row r="18" spans="1:15" s="17" customFormat="1" ht="12.75">
      <c r="A18" s="18"/>
      <c r="B18" s="778" t="s">
        <v>91</v>
      </c>
      <c r="C18" s="779"/>
      <c r="D18" s="779"/>
      <c r="E18" s="186">
        <v>16</v>
      </c>
      <c r="F18" s="780" t="s">
        <v>289</v>
      </c>
      <c r="G18" s="1181"/>
      <c r="H18" s="1182"/>
      <c r="I18" s="1183"/>
      <c r="J18" s="1183"/>
      <c r="K18" s="1184"/>
      <c r="L18" s="1184"/>
      <c r="M18" s="1185"/>
      <c r="N18" s="1185"/>
      <c r="O18" s="1186"/>
    </row>
    <row r="19" spans="1:15" s="17" customFormat="1" ht="12.75">
      <c r="A19" s="18"/>
      <c r="B19" s="778" t="s">
        <v>92</v>
      </c>
      <c r="C19" s="779"/>
      <c r="D19" s="779"/>
      <c r="E19" s="186">
        <v>17</v>
      </c>
      <c r="F19" s="781" t="s">
        <v>93</v>
      </c>
      <c r="G19" s="1181"/>
      <c r="H19" s="1182"/>
      <c r="I19" s="1183"/>
      <c r="J19" s="1183"/>
      <c r="K19" s="1184"/>
      <c r="L19" s="1184"/>
      <c r="M19" s="1185"/>
      <c r="N19" s="1185"/>
      <c r="O19" s="1186"/>
    </row>
    <row r="20" spans="1:15" s="17" customFormat="1" ht="12.75">
      <c r="A20" s="18"/>
      <c r="B20" s="778" t="s">
        <v>94</v>
      </c>
      <c r="C20" s="778"/>
      <c r="D20" s="778"/>
      <c r="E20" s="186">
        <v>18</v>
      </c>
      <c r="F20" s="781" t="s">
        <v>290</v>
      </c>
      <c r="G20" s="1181"/>
      <c r="H20" s="1182"/>
      <c r="I20" s="1183"/>
      <c r="J20" s="1183"/>
      <c r="K20" s="1184"/>
      <c r="L20" s="1184"/>
      <c r="M20" s="1185"/>
      <c r="N20" s="1185"/>
      <c r="O20" s="1186"/>
    </row>
    <row r="21" spans="1:15" s="17" customFormat="1" ht="12.75">
      <c r="A21" s="18"/>
      <c r="B21" s="778" t="s">
        <v>291</v>
      </c>
      <c r="C21" s="778"/>
      <c r="D21" s="778"/>
      <c r="E21" s="186">
        <v>19</v>
      </c>
      <c r="F21" s="781" t="s">
        <v>292</v>
      </c>
      <c r="G21" s="1181"/>
      <c r="H21" s="1182"/>
      <c r="I21" s="1183"/>
      <c r="J21" s="1183"/>
      <c r="K21" s="1184"/>
      <c r="L21" s="1184"/>
      <c r="M21" s="1185"/>
      <c r="N21" s="1185"/>
      <c r="O21" s="1186"/>
    </row>
    <row r="22" spans="1:15" s="17" customFormat="1" ht="12.75">
      <c r="A22" s="18"/>
      <c r="B22" s="778" t="s">
        <v>339</v>
      </c>
      <c r="C22" s="778"/>
      <c r="D22" s="778"/>
      <c r="E22" s="186">
        <v>20</v>
      </c>
      <c r="F22" s="781" t="s">
        <v>95</v>
      </c>
      <c r="G22" s="1181"/>
      <c r="H22" s="1182"/>
      <c r="I22" s="1185"/>
      <c r="J22" s="1184"/>
      <c r="K22" s="1184"/>
      <c r="L22" s="1184"/>
      <c r="M22" s="1185"/>
      <c r="N22" s="1185"/>
      <c r="O22" s="1186"/>
    </row>
    <row r="23" spans="1:15" s="17" customFormat="1" ht="12.75">
      <c r="A23" s="18"/>
      <c r="B23" s="778" t="s">
        <v>96</v>
      </c>
      <c r="C23" s="778"/>
      <c r="D23" s="778"/>
      <c r="E23" s="186">
        <v>21</v>
      </c>
      <c r="F23" s="1187">
        <v>2121</v>
      </c>
      <c r="G23" s="1181"/>
      <c r="H23" s="1182"/>
      <c r="I23" s="1185"/>
      <c r="J23" s="1184"/>
      <c r="K23" s="1184"/>
      <c r="L23" s="1184"/>
      <c r="M23" s="1185"/>
      <c r="N23" s="1185"/>
      <c r="O23" s="1186"/>
    </row>
    <row r="24" spans="1:15" s="17" customFormat="1" ht="12.75">
      <c r="A24" s="18"/>
      <c r="B24" s="778" t="s">
        <v>97</v>
      </c>
      <c r="C24" s="778"/>
      <c r="D24" s="778"/>
      <c r="E24" s="186">
        <v>22</v>
      </c>
      <c r="F24" s="781" t="s">
        <v>444</v>
      </c>
      <c r="G24" s="1181"/>
      <c r="H24" s="1182"/>
      <c r="I24" s="1185"/>
      <c r="J24" s="1184"/>
      <c r="K24" s="1184"/>
      <c r="L24" s="1184"/>
      <c r="M24" s="1185"/>
      <c r="N24" s="1185"/>
      <c r="O24" s="1186"/>
    </row>
    <row r="25" spans="1:15" s="17" customFormat="1" ht="12.75">
      <c r="A25" s="18"/>
      <c r="B25" s="778" t="s">
        <v>294</v>
      </c>
      <c r="C25" s="778"/>
      <c r="D25" s="778"/>
      <c r="E25" s="186">
        <v>23</v>
      </c>
      <c r="F25" s="781" t="s">
        <v>295</v>
      </c>
      <c r="G25" s="1181"/>
      <c r="H25" s="1182"/>
      <c r="I25" s="1185"/>
      <c r="J25" s="1184"/>
      <c r="K25" s="1184"/>
      <c r="L25" s="1184"/>
      <c r="M25" s="1185"/>
      <c r="N25" s="1185"/>
      <c r="O25" s="1186"/>
    </row>
    <row r="26" spans="1:15" s="17" customFormat="1" ht="12.75">
      <c r="A26" s="18"/>
      <c r="B26" s="778" t="s">
        <v>340</v>
      </c>
      <c r="C26" s="778"/>
      <c r="D26" s="778"/>
      <c r="E26" s="186">
        <v>24</v>
      </c>
      <c r="F26" s="781" t="s">
        <v>296</v>
      </c>
      <c r="G26" s="1181"/>
      <c r="H26" s="1182"/>
      <c r="I26" s="1185"/>
      <c r="J26" s="1184"/>
      <c r="K26" s="1184"/>
      <c r="L26" s="1184"/>
      <c r="M26" s="1185"/>
      <c r="N26" s="1185"/>
      <c r="O26" s="1186"/>
    </row>
    <row r="27" spans="1:15" s="17" customFormat="1" ht="13.5" thickBot="1">
      <c r="A27" s="18"/>
      <c r="B27" s="56" t="s">
        <v>98</v>
      </c>
      <c r="C27" s="56"/>
      <c r="D27" s="56"/>
      <c r="E27" s="54">
        <v>25</v>
      </c>
      <c r="F27" s="57" t="s">
        <v>99</v>
      </c>
      <c r="G27" s="1181"/>
      <c r="H27" s="1182"/>
      <c r="I27" s="1185"/>
      <c r="J27" s="1184"/>
      <c r="K27" s="1184"/>
      <c r="L27" s="1184"/>
      <c r="M27" s="1185"/>
      <c r="N27" s="1185"/>
      <c r="O27" s="1186"/>
    </row>
    <row r="28" spans="1:15" ht="13.5" thickBot="1">
      <c r="A28" s="100" t="s">
        <v>297</v>
      </c>
      <c r="B28" s="101"/>
      <c r="C28" s="101"/>
      <c r="D28" s="101"/>
      <c r="E28" s="102">
        <v>26</v>
      </c>
      <c r="F28" s="103"/>
      <c r="G28" s="78">
        <f aca="true" t="shared" si="2" ref="G28:O28">SUM(G29:G45)</f>
        <v>0</v>
      </c>
      <c r="H28" s="1161">
        <f t="shared" si="2"/>
        <v>0</v>
      </c>
      <c r="I28" s="1162">
        <f t="shared" si="2"/>
        <v>0</v>
      </c>
      <c r="J28" s="1163">
        <f t="shared" si="2"/>
        <v>0</v>
      </c>
      <c r="K28" s="1163">
        <f t="shared" si="2"/>
        <v>0</v>
      </c>
      <c r="L28" s="1163">
        <f t="shared" si="2"/>
        <v>0</v>
      </c>
      <c r="M28" s="1162">
        <f t="shared" si="2"/>
        <v>0</v>
      </c>
      <c r="N28" s="1162">
        <f t="shared" si="2"/>
        <v>0</v>
      </c>
      <c r="O28" s="1164">
        <f t="shared" si="2"/>
        <v>0</v>
      </c>
    </row>
    <row r="29" spans="1:15" s="17" customFormat="1" ht="12.75">
      <c r="A29" s="18" t="s">
        <v>77</v>
      </c>
      <c r="B29" s="29" t="s">
        <v>298</v>
      </c>
      <c r="C29" s="29"/>
      <c r="D29" s="29"/>
      <c r="E29" s="54">
        <v>27</v>
      </c>
      <c r="F29" s="55" t="s">
        <v>100</v>
      </c>
      <c r="G29" s="1165"/>
      <c r="H29" s="1166"/>
      <c r="I29" s="1167"/>
      <c r="J29" s="1168"/>
      <c r="K29" s="1168"/>
      <c r="L29" s="1168"/>
      <c r="M29" s="1167"/>
      <c r="N29" s="1167"/>
      <c r="O29" s="1169"/>
    </row>
    <row r="30" spans="1:15" s="17" customFormat="1" ht="12.75">
      <c r="A30" s="18"/>
      <c r="B30" s="56" t="s">
        <v>87</v>
      </c>
      <c r="C30" s="56"/>
      <c r="D30" s="56"/>
      <c r="E30" s="54">
        <v>28</v>
      </c>
      <c r="F30" s="57" t="s">
        <v>88</v>
      </c>
      <c r="G30" s="1188"/>
      <c r="H30" s="1189"/>
      <c r="I30" s="1190"/>
      <c r="J30" s="1191"/>
      <c r="K30" s="1191"/>
      <c r="L30" s="1191"/>
      <c r="M30" s="1190"/>
      <c r="N30" s="1190"/>
      <c r="O30" s="1192"/>
    </row>
    <row r="31" spans="1:15" s="17" customFormat="1" ht="12.75">
      <c r="A31" s="18"/>
      <c r="B31" s="56" t="s">
        <v>89</v>
      </c>
      <c r="C31" s="56"/>
      <c r="D31" s="56"/>
      <c r="E31" s="54">
        <v>29</v>
      </c>
      <c r="F31" s="57" t="s">
        <v>90</v>
      </c>
      <c r="G31" s="1188"/>
      <c r="H31" s="1189"/>
      <c r="I31" s="1190"/>
      <c r="J31" s="1191"/>
      <c r="K31" s="1191"/>
      <c r="L31" s="1191"/>
      <c r="M31" s="1190"/>
      <c r="N31" s="1190"/>
      <c r="O31" s="1192"/>
    </row>
    <row r="32" spans="1:15" s="17" customFormat="1" ht="12.75">
      <c r="A32" s="18"/>
      <c r="B32" s="778" t="s">
        <v>91</v>
      </c>
      <c r="C32" s="779"/>
      <c r="D32" s="779"/>
      <c r="E32" s="186">
        <v>30</v>
      </c>
      <c r="F32" s="780" t="s">
        <v>289</v>
      </c>
      <c r="G32" s="1188"/>
      <c r="H32" s="1189"/>
      <c r="I32" s="1190"/>
      <c r="J32" s="1191"/>
      <c r="K32" s="1191"/>
      <c r="L32" s="1191"/>
      <c r="M32" s="1190"/>
      <c r="N32" s="1190"/>
      <c r="O32" s="1192"/>
    </row>
    <row r="33" spans="1:15" s="17" customFormat="1" ht="12.75">
      <c r="A33" s="18"/>
      <c r="B33" s="778" t="s">
        <v>92</v>
      </c>
      <c r="C33" s="778"/>
      <c r="D33" s="778"/>
      <c r="E33" s="186">
        <v>31</v>
      </c>
      <c r="F33" s="781" t="s">
        <v>93</v>
      </c>
      <c r="G33" s="1188"/>
      <c r="H33" s="1189"/>
      <c r="I33" s="1190"/>
      <c r="J33" s="1191"/>
      <c r="K33" s="1191"/>
      <c r="L33" s="1191"/>
      <c r="M33" s="1190"/>
      <c r="N33" s="1190"/>
      <c r="O33" s="1192"/>
    </row>
    <row r="34" spans="1:15" s="17" customFormat="1" ht="12.75">
      <c r="A34" s="18"/>
      <c r="B34" s="778" t="s">
        <v>299</v>
      </c>
      <c r="C34" s="778"/>
      <c r="D34" s="778"/>
      <c r="E34" s="186">
        <v>32</v>
      </c>
      <c r="F34" s="781" t="s">
        <v>300</v>
      </c>
      <c r="G34" s="1188"/>
      <c r="H34" s="1189"/>
      <c r="I34" s="1190"/>
      <c r="J34" s="1191"/>
      <c r="K34" s="1191"/>
      <c r="L34" s="1191"/>
      <c r="M34" s="1190"/>
      <c r="N34" s="1190"/>
      <c r="O34" s="1192"/>
    </row>
    <row r="35" spans="1:15" s="17" customFormat="1" ht="12.75">
      <c r="A35" s="18"/>
      <c r="B35" s="778" t="s">
        <v>94</v>
      </c>
      <c r="C35" s="778"/>
      <c r="D35" s="778"/>
      <c r="E35" s="186">
        <v>33</v>
      </c>
      <c r="F35" s="781" t="s">
        <v>290</v>
      </c>
      <c r="G35" s="1188"/>
      <c r="H35" s="1189"/>
      <c r="I35" s="1190"/>
      <c r="J35" s="1191"/>
      <c r="K35" s="1191"/>
      <c r="L35" s="1191"/>
      <c r="M35" s="1190"/>
      <c r="N35" s="1190"/>
      <c r="O35" s="1192"/>
    </row>
    <row r="36" spans="1:15" s="17" customFormat="1" ht="12.75">
      <c r="A36" s="18"/>
      <c r="B36" s="778" t="s">
        <v>291</v>
      </c>
      <c r="C36" s="778"/>
      <c r="D36" s="778"/>
      <c r="E36" s="186">
        <v>34</v>
      </c>
      <c r="F36" s="781" t="s">
        <v>292</v>
      </c>
      <c r="G36" s="1188"/>
      <c r="H36" s="1189"/>
      <c r="I36" s="1190"/>
      <c r="J36" s="1191"/>
      <c r="K36" s="1191"/>
      <c r="L36" s="1191"/>
      <c r="M36" s="1190"/>
      <c r="N36" s="1190"/>
      <c r="O36" s="1192"/>
    </row>
    <row r="37" spans="1:15" s="17" customFormat="1" ht="12.75">
      <c r="A37" s="18"/>
      <c r="B37" s="778" t="s">
        <v>301</v>
      </c>
      <c r="C37" s="778"/>
      <c r="D37" s="778"/>
      <c r="E37" s="186">
        <v>35</v>
      </c>
      <c r="F37" s="781" t="s">
        <v>95</v>
      </c>
      <c r="G37" s="1188"/>
      <c r="H37" s="1189"/>
      <c r="I37" s="1190"/>
      <c r="J37" s="1191"/>
      <c r="K37" s="1191"/>
      <c r="L37" s="1191"/>
      <c r="M37" s="1190"/>
      <c r="N37" s="1190"/>
      <c r="O37" s="1192"/>
    </row>
    <row r="38" spans="1:15" s="17" customFormat="1" ht="12.75">
      <c r="A38" s="18"/>
      <c r="B38" s="778" t="s">
        <v>302</v>
      </c>
      <c r="C38" s="778"/>
      <c r="D38" s="778"/>
      <c r="E38" s="186">
        <v>36</v>
      </c>
      <c r="F38" s="781" t="s">
        <v>445</v>
      </c>
      <c r="G38" s="1188"/>
      <c r="H38" s="1189"/>
      <c r="I38" s="1190"/>
      <c r="J38" s="1191"/>
      <c r="K38" s="1191"/>
      <c r="L38" s="1191"/>
      <c r="M38" s="1190"/>
      <c r="N38" s="1190"/>
      <c r="O38" s="1192"/>
    </row>
    <row r="39" spans="1:15" s="17" customFormat="1" ht="12.75">
      <c r="A39" s="18"/>
      <c r="B39" s="778" t="s">
        <v>303</v>
      </c>
      <c r="C39" s="778"/>
      <c r="D39" s="778"/>
      <c r="E39" s="186">
        <v>37</v>
      </c>
      <c r="F39" s="1187">
        <v>2121</v>
      </c>
      <c r="G39" s="1188"/>
      <c r="H39" s="1189"/>
      <c r="I39" s="1190"/>
      <c r="J39" s="1191"/>
      <c r="K39" s="1191"/>
      <c r="L39" s="1191"/>
      <c r="M39" s="1190"/>
      <c r="N39" s="1190"/>
      <c r="O39" s="1192"/>
    </row>
    <row r="40" spans="1:15" s="17" customFormat="1" ht="12.75">
      <c r="A40" s="18"/>
      <c r="B40" s="778" t="s">
        <v>304</v>
      </c>
      <c r="C40" s="778"/>
      <c r="D40" s="778"/>
      <c r="E40" s="186">
        <v>38</v>
      </c>
      <c r="F40" s="781" t="s">
        <v>444</v>
      </c>
      <c r="G40" s="1188"/>
      <c r="H40" s="1189"/>
      <c r="I40" s="1190"/>
      <c r="J40" s="1191"/>
      <c r="K40" s="1191"/>
      <c r="L40" s="1191"/>
      <c r="M40" s="1190"/>
      <c r="N40" s="1190"/>
      <c r="O40" s="1192"/>
    </row>
    <row r="41" spans="1:15" s="17" customFormat="1" ht="12.75">
      <c r="A41" s="18"/>
      <c r="B41" s="778" t="s">
        <v>294</v>
      </c>
      <c r="C41" s="778"/>
      <c r="D41" s="778"/>
      <c r="E41" s="186">
        <v>39</v>
      </c>
      <c r="F41" s="781" t="s">
        <v>295</v>
      </c>
      <c r="G41" s="1188"/>
      <c r="H41" s="1189"/>
      <c r="I41" s="1190"/>
      <c r="J41" s="1191"/>
      <c r="K41" s="1191"/>
      <c r="L41" s="1191"/>
      <c r="M41" s="1190"/>
      <c r="N41" s="1190"/>
      <c r="O41" s="1192"/>
    </row>
    <row r="42" spans="1:15" s="17" customFormat="1" ht="12.75">
      <c r="A42" s="18"/>
      <c r="B42" s="778" t="s">
        <v>293</v>
      </c>
      <c r="C42" s="778"/>
      <c r="D42" s="778"/>
      <c r="E42" s="186">
        <v>40</v>
      </c>
      <c r="F42" s="781" t="s">
        <v>296</v>
      </c>
      <c r="G42" s="1188"/>
      <c r="H42" s="1189"/>
      <c r="I42" s="1190"/>
      <c r="J42" s="1191"/>
      <c r="K42" s="1191"/>
      <c r="L42" s="1191"/>
      <c r="M42" s="1190"/>
      <c r="N42" s="1190"/>
      <c r="O42" s="1192"/>
    </row>
    <row r="43" spans="1:15" s="17" customFormat="1" ht="12.75">
      <c r="A43" s="18"/>
      <c r="B43" s="778" t="s">
        <v>305</v>
      </c>
      <c r="C43" s="778"/>
      <c r="D43" s="778"/>
      <c r="E43" s="186">
        <v>41</v>
      </c>
      <c r="F43" s="781" t="s">
        <v>171</v>
      </c>
      <c r="G43" s="1188"/>
      <c r="H43" s="1189"/>
      <c r="I43" s="1190"/>
      <c r="J43" s="1191"/>
      <c r="K43" s="1191"/>
      <c r="L43" s="1191"/>
      <c r="M43" s="1190"/>
      <c r="N43" s="1190"/>
      <c r="O43" s="1192"/>
    </row>
    <row r="44" spans="1:15" s="17" customFormat="1" ht="12.75">
      <c r="A44" s="18"/>
      <c r="B44" s="778" t="s">
        <v>101</v>
      </c>
      <c r="C44" s="778"/>
      <c r="D44" s="778"/>
      <c r="E44" s="186">
        <v>42</v>
      </c>
      <c r="F44" s="781" t="s">
        <v>102</v>
      </c>
      <c r="G44" s="1188"/>
      <c r="H44" s="1189"/>
      <c r="I44" s="1190"/>
      <c r="J44" s="1191"/>
      <c r="K44" s="1191"/>
      <c r="L44" s="1191"/>
      <c r="M44" s="1190"/>
      <c r="N44" s="1190"/>
      <c r="O44" s="1192"/>
    </row>
    <row r="45" spans="1:15" s="17" customFormat="1" ht="12.75">
      <c r="A45" s="98"/>
      <c r="B45" s="301" t="s">
        <v>98</v>
      </c>
      <c r="C45" s="301"/>
      <c r="D45" s="301"/>
      <c r="E45" s="782">
        <v>43</v>
      </c>
      <c r="F45" s="302" t="s">
        <v>99</v>
      </c>
      <c r="G45" s="1193"/>
      <c r="H45" s="1194"/>
      <c r="I45" s="1195"/>
      <c r="J45" s="1196"/>
      <c r="K45" s="1196"/>
      <c r="L45" s="1196"/>
      <c r="M45" s="1195"/>
      <c r="N45" s="1195"/>
      <c r="O45" s="1197"/>
    </row>
    <row r="46" spans="1:15" s="17" customFormat="1" ht="13.5" thickBot="1">
      <c r="A46" s="299" t="s">
        <v>306</v>
      </c>
      <c r="B46" s="58"/>
      <c r="C46" s="58"/>
      <c r="D46" s="58"/>
      <c r="E46" s="54">
        <v>44</v>
      </c>
      <c r="F46" s="300"/>
      <c r="G46" s="1198"/>
      <c r="H46" s="1199"/>
      <c r="I46" s="1200"/>
      <c r="J46" s="1201"/>
      <c r="K46" s="1201"/>
      <c r="L46" s="1201"/>
      <c r="M46" s="1200"/>
      <c r="N46" s="1200"/>
      <c r="O46" s="1202"/>
    </row>
    <row r="47" spans="1:15" ht="13.5" thickBot="1">
      <c r="A47" s="100" t="s">
        <v>307</v>
      </c>
      <c r="B47" s="101"/>
      <c r="C47" s="101"/>
      <c r="D47" s="101"/>
      <c r="E47" s="102">
        <v>45</v>
      </c>
      <c r="F47" s="103"/>
      <c r="G47" s="78">
        <f aca="true" t="shared" si="3" ref="G47:O47">G28-G3</f>
        <v>0</v>
      </c>
      <c r="H47" s="1161">
        <f t="shared" si="3"/>
        <v>0</v>
      </c>
      <c r="I47" s="1162">
        <f t="shared" si="3"/>
        <v>0</v>
      </c>
      <c r="J47" s="1163">
        <f t="shared" si="3"/>
        <v>0</v>
      </c>
      <c r="K47" s="1163">
        <f t="shared" si="3"/>
        <v>0</v>
      </c>
      <c r="L47" s="1163">
        <f t="shared" si="3"/>
        <v>0</v>
      </c>
      <c r="M47" s="1162">
        <f t="shared" si="3"/>
        <v>0</v>
      </c>
      <c r="N47" s="1162">
        <f t="shared" si="3"/>
        <v>0</v>
      </c>
      <c r="O47" s="1164">
        <f t="shared" si="3"/>
        <v>0</v>
      </c>
    </row>
    <row r="48" spans="1:6" ht="12.75">
      <c r="A48" s="15" t="s">
        <v>172</v>
      </c>
      <c r="B48" s="15"/>
      <c r="C48" s="15"/>
      <c r="D48" s="15"/>
      <c r="E48" s="59"/>
      <c r="F48" s="60" t="s">
        <v>173</v>
      </c>
    </row>
    <row r="49" spans="5:15" s="15" customFormat="1" ht="12.75">
      <c r="E49" s="59"/>
      <c r="F49" s="60"/>
      <c r="G49" s="2"/>
      <c r="I49" s="107"/>
      <c r="J49" s="107"/>
      <c r="K49" s="107"/>
      <c r="L49" s="107"/>
      <c r="M49" s="107"/>
      <c r="N49" s="107"/>
      <c r="O49" s="115"/>
    </row>
    <row r="50" spans="1:15" s="15" customFormat="1" ht="12.75">
      <c r="A50" s="783" t="s">
        <v>308</v>
      </c>
      <c r="E50" s="59"/>
      <c r="F50" s="60"/>
      <c r="G50" s="2"/>
      <c r="I50" s="107"/>
      <c r="J50" s="107"/>
      <c r="K50" s="107"/>
      <c r="L50" s="107"/>
      <c r="M50" s="107"/>
      <c r="N50" s="107"/>
      <c r="O50" s="115"/>
    </row>
    <row r="51" spans="1:15" s="15" customFormat="1" ht="12.75">
      <c r="A51" s="783" t="s">
        <v>529</v>
      </c>
      <c r="E51" s="59"/>
      <c r="F51" s="60"/>
      <c r="G51" s="2"/>
      <c r="I51" s="107"/>
      <c r="J51" s="107"/>
      <c r="K51" s="107"/>
      <c r="L51" s="107"/>
      <c r="M51" s="107"/>
      <c r="N51" s="107"/>
      <c r="O51" s="115"/>
    </row>
    <row r="52" spans="1:15" s="15" customFormat="1" ht="12.75">
      <c r="A52" s="783" t="s">
        <v>309</v>
      </c>
      <c r="E52" s="59"/>
      <c r="F52" s="60"/>
      <c r="G52" s="784"/>
      <c r="I52" s="107"/>
      <c r="J52" s="107"/>
      <c r="K52" s="107"/>
      <c r="L52" s="107"/>
      <c r="M52" s="107"/>
      <c r="N52" s="107"/>
      <c r="O52" s="115"/>
    </row>
    <row r="53" spans="1:15" s="783" customFormat="1" ht="12.75">
      <c r="A53" s="783" t="s">
        <v>310</v>
      </c>
      <c r="E53" s="785"/>
      <c r="F53" s="786"/>
      <c r="G53" s="787"/>
      <c r="I53" s="788"/>
      <c r="J53" s="788"/>
      <c r="K53" s="788"/>
      <c r="L53" s="788"/>
      <c r="M53" s="788"/>
      <c r="N53" s="788"/>
      <c r="O53" s="1203"/>
    </row>
    <row r="54" spans="1:15" s="783" customFormat="1" ht="12.75">
      <c r="A54" s="783" t="s">
        <v>346</v>
      </c>
      <c r="E54" s="785"/>
      <c r="F54" s="786"/>
      <c r="G54" s="787"/>
      <c r="I54" s="788"/>
      <c r="J54" s="788"/>
      <c r="K54" s="788"/>
      <c r="L54" s="788"/>
      <c r="M54" s="788"/>
      <c r="N54" s="788"/>
      <c r="O54" s="1203"/>
    </row>
    <row r="55" spans="1:15" s="783" customFormat="1" ht="12.75">
      <c r="A55" s="783" t="s">
        <v>311</v>
      </c>
      <c r="E55" s="785"/>
      <c r="F55" s="786"/>
      <c r="G55" s="787"/>
      <c r="I55" s="788"/>
      <c r="J55" s="788"/>
      <c r="K55" s="788"/>
      <c r="L55" s="788"/>
      <c r="M55" s="788"/>
      <c r="N55" s="788"/>
      <c r="O55" s="1203"/>
    </row>
    <row r="56" spans="1:15" s="15" customFormat="1" ht="12.75">
      <c r="A56" s="783"/>
      <c r="B56" s="783"/>
      <c r="C56" s="783"/>
      <c r="D56" s="783"/>
      <c r="E56" s="59"/>
      <c r="F56" s="60"/>
      <c r="G56" s="2"/>
      <c r="I56" s="107"/>
      <c r="J56" s="107"/>
      <c r="K56" s="107"/>
      <c r="L56" s="107"/>
      <c r="M56" s="107"/>
      <c r="N56" s="107"/>
      <c r="O56" s="115"/>
    </row>
    <row r="57" spans="1:14" s="115" customFormat="1" ht="12.75">
      <c r="A57" s="783"/>
      <c r="B57" s="783"/>
      <c r="C57" s="783"/>
      <c r="D57" s="783"/>
      <c r="E57" s="123"/>
      <c r="F57" s="789"/>
      <c r="G57" s="2"/>
      <c r="I57" s="107"/>
      <c r="J57" s="107"/>
      <c r="K57" s="107"/>
      <c r="L57" s="107"/>
      <c r="M57" s="107"/>
      <c r="N57" s="107"/>
    </row>
    <row r="58" spans="1:14" s="115" customFormat="1" ht="12.75">
      <c r="A58" s="783"/>
      <c r="B58" s="783"/>
      <c r="C58" s="783"/>
      <c r="D58" s="783"/>
      <c r="E58" s="123"/>
      <c r="F58" s="789"/>
      <c r="G58" s="2"/>
      <c r="I58" s="107"/>
      <c r="J58" s="107"/>
      <c r="K58" s="107"/>
      <c r="L58" s="107"/>
      <c r="M58" s="107"/>
      <c r="N58" s="107"/>
    </row>
    <row r="59" spans="1:14" s="115" customFormat="1" ht="12.75">
      <c r="A59" s="783"/>
      <c r="B59" s="783"/>
      <c r="C59" s="783"/>
      <c r="D59" s="783"/>
      <c r="E59" s="123"/>
      <c r="F59" s="789"/>
      <c r="G59" s="2"/>
      <c r="I59" s="107"/>
      <c r="J59" s="107"/>
      <c r="K59" s="107"/>
      <c r="L59" s="107"/>
      <c r="M59" s="107"/>
      <c r="N59" s="107"/>
    </row>
  </sheetData>
  <mergeCells count="2">
    <mergeCell ref="A1:D1"/>
    <mergeCell ref="J1:N1"/>
  </mergeCells>
  <printOptions/>
  <pageMargins left="0.53" right="0.3" top="0.26" bottom="0.29" header="0.17" footer="0.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D32" sqref="D32"/>
    </sheetView>
  </sheetViews>
  <sheetFormatPr defaultColWidth="9.00390625" defaultRowHeight="12.75"/>
  <cols>
    <col min="1" max="1" width="8.875" style="929" customWidth="1"/>
    <col min="2" max="2" width="52.25390625" style="929" customWidth="1"/>
    <col min="3" max="3" width="17.125" style="932" customWidth="1"/>
    <col min="4" max="4" width="9.875" style="899" bestFit="1" customWidth="1"/>
    <col min="5" max="16384" width="9.125" style="929" customWidth="1"/>
  </cols>
  <sheetData>
    <row r="1" spans="1:3" ht="12.75">
      <c r="A1" s="900" t="s">
        <v>414</v>
      </c>
      <c r="C1" s="931"/>
    </row>
    <row r="2" spans="2:3" ht="12.75">
      <c r="B2" s="930"/>
      <c r="C2" s="931"/>
    </row>
    <row r="3" spans="2:3" ht="13.5" thickBot="1">
      <c r="B3" s="930"/>
      <c r="C3" s="931"/>
    </row>
    <row r="4" spans="1:4" ht="13.5" thickBot="1">
      <c r="A4" s="1155" t="s">
        <v>146</v>
      </c>
      <c r="B4" s="1156" t="s">
        <v>331</v>
      </c>
      <c r="C4" s="1157" t="s">
        <v>332</v>
      </c>
      <c r="D4" s="1158" t="s">
        <v>54</v>
      </c>
    </row>
    <row r="5" spans="1:4" ht="15" customHeight="1">
      <c r="A5" s="1326" t="s">
        <v>13</v>
      </c>
      <c r="B5" s="1121" t="s">
        <v>415</v>
      </c>
      <c r="C5" s="1122" t="s">
        <v>333</v>
      </c>
      <c r="D5" s="1123">
        <v>3000000</v>
      </c>
    </row>
    <row r="6" spans="1:4" ht="15" customHeight="1">
      <c r="A6" s="1328"/>
      <c r="B6" s="1124" t="s">
        <v>416</v>
      </c>
      <c r="C6" s="1125" t="s">
        <v>333</v>
      </c>
      <c r="D6" s="1126">
        <v>500000</v>
      </c>
    </row>
    <row r="7" spans="1:4" ht="15" customHeight="1">
      <c r="A7" s="1327"/>
      <c r="B7" s="1127" t="s">
        <v>417</v>
      </c>
      <c r="C7" s="1128" t="s">
        <v>333</v>
      </c>
      <c r="D7" s="1129">
        <v>65000</v>
      </c>
    </row>
    <row r="8" spans="1:4" ht="15" customHeight="1">
      <c r="A8" s="1130"/>
      <c r="B8" s="1131"/>
      <c r="C8" s="1132"/>
      <c r="D8" s="1133">
        <f>D5+D6+D7</f>
        <v>3565000</v>
      </c>
    </row>
    <row r="9" spans="1:4" ht="15" customHeight="1">
      <c r="A9" s="1326" t="s">
        <v>17</v>
      </c>
      <c r="B9" s="1124" t="s">
        <v>418</v>
      </c>
      <c r="C9" s="1134" t="s">
        <v>349</v>
      </c>
      <c r="D9" s="1135">
        <v>100000</v>
      </c>
    </row>
    <row r="10" spans="1:4" ht="15" customHeight="1">
      <c r="A10" s="1327"/>
      <c r="B10" s="1127" t="s">
        <v>419</v>
      </c>
      <c r="C10" s="1136" t="s">
        <v>149</v>
      </c>
      <c r="D10" s="1137">
        <v>250000</v>
      </c>
    </row>
    <row r="11" spans="1:4" ht="15" customHeight="1">
      <c r="A11" s="1130"/>
      <c r="B11" s="1138"/>
      <c r="C11" s="1132"/>
      <c r="D11" s="1133">
        <f>SUM(D9:D10)</f>
        <v>350000</v>
      </c>
    </row>
    <row r="12" spans="1:4" s="930" customFormat="1" ht="15" customHeight="1">
      <c r="A12" s="1328" t="s">
        <v>18</v>
      </c>
      <c r="B12" s="1139" t="s">
        <v>420</v>
      </c>
      <c r="C12" s="1125" t="s">
        <v>421</v>
      </c>
      <c r="D12" s="1126">
        <v>70000</v>
      </c>
    </row>
    <row r="13" spans="1:4" ht="15" customHeight="1">
      <c r="A13" s="1327"/>
      <c r="B13" s="1140" t="s">
        <v>422</v>
      </c>
      <c r="C13" s="1128" t="s">
        <v>423</v>
      </c>
      <c r="D13" s="1141">
        <v>100000</v>
      </c>
    </row>
    <row r="14" spans="1:4" ht="15" customHeight="1">
      <c r="A14" s="1130"/>
      <c r="B14" s="1138"/>
      <c r="C14" s="1132"/>
      <c r="D14" s="1133">
        <f>D12+D13</f>
        <v>170000</v>
      </c>
    </row>
    <row r="15" spans="1:4" ht="15" customHeight="1">
      <c r="A15" s="1326" t="s">
        <v>334</v>
      </c>
      <c r="B15" s="1121" t="s">
        <v>424</v>
      </c>
      <c r="C15" s="1122" t="s">
        <v>425</v>
      </c>
      <c r="D15" s="1142">
        <v>6000000</v>
      </c>
    </row>
    <row r="16" spans="1:4" ht="15" customHeight="1">
      <c r="A16" s="1328"/>
      <c r="B16" s="1139" t="s">
        <v>426</v>
      </c>
      <c r="C16" s="1125" t="s">
        <v>350</v>
      </c>
      <c r="D16" s="1135">
        <v>1000000</v>
      </c>
    </row>
    <row r="17" spans="1:4" ht="15" customHeight="1">
      <c r="A17" s="1328"/>
      <c r="B17" s="1139" t="s">
        <v>427</v>
      </c>
      <c r="C17" s="1125" t="s">
        <v>428</v>
      </c>
      <c r="D17" s="1126">
        <v>210000</v>
      </c>
    </row>
    <row r="18" spans="1:4" ht="15" customHeight="1">
      <c r="A18" s="1328"/>
      <c r="B18" s="1139" t="s">
        <v>429</v>
      </c>
      <c r="C18" s="1125" t="s">
        <v>430</v>
      </c>
      <c r="D18" s="1126">
        <v>490000</v>
      </c>
    </row>
    <row r="19" spans="1:4" s="933" customFormat="1" ht="15" customHeight="1">
      <c r="A19" s="1130"/>
      <c r="B19" s="1138"/>
      <c r="C19" s="1132"/>
      <c r="D19" s="1133">
        <f>SUM(D15:D18)</f>
        <v>7700000</v>
      </c>
    </row>
    <row r="20" spans="1:4" ht="15" customHeight="1">
      <c r="A20" s="1326" t="s">
        <v>15</v>
      </c>
      <c r="B20" s="1121" t="s">
        <v>431</v>
      </c>
      <c r="C20" s="1122" t="s">
        <v>335</v>
      </c>
      <c r="D20" s="1142">
        <v>300000</v>
      </c>
    </row>
    <row r="21" spans="1:4" ht="15" customHeight="1">
      <c r="A21" s="1328"/>
      <c r="B21" s="1139" t="s">
        <v>432</v>
      </c>
      <c r="C21" s="1125" t="s">
        <v>335</v>
      </c>
      <c r="D21" s="1126">
        <v>300000</v>
      </c>
    </row>
    <row r="22" spans="1:4" ht="15" customHeight="1">
      <c r="A22" s="1328"/>
      <c r="B22" s="1139" t="s">
        <v>433</v>
      </c>
      <c r="C22" s="1125" t="s">
        <v>434</v>
      </c>
      <c r="D22" s="1126">
        <v>120000</v>
      </c>
    </row>
    <row r="23" spans="1:4" ht="15" customHeight="1">
      <c r="A23" s="1130"/>
      <c r="B23" s="1138"/>
      <c r="C23" s="1132"/>
      <c r="D23" s="1133">
        <f>SUM(D20:D22)</f>
        <v>720000</v>
      </c>
    </row>
    <row r="24" spans="1:4" ht="15" customHeight="1">
      <c r="A24" s="1326" t="s">
        <v>19</v>
      </c>
      <c r="B24" s="1121" t="s">
        <v>435</v>
      </c>
      <c r="C24" s="1122" t="s">
        <v>351</v>
      </c>
      <c r="D24" s="1142">
        <v>750000</v>
      </c>
    </row>
    <row r="25" spans="1:4" ht="15" customHeight="1">
      <c r="A25" s="1327"/>
      <c r="B25" s="1140" t="s">
        <v>436</v>
      </c>
      <c r="C25" s="1128" t="s">
        <v>351</v>
      </c>
      <c r="D25" s="1141">
        <v>200000</v>
      </c>
    </row>
    <row r="26" spans="1:4" ht="15" customHeight="1">
      <c r="A26" s="1130"/>
      <c r="B26" s="1138"/>
      <c r="C26" s="1132"/>
      <c r="D26" s="1133">
        <f>D24+D25</f>
        <v>950000</v>
      </c>
    </row>
    <row r="27" spans="1:4" ht="15" customHeight="1">
      <c r="A27" s="1326" t="s">
        <v>144</v>
      </c>
      <c r="B27" s="1121" t="s">
        <v>437</v>
      </c>
      <c r="C27" s="1122" t="s">
        <v>438</v>
      </c>
      <c r="D27" s="1142">
        <v>2500000</v>
      </c>
    </row>
    <row r="28" spans="1:4" ht="15" customHeight="1">
      <c r="A28" s="1328"/>
      <c r="B28" s="1139" t="s">
        <v>439</v>
      </c>
      <c r="C28" s="1125" t="s">
        <v>440</v>
      </c>
      <c r="D28" s="1126">
        <v>1200000</v>
      </c>
    </row>
    <row r="29" spans="1:4" ht="15" customHeight="1">
      <c r="A29" s="1130"/>
      <c r="B29" s="1138"/>
      <c r="C29" s="1132"/>
      <c r="D29" s="1133">
        <f>SUM(D27:D28)</f>
        <v>3700000</v>
      </c>
    </row>
    <row r="30" spans="1:4" ht="15" customHeight="1">
      <c r="A30" s="1329" t="s">
        <v>352</v>
      </c>
      <c r="B30" s="1330"/>
      <c r="C30" s="1143"/>
      <c r="D30" s="1144">
        <f>D8+D11+D14+D19+D23+D26+D29</f>
        <v>17155000</v>
      </c>
    </row>
    <row r="31" spans="1:4" ht="15" customHeight="1">
      <c r="A31" s="1145" t="s">
        <v>337</v>
      </c>
      <c r="B31" s="1146"/>
      <c r="C31" s="1147"/>
      <c r="D31" s="1148">
        <f>D32-D30</f>
        <v>1845000</v>
      </c>
    </row>
    <row r="32" spans="1:4" ht="15" customHeight="1" thickBot="1">
      <c r="A32" s="1149" t="s">
        <v>21</v>
      </c>
      <c r="B32" s="1150"/>
      <c r="C32" s="1151"/>
      <c r="D32" s="1152">
        <v>19000000</v>
      </c>
    </row>
    <row r="33" spans="1:4" ht="12.75">
      <c r="A33" s="1331"/>
      <c r="B33" s="1331"/>
      <c r="C33" s="1153"/>
      <c r="D33" s="1154"/>
    </row>
  </sheetData>
  <mergeCells count="9">
    <mergeCell ref="A20:A22"/>
    <mergeCell ref="A5:A7"/>
    <mergeCell ref="A9:A10"/>
    <mergeCell ref="A12:A13"/>
    <mergeCell ref="A15:A18"/>
    <mergeCell ref="A24:A25"/>
    <mergeCell ref="A27:A28"/>
    <mergeCell ref="A30:B30"/>
    <mergeCell ref="A33:B33"/>
  </mergeCells>
  <printOptions/>
  <pageMargins left="0.59" right="0.36" top="0.71" bottom="0.72" header="0.5" footer="0.5"/>
  <pageSetup horizontalDpi="600" verticalDpi="600" orientation="portrait" paperSize="9" scale="95" r:id="rId1"/>
  <headerFooter alignWithMargins="0">
    <oddHeader>&amp;RPříloha 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Q13" sqref="Q13"/>
    </sheetView>
  </sheetViews>
  <sheetFormatPr defaultColWidth="9.00390625" defaultRowHeight="12.75"/>
  <cols>
    <col min="1" max="1" width="4.375" style="646" customWidth="1"/>
    <col min="2" max="2" width="8.00390625" style="645" customWidth="1"/>
    <col min="3" max="3" width="12.00390625" style="645" hidden="1" customWidth="1"/>
    <col min="4" max="4" width="10.625" style="645" hidden="1" customWidth="1"/>
    <col min="5" max="5" width="10.875" style="645" hidden="1" customWidth="1"/>
    <col min="6" max="6" width="12.25390625" style="647" customWidth="1"/>
    <col min="7" max="7" width="12.625" style="647" customWidth="1"/>
    <col min="8" max="8" width="12.125" style="647" customWidth="1"/>
    <col min="9" max="9" width="3.25390625" style="647" customWidth="1"/>
    <col min="10" max="10" width="8.25390625" style="647" customWidth="1"/>
    <col min="11" max="11" width="9.75390625" style="647" customWidth="1"/>
    <col min="12" max="13" width="8.25390625" style="647" customWidth="1"/>
    <col min="14" max="14" width="9.75390625" style="647" customWidth="1"/>
    <col min="15" max="15" width="8.25390625" style="647" customWidth="1"/>
    <col min="16" max="16384" width="9.125" style="647" customWidth="1"/>
  </cols>
  <sheetData>
    <row r="1" ht="12">
      <c r="A1" s="644" t="s">
        <v>411</v>
      </c>
    </row>
    <row r="2" spans="1:15" ht="14.25" customHeight="1" thickBot="1">
      <c r="A2" s="648"/>
      <c r="J2" s="1332"/>
      <c r="K2" s="1332"/>
      <c r="L2" s="1332"/>
      <c r="M2" s="1332"/>
      <c r="N2" s="1332"/>
      <c r="O2" s="1332"/>
    </row>
    <row r="3" spans="1:15" ht="24.75" customHeight="1">
      <c r="A3" s="649"/>
      <c r="B3" s="650"/>
      <c r="C3" s="1336" t="s">
        <v>531</v>
      </c>
      <c r="D3" s="1337"/>
      <c r="E3" s="1337"/>
      <c r="F3" s="1333" t="s">
        <v>530</v>
      </c>
      <c r="G3" s="1334"/>
      <c r="H3" s="1335"/>
      <c r="J3" s="1338" t="s">
        <v>412</v>
      </c>
      <c r="K3" s="1339"/>
      <c r="L3" s="1340"/>
      <c r="M3" s="1338" t="s">
        <v>413</v>
      </c>
      <c r="N3" s="1339"/>
      <c r="O3" s="1340"/>
    </row>
    <row r="4" spans="1:15" ht="18" customHeight="1">
      <c r="A4" s="651" t="s">
        <v>146</v>
      </c>
      <c r="B4" s="652"/>
      <c r="C4" s="656" t="s">
        <v>190</v>
      </c>
      <c r="D4" s="657" t="s">
        <v>191</v>
      </c>
      <c r="E4" s="658" t="s">
        <v>21</v>
      </c>
      <c r="F4" s="653" t="s">
        <v>190</v>
      </c>
      <c r="G4" s="654" t="s">
        <v>191</v>
      </c>
      <c r="H4" s="655" t="s">
        <v>21</v>
      </c>
      <c r="J4" s="656" t="s">
        <v>190</v>
      </c>
      <c r="K4" s="657" t="s">
        <v>191</v>
      </c>
      <c r="L4" s="658" t="s">
        <v>21</v>
      </c>
      <c r="M4" s="656" t="s">
        <v>190</v>
      </c>
      <c r="N4" s="659" t="s">
        <v>191</v>
      </c>
      <c r="O4" s="658" t="s">
        <v>21</v>
      </c>
    </row>
    <row r="5" spans="1:15" s="665" customFormat="1" ht="11.25">
      <c r="A5" s="660"/>
      <c r="B5" s="661"/>
      <c r="C5" s="1270"/>
      <c r="D5" s="1270"/>
      <c r="E5" s="1270"/>
      <c r="F5" s="662">
        <v>1</v>
      </c>
      <c r="G5" s="663">
        <v>2</v>
      </c>
      <c r="H5" s="664">
        <v>3</v>
      </c>
      <c r="J5" s="901">
        <v>4</v>
      </c>
      <c r="K5" s="902">
        <v>5</v>
      </c>
      <c r="L5" s="903">
        <v>6</v>
      </c>
      <c r="M5" s="901">
        <v>7</v>
      </c>
      <c r="N5" s="904">
        <v>8</v>
      </c>
      <c r="O5" s="903">
        <v>9</v>
      </c>
    </row>
    <row r="6" spans="1:15" ht="15" customHeight="1">
      <c r="A6" s="666">
        <v>11</v>
      </c>
      <c r="B6" s="667" t="s">
        <v>11</v>
      </c>
      <c r="C6" s="669">
        <v>2742318.57</v>
      </c>
      <c r="D6" s="1272">
        <v>1297319.05</v>
      </c>
      <c r="E6" s="1273">
        <f>SUM(C6:D6)</f>
        <v>4039637.62</v>
      </c>
      <c r="F6" s="1280">
        <f>C6*12</f>
        <v>32907822.839999996</v>
      </c>
      <c r="G6" s="1283">
        <f>D6*12</f>
        <v>15567828.600000001</v>
      </c>
      <c r="H6" s="668">
        <f aca="true" t="shared" si="0" ref="H6:H24">SUM(F6:G6)</f>
        <v>48475651.44</v>
      </c>
      <c r="J6" s="1073">
        <v>32908</v>
      </c>
      <c r="K6" s="1110">
        <v>15568</v>
      </c>
      <c r="L6" s="671">
        <f aca="true" t="shared" si="1" ref="L6:L25">SUM(J6:K6)</f>
        <v>48476</v>
      </c>
      <c r="M6" s="678">
        <f>J6</f>
        <v>32908</v>
      </c>
      <c r="N6" s="1114">
        <f>K6</f>
        <v>15568</v>
      </c>
      <c r="O6" s="671">
        <f aca="true" t="shared" si="2" ref="O6:O25">SUM(M6:N6)</f>
        <v>48476</v>
      </c>
    </row>
    <row r="7" spans="1:15" ht="15" customHeight="1">
      <c r="A7" s="672">
        <v>21</v>
      </c>
      <c r="B7" s="673" t="s">
        <v>12</v>
      </c>
      <c r="C7" s="676">
        <v>362249.44</v>
      </c>
      <c r="D7" s="1109">
        <v>235967.8</v>
      </c>
      <c r="E7" s="1274">
        <f aca="true" t="shared" si="3" ref="E7:E19">SUM(C7:D7)</f>
        <v>598217.24</v>
      </c>
      <c r="F7" s="1280">
        <f aca="true" t="shared" si="4" ref="F7:G23">C7*12</f>
        <v>4346993.28</v>
      </c>
      <c r="G7" s="677">
        <f t="shared" si="4"/>
        <v>2831613.5999999996</v>
      </c>
      <c r="H7" s="675">
        <f t="shared" si="0"/>
        <v>7178606.88</v>
      </c>
      <c r="J7" s="670">
        <v>4347</v>
      </c>
      <c r="K7" s="1111">
        <v>2832</v>
      </c>
      <c r="L7" s="680">
        <f t="shared" si="1"/>
        <v>7179</v>
      </c>
      <c r="M7" s="678">
        <f>J7</f>
        <v>4347</v>
      </c>
      <c r="N7" s="1114">
        <f>K7</f>
        <v>2832</v>
      </c>
      <c r="O7" s="680">
        <f t="shared" si="2"/>
        <v>7179</v>
      </c>
    </row>
    <row r="8" spans="1:15" ht="15" customHeight="1">
      <c r="A8" s="672">
        <v>22</v>
      </c>
      <c r="B8" s="673" t="s">
        <v>13</v>
      </c>
      <c r="C8" s="676">
        <v>116466</v>
      </c>
      <c r="D8" s="1109">
        <v>116624</v>
      </c>
      <c r="E8" s="1274">
        <f t="shared" si="3"/>
        <v>233090</v>
      </c>
      <c r="F8" s="1280">
        <f t="shared" si="4"/>
        <v>1397592</v>
      </c>
      <c r="G8" s="677">
        <f t="shared" si="4"/>
        <v>1399488</v>
      </c>
      <c r="H8" s="675">
        <f t="shared" si="0"/>
        <v>2797080</v>
      </c>
      <c r="J8" s="678">
        <v>1398</v>
      </c>
      <c r="K8" s="1112">
        <v>1399</v>
      </c>
      <c r="L8" s="680">
        <f t="shared" si="1"/>
        <v>2797</v>
      </c>
      <c r="M8" s="1073">
        <f aca="true" t="shared" si="5" ref="M8:N23">J8</f>
        <v>1398</v>
      </c>
      <c r="N8" s="1115">
        <f t="shared" si="5"/>
        <v>1399</v>
      </c>
      <c r="O8" s="680">
        <f t="shared" si="2"/>
        <v>2797</v>
      </c>
    </row>
    <row r="9" spans="1:15" ht="15" customHeight="1">
      <c r="A9" s="672">
        <v>23</v>
      </c>
      <c r="B9" s="673" t="s">
        <v>14</v>
      </c>
      <c r="C9" s="676">
        <v>456646.06</v>
      </c>
      <c r="D9" s="1109">
        <v>132859.94</v>
      </c>
      <c r="E9" s="1274">
        <f t="shared" si="3"/>
        <v>589506</v>
      </c>
      <c r="F9" s="1280">
        <f t="shared" si="4"/>
        <v>5479752.72</v>
      </c>
      <c r="G9" s="677">
        <f t="shared" si="4"/>
        <v>1594319.28</v>
      </c>
      <c r="H9" s="675">
        <f t="shared" si="0"/>
        <v>7074072</v>
      </c>
      <c r="J9" s="678">
        <v>5480</v>
      </c>
      <c r="K9" s="1112">
        <v>1594</v>
      </c>
      <c r="L9" s="680">
        <f t="shared" si="1"/>
        <v>7074</v>
      </c>
      <c r="M9" s="1073">
        <f t="shared" si="5"/>
        <v>5480</v>
      </c>
      <c r="N9" s="1115">
        <f t="shared" si="5"/>
        <v>1594</v>
      </c>
      <c r="O9" s="680">
        <f t="shared" si="2"/>
        <v>7074</v>
      </c>
    </row>
    <row r="10" spans="1:15" ht="15" customHeight="1">
      <c r="A10" s="672">
        <v>31</v>
      </c>
      <c r="B10" s="673" t="s">
        <v>15</v>
      </c>
      <c r="C10" s="676">
        <v>6119865.77</v>
      </c>
      <c r="D10" s="1109">
        <v>1500528.88</v>
      </c>
      <c r="E10" s="1274">
        <f t="shared" si="3"/>
        <v>7620394.649999999</v>
      </c>
      <c r="F10" s="1280">
        <f t="shared" si="4"/>
        <v>73438389.24</v>
      </c>
      <c r="G10" s="677">
        <f t="shared" si="4"/>
        <v>18006346.56</v>
      </c>
      <c r="H10" s="675">
        <f t="shared" si="0"/>
        <v>91444735.8</v>
      </c>
      <c r="J10" s="678">
        <v>73438</v>
      </c>
      <c r="K10" s="1112">
        <v>18006</v>
      </c>
      <c r="L10" s="680">
        <f t="shared" si="1"/>
        <v>91444</v>
      </c>
      <c r="M10" s="1073">
        <f t="shared" si="5"/>
        <v>73438</v>
      </c>
      <c r="N10" s="1115">
        <f t="shared" si="5"/>
        <v>18006</v>
      </c>
      <c r="O10" s="680">
        <f t="shared" si="2"/>
        <v>91444</v>
      </c>
    </row>
    <row r="11" spans="1:15" ht="15" customHeight="1">
      <c r="A11" s="672">
        <v>33</v>
      </c>
      <c r="B11" s="673" t="s">
        <v>16</v>
      </c>
      <c r="C11" s="676">
        <v>1203447.4</v>
      </c>
      <c r="D11" s="1109">
        <v>96568.62</v>
      </c>
      <c r="E11" s="1274">
        <f t="shared" si="3"/>
        <v>1300016.02</v>
      </c>
      <c r="F11" s="1280">
        <f t="shared" si="4"/>
        <v>14441368.799999999</v>
      </c>
      <c r="G11" s="677">
        <f t="shared" si="4"/>
        <v>1158823.44</v>
      </c>
      <c r="H11" s="675">
        <f t="shared" si="0"/>
        <v>15600192.239999998</v>
      </c>
      <c r="J11" s="678">
        <v>14441</v>
      </c>
      <c r="K11" s="1112">
        <v>1159</v>
      </c>
      <c r="L11" s="680">
        <f t="shared" si="1"/>
        <v>15600</v>
      </c>
      <c r="M11" s="1073">
        <f t="shared" si="5"/>
        <v>14441</v>
      </c>
      <c r="N11" s="1115">
        <f t="shared" si="5"/>
        <v>1159</v>
      </c>
      <c r="O11" s="680">
        <f t="shared" si="2"/>
        <v>15600</v>
      </c>
    </row>
    <row r="12" spans="1:15" ht="15" customHeight="1">
      <c r="A12" s="672">
        <v>41</v>
      </c>
      <c r="B12" s="673" t="s">
        <v>17</v>
      </c>
      <c r="C12" s="676">
        <v>609933.75</v>
      </c>
      <c r="D12" s="1109">
        <v>130633.66</v>
      </c>
      <c r="E12" s="1274">
        <f t="shared" si="3"/>
        <v>740567.41</v>
      </c>
      <c r="F12" s="1280">
        <f t="shared" si="4"/>
        <v>7319205</v>
      </c>
      <c r="G12" s="677">
        <f t="shared" si="4"/>
        <v>1567603.92</v>
      </c>
      <c r="H12" s="675">
        <f t="shared" si="0"/>
        <v>8886808.92</v>
      </c>
      <c r="J12" s="678">
        <v>7319</v>
      </c>
      <c r="K12" s="1112">
        <v>1568</v>
      </c>
      <c r="L12" s="680">
        <f t="shared" si="1"/>
        <v>8887</v>
      </c>
      <c r="M12" s="1073">
        <f t="shared" si="5"/>
        <v>7319</v>
      </c>
      <c r="N12" s="1115">
        <f t="shared" si="5"/>
        <v>1568</v>
      </c>
      <c r="O12" s="680">
        <f t="shared" si="2"/>
        <v>8887</v>
      </c>
    </row>
    <row r="13" spans="1:15" ht="15" customHeight="1">
      <c r="A13" s="672">
        <v>51</v>
      </c>
      <c r="B13" s="673" t="s">
        <v>18</v>
      </c>
      <c r="C13" s="676">
        <v>53347</v>
      </c>
      <c r="D13" s="1109">
        <v>138585</v>
      </c>
      <c r="E13" s="1274">
        <f t="shared" si="3"/>
        <v>191932</v>
      </c>
      <c r="F13" s="1280">
        <f t="shared" si="4"/>
        <v>640164</v>
      </c>
      <c r="G13" s="677">
        <f t="shared" si="4"/>
        <v>1663020</v>
      </c>
      <c r="H13" s="675">
        <f t="shared" si="0"/>
        <v>2303184</v>
      </c>
      <c r="J13" s="678">
        <v>640</v>
      </c>
      <c r="K13" s="1120">
        <f>1663+250</f>
        <v>1913</v>
      </c>
      <c r="L13" s="680">
        <f t="shared" si="1"/>
        <v>2553</v>
      </c>
      <c r="M13" s="1073">
        <f t="shared" si="5"/>
        <v>640</v>
      </c>
      <c r="N13" s="1115">
        <f t="shared" si="5"/>
        <v>1913</v>
      </c>
      <c r="O13" s="680">
        <f t="shared" si="2"/>
        <v>2553</v>
      </c>
    </row>
    <row r="14" spans="1:15" ht="15" customHeight="1">
      <c r="A14" s="681">
        <v>56</v>
      </c>
      <c r="B14" s="682" t="s">
        <v>19</v>
      </c>
      <c r="C14" s="684">
        <v>383333.32</v>
      </c>
      <c r="D14" s="1275">
        <v>197622.6</v>
      </c>
      <c r="E14" s="1276">
        <f t="shared" si="3"/>
        <v>580955.92</v>
      </c>
      <c r="F14" s="1281">
        <f t="shared" si="4"/>
        <v>4599999.84</v>
      </c>
      <c r="G14" s="1284">
        <f t="shared" si="4"/>
        <v>2371471.2</v>
      </c>
      <c r="H14" s="683">
        <f t="shared" si="0"/>
        <v>6971471.04</v>
      </c>
      <c r="J14" s="1074">
        <v>4600</v>
      </c>
      <c r="K14" s="687">
        <v>2371</v>
      </c>
      <c r="L14" s="688">
        <f t="shared" si="1"/>
        <v>6971</v>
      </c>
      <c r="M14" s="686">
        <f t="shared" si="5"/>
        <v>4600</v>
      </c>
      <c r="N14" s="1116">
        <f t="shared" si="5"/>
        <v>2371</v>
      </c>
      <c r="O14" s="688">
        <f t="shared" si="2"/>
        <v>6971</v>
      </c>
    </row>
    <row r="15" spans="1:15" ht="15" customHeight="1">
      <c r="A15" s="672">
        <v>81</v>
      </c>
      <c r="B15" s="673" t="s">
        <v>144</v>
      </c>
      <c r="C15" s="676">
        <v>403446.78</v>
      </c>
      <c r="D15" s="1109">
        <v>573711.19</v>
      </c>
      <c r="E15" s="1277">
        <f t="shared" si="3"/>
        <v>977157.97</v>
      </c>
      <c r="F15" s="1282">
        <f t="shared" si="4"/>
        <v>4841361.36</v>
      </c>
      <c r="G15" s="1285">
        <f t="shared" si="4"/>
        <v>6884534.279999999</v>
      </c>
      <c r="H15" s="675">
        <f t="shared" si="0"/>
        <v>11725895.64</v>
      </c>
      <c r="J15" s="1073">
        <v>4841</v>
      </c>
      <c r="K15" s="1113">
        <v>6885</v>
      </c>
      <c r="L15" s="689">
        <f t="shared" si="1"/>
        <v>11726</v>
      </c>
      <c r="M15" s="1073">
        <f t="shared" si="5"/>
        <v>4841</v>
      </c>
      <c r="N15" s="1110">
        <v>0</v>
      </c>
      <c r="O15" s="689">
        <f t="shared" si="2"/>
        <v>4841</v>
      </c>
    </row>
    <row r="16" spans="1:15" ht="15" customHeight="1">
      <c r="A16" s="672">
        <v>82</v>
      </c>
      <c r="B16" s="673" t="s">
        <v>4</v>
      </c>
      <c r="C16" s="676">
        <v>4486004</v>
      </c>
      <c r="D16" s="1109"/>
      <c r="E16" s="1277">
        <f t="shared" si="3"/>
        <v>4486004</v>
      </c>
      <c r="F16" s="1280">
        <f t="shared" si="4"/>
        <v>53832048</v>
      </c>
      <c r="G16" s="677">
        <f t="shared" si="4"/>
        <v>0</v>
      </c>
      <c r="H16" s="675">
        <f t="shared" si="0"/>
        <v>53832048</v>
      </c>
      <c r="J16" s="1073">
        <v>53832</v>
      </c>
      <c r="K16" s="1110">
        <v>0</v>
      </c>
      <c r="L16" s="680">
        <f t="shared" si="1"/>
        <v>53832</v>
      </c>
      <c r="M16" s="1073">
        <f t="shared" si="5"/>
        <v>53832</v>
      </c>
      <c r="N16" s="1117">
        <f>K16</f>
        <v>0</v>
      </c>
      <c r="O16" s="680">
        <f t="shared" si="2"/>
        <v>53832</v>
      </c>
    </row>
    <row r="17" spans="1:15" ht="15" customHeight="1">
      <c r="A17" s="672">
        <v>83</v>
      </c>
      <c r="B17" s="673" t="s">
        <v>193</v>
      </c>
      <c r="C17" s="676">
        <v>242</v>
      </c>
      <c r="D17" s="1109">
        <v>38257.31</v>
      </c>
      <c r="E17" s="1274">
        <f t="shared" si="3"/>
        <v>38499.31</v>
      </c>
      <c r="F17" s="1280">
        <f t="shared" si="4"/>
        <v>2904</v>
      </c>
      <c r="G17" s="677">
        <f t="shared" si="4"/>
        <v>459087.72</v>
      </c>
      <c r="H17" s="675">
        <f t="shared" si="0"/>
        <v>461991.72</v>
      </c>
      <c r="J17" s="690">
        <v>3</v>
      </c>
      <c r="K17" s="1112">
        <v>459.228</v>
      </c>
      <c r="L17" s="680">
        <f t="shared" si="1"/>
        <v>462.228</v>
      </c>
      <c r="M17" s="1073">
        <f t="shared" si="5"/>
        <v>3</v>
      </c>
      <c r="N17" s="1117">
        <f>K17</f>
        <v>459.228</v>
      </c>
      <c r="O17" s="680">
        <f t="shared" si="2"/>
        <v>462.228</v>
      </c>
    </row>
    <row r="18" spans="1:15" ht="15" customHeight="1">
      <c r="A18" s="672">
        <v>84</v>
      </c>
      <c r="B18" s="673" t="s">
        <v>192</v>
      </c>
      <c r="C18" s="676">
        <v>51485</v>
      </c>
      <c r="D18" s="1109">
        <v>10255</v>
      </c>
      <c r="E18" s="1274">
        <f t="shared" si="3"/>
        <v>61740</v>
      </c>
      <c r="F18" s="1280">
        <f t="shared" si="4"/>
        <v>617820</v>
      </c>
      <c r="G18" s="677">
        <f t="shared" si="4"/>
        <v>123060</v>
      </c>
      <c r="H18" s="675">
        <f t="shared" si="0"/>
        <v>740880</v>
      </c>
      <c r="J18" s="678">
        <v>618</v>
      </c>
      <c r="K18" s="679">
        <v>123.04666666666665</v>
      </c>
      <c r="L18" s="680">
        <f t="shared" si="1"/>
        <v>741.0466666666666</v>
      </c>
      <c r="M18" s="1073">
        <f t="shared" si="5"/>
        <v>618</v>
      </c>
      <c r="N18" s="1117">
        <f>K18</f>
        <v>123.04666666666665</v>
      </c>
      <c r="O18" s="680">
        <f t="shared" si="2"/>
        <v>741.0466666666666</v>
      </c>
    </row>
    <row r="19" spans="1:15" ht="15" customHeight="1">
      <c r="A19" s="672">
        <v>85</v>
      </c>
      <c r="B19" s="673" t="s">
        <v>272</v>
      </c>
      <c r="C19" s="676">
        <v>28503</v>
      </c>
      <c r="D19" s="1109">
        <v>20136.65</v>
      </c>
      <c r="E19" s="1274">
        <f t="shared" si="3"/>
        <v>48639.65</v>
      </c>
      <c r="F19" s="1280">
        <f t="shared" si="4"/>
        <v>342036</v>
      </c>
      <c r="G19" s="677">
        <f t="shared" si="4"/>
        <v>241639.80000000002</v>
      </c>
      <c r="H19" s="675">
        <f t="shared" si="0"/>
        <v>583675.8</v>
      </c>
      <c r="J19" s="678">
        <v>342</v>
      </c>
      <c r="K19" s="679">
        <v>242</v>
      </c>
      <c r="L19" s="936">
        <f t="shared" si="1"/>
        <v>584</v>
      </c>
      <c r="M19" s="678">
        <f t="shared" si="5"/>
        <v>342</v>
      </c>
      <c r="N19" s="1112">
        <v>0</v>
      </c>
      <c r="O19" s="936">
        <f t="shared" si="2"/>
        <v>342</v>
      </c>
    </row>
    <row r="20" spans="1:15" ht="15" customHeight="1" hidden="1">
      <c r="A20" s="672">
        <v>87</v>
      </c>
      <c r="B20" s="673" t="s">
        <v>379</v>
      </c>
      <c r="C20" s="1271"/>
      <c r="D20" s="1279"/>
      <c r="E20" s="1271"/>
      <c r="F20" s="1280">
        <f t="shared" si="4"/>
        <v>0</v>
      </c>
      <c r="G20" s="677">
        <f t="shared" si="4"/>
        <v>0</v>
      </c>
      <c r="H20" s="675">
        <f t="shared" si="0"/>
        <v>0</v>
      </c>
      <c r="J20" s="934">
        <v>0</v>
      </c>
      <c r="K20" s="935">
        <v>0</v>
      </c>
      <c r="L20" s="680">
        <f t="shared" si="1"/>
        <v>0</v>
      </c>
      <c r="M20" s="678">
        <f t="shared" si="5"/>
        <v>0</v>
      </c>
      <c r="N20" s="1112">
        <f t="shared" si="5"/>
        <v>0</v>
      </c>
      <c r="O20" s="680">
        <f t="shared" si="2"/>
        <v>0</v>
      </c>
    </row>
    <row r="21" spans="1:15" ht="15" customHeight="1">
      <c r="A21" s="672">
        <v>92</v>
      </c>
      <c r="B21" s="673" t="s">
        <v>22</v>
      </c>
      <c r="C21" s="676">
        <v>3782413.1</v>
      </c>
      <c r="D21" s="677">
        <v>1094582.64</v>
      </c>
      <c r="E21" s="1274">
        <f>SUM(C21:D21)</f>
        <v>4876995.74</v>
      </c>
      <c r="F21" s="1280">
        <f t="shared" si="4"/>
        <v>45388957.2</v>
      </c>
      <c r="G21" s="677">
        <f t="shared" si="4"/>
        <v>13134991.68</v>
      </c>
      <c r="H21" s="675">
        <f t="shared" si="0"/>
        <v>58523948.88</v>
      </c>
      <c r="J21" s="678">
        <v>45389</v>
      </c>
      <c r="K21" s="679">
        <v>13135</v>
      </c>
      <c r="L21" s="680">
        <f t="shared" si="1"/>
        <v>58524</v>
      </c>
      <c r="M21" s="678">
        <f t="shared" si="5"/>
        <v>45389</v>
      </c>
      <c r="N21" s="1114">
        <f t="shared" si="5"/>
        <v>13135</v>
      </c>
      <c r="O21" s="680">
        <f t="shared" si="2"/>
        <v>58524</v>
      </c>
    </row>
    <row r="22" spans="1:15" ht="15" customHeight="1">
      <c r="A22" s="672">
        <v>96</v>
      </c>
      <c r="B22" s="673" t="s">
        <v>52</v>
      </c>
      <c r="C22" s="676">
        <v>664</v>
      </c>
      <c r="D22" s="677">
        <v>13114</v>
      </c>
      <c r="E22" s="1274">
        <f>SUM(C22:D22)</f>
        <v>13778</v>
      </c>
      <c r="F22" s="1280">
        <f t="shared" si="4"/>
        <v>7968</v>
      </c>
      <c r="G22" s="677">
        <f t="shared" si="4"/>
        <v>157368</v>
      </c>
      <c r="H22" s="675">
        <f t="shared" si="0"/>
        <v>165336</v>
      </c>
      <c r="J22" s="678">
        <v>8</v>
      </c>
      <c r="K22" s="679">
        <v>157</v>
      </c>
      <c r="L22" s="680">
        <f t="shared" si="1"/>
        <v>165</v>
      </c>
      <c r="M22" s="678">
        <f t="shared" si="5"/>
        <v>8</v>
      </c>
      <c r="N22" s="1114">
        <f t="shared" si="5"/>
        <v>157</v>
      </c>
      <c r="O22" s="680">
        <f t="shared" si="2"/>
        <v>165</v>
      </c>
    </row>
    <row r="23" spans="1:15" ht="15" customHeight="1">
      <c r="A23" s="672">
        <v>97</v>
      </c>
      <c r="B23" s="673" t="s">
        <v>53</v>
      </c>
      <c r="C23" s="676">
        <v>823</v>
      </c>
      <c r="D23" s="677">
        <v>7516</v>
      </c>
      <c r="E23" s="1274">
        <f>SUM(C23:D23)</f>
        <v>8339</v>
      </c>
      <c r="F23" s="1280">
        <f t="shared" si="4"/>
        <v>9876</v>
      </c>
      <c r="G23" s="677">
        <f t="shared" si="4"/>
        <v>90192</v>
      </c>
      <c r="H23" s="675">
        <f t="shared" si="0"/>
        <v>100068</v>
      </c>
      <c r="J23" s="678">
        <v>10</v>
      </c>
      <c r="K23" s="679">
        <v>90</v>
      </c>
      <c r="L23" s="680">
        <f t="shared" si="1"/>
        <v>100</v>
      </c>
      <c r="M23" s="678">
        <f t="shared" si="5"/>
        <v>10</v>
      </c>
      <c r="N23" s="1114">
        <f t="shared" si="5"/>
        <v>90</v>
      </c>
      <c r="O23" s="680">
        <f t="shared" si="2"/>
        <v>100</v>
      </c>
    </row>
    <row r="24" spans="1:15" ht="15" customHeight="1">
      <c r="A24" s="681">
        <v>99</v>
      </c>
      <c r="B24" s="682" t="s">
        <v>23</v>
      </c>
      <c r="C24" s="684">
        <v>232647</v>
      </c>
      <c r="D24" s="685">
        <v>181501.41</v>
      </c>
      <c r="E24" s="1278">
        <f>SUM(C24:D24)</f>
        <v>414148.41000000003</v>
      </c>
      <c r="F24" s="1286">
        <f>C24*12+3530</f>
        <v>2795294</v>
      </c>
      <c r="G24" s="1287">
        <f>D24*12+1176</f>
        <v>2179192.92</v>
      </c>
      <c r="H24" s="683">
        <f t="shared" si="0"/>
        <v>4974486.92</v>
      </c>
      <c r="J24" s="686">
        <v>2795</v>
      </c>
      <c r="K24" s="679">
        <v>2179</v>
      </c>
      <c r="L24" s="691">
        <f t="shared" si="1"/>
        <v>4974</v>
      </c>
      <c r="M24" s="678">
        <f>J24</f>
        <v>2795</v>
      </c>
      <c r="N24" s="1114">
        <f>K24</f>
        <v>2179</v>
      </c>
      <c r="O24" s="691">
        <f t="shared" si="2"/>
        <v>4974</v>
      </c>
    </row>
    <row r="25" spans="1:15" ht="11.25">
      <c r="A25" s="692" t="s">
        <v>21</v>
      </c>
      <c r="B25" s="693"/>
      <c r="C25" s="1072">
        <f aca="true" t="shared" si="6" ref="C25:H25">SUM(C6:C24)</f>
        <v>21033835.19</v>
      </c>
      <c r="D25" s="1071">
        <f t="shared" si="6"/>
        <v>5785783.75</v>
      </c>
      <c r="E25" s="1070">
        <f t="shared" si="6"/>
        <v>26819618.939999994</v>
      </c>
      <c r="F25" s="1072">
        <f t="shared" si="6"/>
        <v>252409552.28000003</v>
      </c>
      <c r="G25" s="1071">
        <f t="shared" si="6"/>
        <v>69430581.00000001</v>
      </c>
      <c r="H25" s="1070">
        <f t="shared" si="6"/>
        <v>321840133.28000003</v>
      </c>
      <c r="J25" s="694">
        <f>SUM(J6:J24)</f>
        <v>252409</v>
      </c>
      <c r="K25" s="695">
        <f>SUM(K6:K24)</f>
        <v>69680.27466666666</v>
      </c>
      <c r="L25" s="696">
        <f t="shared" si="1"/>
        <v>322089.27466666664</v>
      </c>
      <c r="M25" s="694">
        <f>SUM(M6:M24)</f>
        <v>252409</v>
      </c>
      <c r="N25" s="697">
        <f>SUM(N6:N24)</f>
        <v>62553.27466666667</v>
      </c>
      <c r="O25" s="696">
        <f t="shared" si="2"/>
        <v>314962.2746666667</v>
      </c>
    </row>
    <row r="26" spans="1:15" ht="11.25">
      <c r="A26" s="698" t="s">
        <v>273</v>
      </c>
      <c r="B26" s="699"/>
      <c r="C26" s="700">
        <f aca="true" t="shared" si="7" ref="C26:H26">SUM(C6:C14)</f>
        <v>12047607.31</v>
      </c>
      <c r="D26" s="674">
        <f t="shared" si="7"/>
        <v>3846709.5500000003</v>
      </c>
      <c r="E26" s="701">
        <f t="shared" si="7"/>
        <v>15894316.86</v>
      </c>
      <c r="F26" s="700">
        <f t="shared" si="7"/>
        <v>144571287.72</v>
      </c>
      <c r="G26" s="674">
        <f t="shared" si="7"/>
        <v>46160514.60000001</v>
      </c>
      <c r="H26" s="701">
        <f t="shared" si="7"/>
        <v>190731802.32</v>
      </c>
      <c r="J26" s="702">
        <f aca="true" t="shared" si="8" ref="J26:O26">SUM(J6:J14)</f>
        <v>144571</v>
      </c>
      <c r="K26" s="679">
        <f t="shared" si="8"/>
        <v>46410</v>
      </c>
      <c r="L26" s="703">
        <f t="shared" si="8"/>
        <v>190981</v>
      </c>
      <c r="M26" s="702">
        <f t="shared" si="8"/>
        <v>144571</v>
      </c>
      <c r="N26" s="1056">
        <f t="shared" si="8"/>
        <v>46410</v>
      </c>
      <c r="O26" s="703">
        <f t="shared" si="8"/>
        <v>190981</v>
      </c>
    </row>
    <row r="27" spans="1:15" ht="12" thickBot="1">
      <c r="A27" s="704" t="s">
        <v>26</v>
      </c>
      <c r="B27" s="705"/>
      <c r="C27" s="706">
        <f aca="true" t="shared" si="9" ref="C27:H27">SUM(C15:C24)</f>
        <v>8986227.88</v>
      </c>
      <c r="D27" s="707">
        <f t="shared" si="9"/>
        <v>1939074.2</v>
      </c>
      <c r="E27" s="708">
        <f t="shared" si="9"/>
        <v>10925302.08</v>
      </c>
      <c r="F27" s="706">
        <f t="shared" si="9"/>
        <v>107838264.56</v>
      </c>
      <c r="G27" s="707">
        <f t="shared" si="9"/>
        <v>23270066.4</v>
      </c>
      <c r="H27" s="708">
        <f t="shared" si="9"/>
        <v>131108330.96</v>
      </c>
      <c r="J27" s="709">
        <f aca="true" t="shared" si="10" ref="J27:O27">SUM(J15:J24)</f>
        <v>107838</v>
      </c>
      <c r="K27" s="710">
        <f t="shared" si="10"/>
        <v>23270.274666666668</v>
      </c>
      <c r="L27" s="711">
        <f t="shared" si="10"/>
        <v>131108.27466666666</v>
      </c>
      <c r="M27" s="709">
        <f t="shared" si="10"/>
        <v>107838</v>
      </c>
      <c r="N27" s="1057">
        <f t="shared" si="10"/>
        <v>16143.274666666666</v>
      </c>
      <c r="O27" s="711">
        <f t="shared" si="10"/>
        <v>123981.27466666666</v>
      </c>
    </row>
    <row r="28" spans="6:15" ht="11.25" customHeight="1" hidden="1">
      <c r="F28" s="712">
        <f aca="true" t="shared" si="11" ref="F28:H30">F25/$H$25*100</f>
        <v>78.42699718881995</v>
      </c>
      <c r="G28" s="712">
        <f t="shared" si="11"/>
        <v>21.573002811180046</v>
      </c>
      <c r="H28" s="712">
        <f t="shared" si="11"/>
        <v>100</v>
      </c>
      <c r="J28" s="713">
        <f aca="true" t="shared" si="12" ref="J28:J33">J25/L25*100</f>
        <v>78.36616114001951</v>
      </c>
      <c r="K28" s="713">
        <f aca="true" t="shared" si="13" ref="K28:K33">K25/L25*100</f>
        <v>21.633838859980504</v>
      </c>
      <c r="L28" s="713">
        <f aca="true" t="shared" si="14" ref="L28:L33">J28+K28</f>
        <v>100.00000000000001</v>
      </c>
      <c r="M28" s="713">
        <f aca="true" t="shared" si="15" ref="M28:M33">M25/O25*100</f>
        <v>80.13943900650688</v>
      </c>
      <c r="N28" s="713">
        <f aca="true" t="shared" si="16" ref="N28:N33">N25/O25*100</f>
        <v>19.86056099349312</v>
      </c>
      <c r="O28" s="713">
        <f aca="true" t="shared" si="17" ref="O28:O33">M28+N28</f>
        <v>100</v>
      </c>
    </row>
    <row r="29" spans="6:15" ht="11.25" customHeight="1" hidden="1">
      <c r="F29" s="712">
        <f t="shared" si="11"/>
        <v>44.92021745287539</v>
      </c>
      <c r="G29" s="712">
        <f t="shared" si="11"/>
        <v>14.342684403452097</v>
      </c>
      <c r="H29" s="712">
        <f t="shared" si="11"/>
        <v>59.26290185632749</v>
      </c>
      <c r="J29" s="713">
        <f t="shared" si="12"/>
        <v>75.69915331891654</v>
      </c>
      <c r="K29" s="713">
        <f t="shared" si="13"/>
        <v>24.300846681083456</v>
      </c>
      <c r="L29" s="713">
        <f t="shared" si="14"/>
        <v>100</v>
      </c>
      <c r="M29" s="713">
        <f t="shared" si="15"/>
        <v>75.69915331891654</v>
      </c>
      <c r="N29" s="713">
        <f t="shared" si="16"/>
        <v>24.300846681083456</v>
      </c>
      <c r="O29" s="713">
        <f t="shared" si="17"/>
        <v>100</v>
      </c>
    </row>
    <row r="30" spans="6:15" ht="11.25" customHeight="1" hidden="1">
      <c r="F30" s="712">
        <f t="shared" si="11"/>
        <v>33.50677973594456</v>
      </c>
      <c r="G30" s="712">
        <f t="shared" si="11"/>
        <v>7.230318407727947</v>
      </c>
      <c r="H30" s="712">
        <f t="shared" si="11"/>
        <v>40.7370981436725</v>
      </c>
      <c r="J30" s="713">
        <f t="shared" si="12"/>
        <v>82.25110144586246</v>
      </c>
      <c r="K30" s="713">
        <f t="shared" si="13"/>
        <v>17.748898554137536</v>
      </c>
      <c r="L30" s="713">
        <f t="shared" si="14"/>
        <v>100</v>
      </c>
      <c r="M30" s="713">
        <f t="shared" si="15"/>
        <v>86.97926383635826</v>
      </c>
      <c r="N30" s="713">
        <f t="shared" si="16"/>
        <v>13.020736163641743</v>
      </c>
      <c r="O30" s="713">
        <f t="shared" si="17"/>
        <v>100</v>
      </c>
    </row>
    <row r="31" spans="6:15" ht="11.25">
      <c r="F31" s="714"/>
      <c r="G31" s="714"/>
      <c r="H31" s="714"/>
      <c r="J31" s="713">
        <f t="shared" si="12"/>
        <v>78.36616114001951</v>
      </c>
      <c r="K31" s="713">
        <f t="shared" si="13"/>
        <v>21.6338388599805</v>
      </c>
      <c r="L31" s="713">
        <f t="shared" si="14"/>
        <v>100.00000000000001</v>
      </c>
      <c r="M31" s="713">
        <f t="shared" si="15"/>
        <v>80.13943900650688</v>
      </c>
      <c r="N31" s="713">
        <f t="shared" si="16"/>
        <v>19.86056099349312</v>
      </c>
      <c r="O31" s="713">
        <f t="shared" si="17"/>
        <v>100</v>
      </c>
    </row>
    <row r="32" spans="1:15" ht="11.25">
      <c r="A32" s="715"/>
      <c r="B32" s="716"/>
      <c r="C32" s="716"/>
      <c r="D32" s="716"/>
      <c r="E32" s="716"/>
      <c r="F32" s="714"/>
      <c r="G32" s="714"/>
      <c r="H32" s="714"/>
      <c r="J32" s="713">
        <f t="shared" si="12"/>
        <v>75.69915331891654</v>
      </c>
      <c r="K32" s="713">
        <f t="shared" si="13"/>
        <v>24.300846681083456</v>
      </c>
      <c r="L32" s="713">
        <f t="shared" si="14"/>
        <v>100</v>
      </c>
      <c r="M32" s="713">
        <f t="shared" si="15"/>
        <v>75.69915331891654</v>
      </c>
      <c r="N32" s="713">
        <f t="shared" si="16"/>
        <v>24.300846681083456</v>
      </c>
      <c r="O32" s="713">
        <f t="shared" si="17"/>
        <v>100</v>
      </c>
    </row>
    <row r="33" spans="6:15" ht="11.25">
      <c r="F33" s="714"/>
      <c r="G33" s="714"/>
      <c r="H33" s="714"/>
      <c r="J33" s="713">
        <f t="shared" si="12"/>
        <v>82.25110144586246</v>
      </c>
      <c r="K33" s="713">
        <f t="shared" si="13"/>
        <v>17.748898554137536</v>
      </c>
      <c r="L33" s="713">
        <f t="shared" si="14"/>
        <v>100</v>
      </c>
      <c r="M33" s="713">
        <f t="shared" si="15"/>
        <v>86.97926383635826</v>
      </c>
      <c r="N33" s="713">
        <f t="shared" si="16"/>
        <v>13.020736163641743</v>
      </c>
      <c r="O33" s="713">
        <f t="shared" si="17"/>
        <v>100</v>
      </c>
    </row>
    <row r="34" spans="1:5" s="665" customFormat="1" ht="11.25">
      <c r="A34" s="1288" t="s">
        <v>532</v>
      </c>
      <c r="B34" s="717"/>
      <c r="C34" s="717"/>
      <c r="D34" s="717"/>
      <c r="E34" s="717"/>
    </row>
    <row r="35" spans="1:5" s="665" customFormat="1" ht="11.25">
      <c r="A35" s="1289" t="s">
        <v>514</v>
      </c>
      <c r="B35" s="717"/>
      <c r="C35" s="717"/>
      <c r="D35" s="717"/>
      <c r="E35" s="717"/>
    </row>
    <row r="36" spans="6:8" ht="11.25">
      <c r="F36" s="714"/>
      <c r="G36" s="714"/>
      <c r="H36" s="714"/>
    </row>
    <row r="37" spans="1:5" ht="11.25">
      <c r="A37" s="1118" t="s">
        <v>525</v>
      </c>
      <c r="B37" s="1119"/>
      <c r="C37" s="1119"/>
      <c r="D37" s="1119"/>
      <c r="E37" s="1119"/>
    </row>
    <row r="38" ht="11.25">
      <c r="A38" s="648" t="s">
        <v>274</v>
      </c>
    </row>
    <row r="39" ht="11.25">
      <c r="A39" s="648"/>
    </row>
  </sheetData>
  <mergeCells count="6">
    <mergeCell ref="J2:L2"/>
    <mergeCell ref="M2:O2"/>
    <mergeCell ref="F3:H3"/>
    <mergeCell ref="C3:E3"/>
    <mergeCell ref="J3:L3"/>
    <mergeCell ref="M3:O3"/>
  </mergeCells>
  <printOptions/>
  <pageMargins left="0.41" right="0.32" top="0.64" bottom="0.57" header="0.4921259845" footer="0.4921259845"/>
  <pageSetup horizontalDpi="600" verticalDpi="600" orientation="portrait" paperSize="9" scale="90" r:id="rId1"/>
  <headerFooter alignWithMargins="0">
    <oddHeader>&amp;RPříloha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Foukalova</dc:creator>
  <cp:keywords/>
  <dc:description/>
  <cp:lastModifiedBy>Foukalova</cp:lastModifiedBy>
  <cp:lastPrinted>2009-02-28T11:05:45Z</cp:lastPrinted>
  <dcterms:created xsi:type="dcterms:W3CDTF">2002-02-05T08:08:05Z</dcterms:created>
  <dcterms:modified xsi:type="dcterms:W3CDTF">2009-04-17T13:17:45Z</dcterms:modified>
  <cp:category/>
  <cp:version/>
  <cp:contentType/>
  <cp:contentStatus/>
</cp:coreProperties>
</file>