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15" windowHeight="10845" tabRatio="599" activeTab="5"/>
  </bookViews>
  <sheets>
    <sheet name="str1-3" sheetId="1" r:id="rId1"/>
    <sheet name="str4" sheetId="2" r:id="rId2"/>
    <sheet name="od str 5" sheetId="3" r:id="rId3"/>
    <sheet name="příl1-přísp1-MV" sheetId="4" r:id="rId4"/>
    <sheet name="příl2-přísp2" sheetId="5" r:id="rId5"/>
    <sheet name="příl3-osnova rozpočtu" sheetId="6" r:id="rId6"/>
    <sheet name="příl4-opravy" sheetId="7" r:id="rId7"/>
    <sheet name="příl.5-odhad odpisu" sheetId="8" r:id="rId8"/>
  </sheets>
  <definedNames>
    <definedName name="bla">#REF!</definedName>
    <definedName name="_xlnm.Print_Titles" localSheetId="7">'příl.5-odhad odpisu'!$A:$B</definedName>
    <definedName name="_xlnm.Print_Area" localSheetId="6">'příl4-opravy'!$B$3:$F$46</definedName>
  </definedNames>
  <calcPr fullCalcOnLoad="1"/>
</workbook>
</file>

<file path=xl/comments4.xml><?xml version="1.0" encoding="utf-8"?>
<comments xmlns="http://schemas.openxmlformats.org/spreadsheetml/2006/main">
  <authors>
    <author>Jarka</author>
  </authors>
  <commentList>
    <comment ref="N4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Jarka</author>
  </authors>
  <commentList>
    <comment ref="N5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  <comment ref="N128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<sst xmlns="http://schemas.openxmlformats.org/spreadsheetml/2006/main" count="840" uniqueCount="539">
  <si>
    <t xml:space="preserve">   vklad NEI pro Program</t>
  </si>
  <si>
    <t>Příspěvek celkem</t>
  </si>
  <si>
    <t>SUKB</t>
  </si>
  <si>
    <t>(v tis.Kč)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</si>
  <si>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</si>
  <si>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</si>
  <si>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</si>
  <si>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</si>
  <si>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</si>
  <si>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</si>
  <si>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</si>
  <si>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</si>
  <si>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</si>
  <si>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</si>
  <si>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</si>
  <si>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</si>
  <si>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</si>
  <si>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</si>
  <si>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MU</t>
  </si>
  <si>
    <t>celkem</t>
  </si>
  <si>
    <t>ÚVT</t>
  </si>
  <si>
    <t>RMU</t>
  </si>
  <si>
    <t>vzděl.č.</t>
  </si>
  <si>
    <t>ostatní</t>
  </si>
  <si>
    <t>váha kritéria</t>
  </si>
  <si>
    <t>Přínos</t>
  </si>
  <si>
    <t>na studijní</t>
  </si>
  <si>
    <t>programy</t>
  </si>
  <si>
    <t>obory</t>
  </si>
  <si>
    <t>na</t>
  </si>
  <si>
    <t>kredity</t>
  </si>
  <si>
    <t>přep.</t>
  </si>
  <si>
    <t>podíl</t>
  </si>
  <si>
    <t>přínos</t>
  </si>
  <si>
    <t>počet</t>
  </si>
  <si>
    <t>plocha</t>
  </si>
  <si>
    <t>ze vzděl.</t>
  </si>
  <si>
    <t>stud.</t>
  </si>
  <si>
    <t>zam.</t>
  </si>
  <si>
    <t>činnosti</t>
  </si>
  <si>
    <t>výzkum</t>
  </si>
  <si>
    <t>kap.</t>
  </si>
  <si>
    <t>plochy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</si>
  <si>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</si>
  <si>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</si>
  <si>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</si>
  <si>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</si>
  <si>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</si>
  <si>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</si>
  <si>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</si>
  <si>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</si>
  <si>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81 - SKM</t>
  </si>
  <si>
    <t>96 - CJV</t>
  </si>
  <si>
    <t>97 - CZS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</si>
  <si>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</si>
  <si>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</si>
  <si>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</si>
  <si>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</si>
  <si>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</si>
  <si>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</si>
  <si>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</si>
  <si>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</si>
  <si>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</si>
  <si>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</si>
  <si>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</si>
  <si>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</si>
  <si>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</si>
  <si>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</si>
  <si>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</si>
  <si>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</si>
  <si>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</si>
  <si>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</si>
  <si>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</si>
  <si>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</si>
  <si>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</si>
  <si>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</si>
  <si>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</si>
  <si>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</si>
  <si>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</si>
  <si>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</si>
  <si>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</si>
  <si>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</si>
  <si>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</si>
  <si>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G-FRVŠ</t>
  </si>
  <si>
    <t>116*</t>
  </si>
  <si>
    <t>Ostatní dotace ze SR a od úz.celků bez VaV</t>
  </si>
  <si>
    <t>151*,161*</t>
  </si>
  <si>
    <t>Výzkumné záměry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</si>
  <si>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</si>
  <si>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</si>
  <si>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</si>
  <si>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</si>
  <si>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</si>
  <si>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</si>
  <si>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</si>
  <si>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</si>
  <si>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na spec.</t>
  </si>
  <si>
    <t>Celkem MU</t>
  </si>
  <si>
    <t>specif.v</t>
  </si>
  <si>
    <t>na specif.</t>
  </si>
  <si>
    <t>odpis</t>
  </si>
  <si>
    <t>na tvorbě</t>
  </si>
  <si>
    <t>odpisů</t>
  </si>
  <si>
    <t>Ostatní</t>
  </si>
  <si>
    <t>Koeficient</t>
  </si>
  <si>
    <t>SKM</t>
  </si>
  <si>
    <t>zůstatek</t>
  </si>
  <si>
    <t>HS</t>
  </si>
  <si>
    <t>94 - VMU</t>
  </si>
  <si>
    <t>Poříčí 31</t>
  </si>
  <si>
    <t xml:space="preserve">příloha 3 -  </t>
  </si>
  <si>
    <t>Podíl na</t>
  </si>
  <si>
    <t>přínosu</t>
  </si>
  <si>
    <t>na ploše</t>
  </si>
  <si>
    <t>příspěvek</t>
  </si>
  <si>
    <t>Fak. celk.</t>
  </si>
  <si>
    <t>nedot.</t>
  </si>
  <si>
    <t>Celkem</t>
  </si>
  <si>
    <t>RS</t>
  </si>
  <si>
    <t>Přísp 1</t>
  </si>
  <si>
    <t>Přísp 2</t>
  </si>
  <si>
    <t>dot.</t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</si>
  <si>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</si>
  <si>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Schváleno v AS fakulty dne:</t>
  </si>
  <si>
    <t>Podpis:</t>
  </si>
  <si>
    <t>82 - Správa UKB</t>
  </si>
  <si>
    <t>99 - RMU</t>
  </si>
  <si>
    <t>energetický management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</si>
  <si>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</si>
  <si>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</si>
  <si>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</si>
  <si>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</si>
  <si>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>provozní náklady ILBIT - do nastěhování fakult  (4 437 tis./rok)</t>
  </si>
  <si>
    <t>xxx</t>
  </si>
  <si>
    <t xml:space="preserve"> celkem nové náklady - účtováno přes ÚVT</t>
  </si>
  <si>
    <t>bez</t>
  </si>
  <si>
    <t>84 - SPSSN</t>
  </si>
  <si>
    <t>dotační</t>
  </si>
  <si>
    <t>nedotační</t>
  </si>
  <si>
    <t>SPSSN</t>
  </si>
  <si>
    <t>UCT</t>
  </si>
  <si>
    <t>odvod</t>
  </si>
  <si>
    <t>na rozvoj</t>
  </si>
  <si>
    <t xml:space="preserve">odvoz </t>
  </si>
  <si>
    <t>na provoz</t>
  </si>
  <si>
    <t>přinos</t>
  </si>
  <si>
    <t xml:space="preserve">přínos </t>
  </si>
  <si>
    <t>rozdělení</t>
  </si>
  <si>
    <t>83 - UCT</t>
  </si>
  <si>
    <r>
      <t xml:space="preserve">   financování nedotačních odpisů fakult </t>
    </r>
    <r>
      <rPr>
        <sz val="9"/>
        <rFont val="Arial CE"/>
        <family val="0"/>
      </rPr>
      <t>(odpisy majetku, který nebyl pořízen z dotace)</t>
    </r>
  </si>
  <si>
    <t xml:space="preserve">   financování nedotačních odpisů režijních pracovišť</t>
  </si>
  <si>
    <t>výměna NEI/INV</t>
  </si>
  <si>
    <t xml:space="preserve">RMU </t>
  </si>
  <si>
    <t>režijní prac.(ř.52-61)</t>
  </si>
  <si>
    <t>příspěvek 2</t>
  </si>
  <si>
    <t>přísp. 1</t>
  </si>
  <si>
    <t>přísp. 2</t>
  </si>
  <si>
    <t xml:space="preserve">pojištění zahr.cest </t>
  </si>
  <si>
    <t>Financování odpisů režijních součástí (nedotačních)</t>
  </si>
  <si>
    <t xml:space="preserve">92 - ÚVT </t>
  </si>
  <si>
    <t>pojištění majetku MU a studentů</t>
  </si>
  <si>
    <t>Program 233 332 (rež.nákl.prac.UKB), 2006 převod do rozp.RMU</t>
  </si>
  <si>
    <t>interní vzdělávání</t>
  </si>
  <si>
    <t>právní poradenství</t>
  </si>
  <si>
    <t xml:space="preserve">znalecké posudky 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</si>
  <si>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</si>
  <si>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</si>
  <si>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</si>
  <si>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</si>
  <si>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</si>
  <si>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</si>
  <si>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>věcná břemena</t>
  </si>
  <si>
    <t>obnova vybavení CPS</t>
  </si>
  <si>
    <t>všeobecná tělesná výchova</t>
  </si>
  <si>
    <t>pronájmy pro KSA</t>
  </si>
  <si>
    <t xml:space="preserve"> celkem účtováno přes FSpS</t>
  </si>
  <si>
    <r>
      <t xml:space="preserve">nájem Údolní (bez tělocvičny) </t>
    </r>
    <r>
      <rPr>
        <sz val="9"/>
        <rFont val="Arial CE"/>
        <family val="0"/>
      </rPr>
      <t>+ pozemek nám.Míru</t>
    </r>
  </si>
  <si>
    <t xml:space="preserve">I. Normativní prostředky z MŠMT </t>
  </si>
  <si>
    <t xml:space="preserve">   příspěvek na vzdělávací činnost</t>
  </si>
  <si>
    <t>převod</t>
  </si>
  <si>
    <t xml:space="preserve">plán </t>
  </si>
  <si>
    <t>do FPP</t>
  </si>
  <si>
    <t xml:space="preserve">  na Program</t>
  </si>
  <si>
    <t xml:space="preserve">  na ostatní akce</t>
  </si>
  <si>
    <t xml:space="preserve">Financování nedotačních odpisů fakult </t>
  </si>
  <si>
    <t>85 - IBA</t>
  </si>
  <si>
    <t xml:space="preserve">   Původní plán na podprogram 233 332 - UKB</t>
  </si>
  <si>
    <t xml:space="preserve">internacionalizace MU  </t>
  </si>
  <si>
    <t>jazykové kurzy</t>
  </si>
  <si>
    <t xml:space="preserve">databáze absolventů </t>
  </si>
  <si>
    <t xml:space="preserve">U3V </t>
  </si>
  <si>
    <t xml:space="preserve">Poradenské centrum </t>
  </si>
  <si>
    <t>studentské projekty (program rektora)</t>
  </si>
  <si>
    <t xml:space="preserve">nájem Tomešova </t>
  </si>
  <si>
    <t xml:space="preserve">       úhrada reko formou nájemného (čas.rozlišeno)</t>
  </si>
  <si>
    <t>stěhování do UKB - LF</t>
  </si>
  <si>
    <t xml:space="preserve">stěhování do UKB - PřF </t>
  </si>
  <si>
    <t xml:space="preserve">rozvoj IS MU </t>
  </si>
  <si>
    <t xml:space="preserve">počítačové studovny </t>
  </si>
  <si>
    <t>nájem Šumavská</t>
  </si>
  <si>
    <t xml:space="preserve"> celkem účtováno přes SPSSN</t>
  </si>
  <si>
    <t>SKM (81)</t>
  </si>
  <si>
    <t>SUKB (82)</t>
  </si>
  <si>
    <t>UCT (83)</t>
  </si>
  <si>
    <t>SPSSN (84)</t>
  </si>
  <si>
    <t>IBA (85)</t>
  </si>
  <si>
    <t>ÚVT (92)</t>
  </si>
  <si>
    <t>CZS (97)</t>
  </si>
  <si>
    <t>RMU (99)</t>
  </si>
  <si>
    <t>IBA</t>
  </si>
  <si>
    <t>z toho fak.</t>
  </si>
  <si>
    <t>Zpracovala: Foukalová</t>
  </si>
  <si>
    <t>provozní pasport (technologický pasport budov )</t>
  </si>
  <si>
    <t>časopis muni.cz vč.fotobanky</t>
  </si>
  <si>
    <t>veletrhy zahraniční</t>
  </si>
  <si>
    <r>
      <t xml:space="preserve">rezerva </t>
    </r>
    <r>
      <rPr>
        <sz val="8"/>
        <rFont val="Arial CE"/>
        <family val="0"/>
      </rPr>
      <t>(1% z příspěvku na ukazatel A, max.16 mil.)</t>
    </r>
  </si>
  <si>
    <t>Převody z fondů/použití fondů</t>
  </si>
  <si>
    <t>fondů</t>
  </si>
  <si>
    <t>FPP</t>
  </si>
  <si>
    <t>FÚUP</t>
  </si>
  <si>
    <t>FO</t>
  </si>
  <si>
    <t>Fstip</t>
  </si>
  <si>
    <t>Náklady celkem (ř.2+14až25)</t>
  </si>
  <si>
    <t xml:space="preserve"> A-vzděl.č.,specif.VaV,SKM,vlastní,fondy:</t>
  </si>
  <si>
    <t>115*,118*,114*</t>
  </si>
  <si>
    <t>13* bez 139*,14*</t>
  </si>
  <si>
    <t>119*, 139*</t>
  </si>
  <si>
    <t xml:space="preserve">Účelové příspěvky  na VaV </t>
  </si>
  <si>
    <t>251*</t>
  </si>
  <si>
    <t>Výnosy celkem (ř.27 až 43)</t>
  </si>
  <si>
    <t>A-příspěvek na vzdělávací činnost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</si>
  <si>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</si>
  <si>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</si>
  <si>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</si>
  <si>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</si>
  <si>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</si>
  <si>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>Vlastní zdroje (hl.č.za úplatu)</t>
  </si>
  <si>
    <t>Hospodářský výsledek dílčí (ř.27+32+36+41+42+43-2-25)</t>
  </si>
  <si>
    <t>Hospodářský výsledek (ř.26-1)</t>
  </si>
  <si>
    <t>Komentář: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</si>
  <si>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</si>
  <si>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</si>
  <si>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Prostředky získané ze SR jako spolupříjemci (partneři) dotačních projektů plánujte - projekty VaV na ř. 24 a 40, ostatní (většinou projekty spolufinancované EU) na ř. 20 a 35</t>
  </si>
  <si>
    <t xml:space="preserve">   Příspěvek. Celkem (ř.9+ř.14)</t>
  </si>
  <si>
    <t xml:space="preserve">   K rozdělení fakultám (ř.15-ř.16)</t>
  </si>
  <si>
    <t>celk.</t>
  </si>
  <si>
    <t xml:space="preserve">rozdíl </t>
  </si>
  <si>
    <t>po odpoč.</t>
  </si>
  <si>
    <t>k.součet</t>
  </si>
  <si>
    <t>bez dotace na odpisy fak.</t>
  </si>
  <si>
    <t>změna výp.odvodu</t>
  </si>
  <si>
    <t>rozpis</t>
  </si>
  <si>
    <t>název akce</t>
  </si>
  <si>
    <t>místo</t>
  </si>
  <si>
    <t>Veveří 70</t>
  </si>
  <si>
    <t xml:space="preserve">FF </t>
  </si>
  <si>
    <t xml:space="preserve">příloha 4 -  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</si>
  <si>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</si>
  <si>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</si>
  <si>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</si>
  <si>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</si>
  <si>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přiděleno</t>
  </si>
  <si>
    <t>odvody</t>
  </si>
  <si>
    <t>Náklady na dotační odpisy plánujte na ř. 11, odpovídající částku účtovanou dle vyhl.504 do výnosů plánujte na ř. 41.</t>
  </si>
  <si>
    <t>součet</t>
  </si>
  <si>
    <t>Centrum pro radiační,chem.a biol.bezpečnost</t>
  </si>
  <si>
    <t>výroční zprávy</t>
  </si>
  <si>
    <t>DVD prezentace MU</t>
  </si>
  <si>
    <t>bydleni.muni.cz</t>
  </si>
  <si>
    <t>příprava a spolufinancování projektů VaVpI, VpK,…</t>
  </si>
  <si>
    <t>Mendel muzeum</t>
  </si>
  <si>
    <t xml:space="preserve">posudky na rozvojové projekty </t>
  </si>
  <si>
    <t>oponentury 1M a LC</t>
  </si>
  <si>
    <t xml:space="preserve">Kariérní centrum </t>
  </si>
  <si>
    <t>CTT - skupina pro veř.zdroje</t>
  </si>
  <si>
    <t xml:space="preserve">       nájemné ve FNB, Jihlavská</t>
  </si>
  <si>
    <t xml:space="preserve">       nájemné Bieblova (soc.lék.)</t>
  </si>
  <si>
    <t>SW licence (antivir.ochrana, campus licence,ALEPH,..)</t>
  </si>
  <si>
    <t>Statistica</t>
  </si>
  <si>
    <t>Evidence SW licencí</t>
  </si>
  <si>
    <t>Pohotovosti-Magion,Inet,www.muni.cz</t>
  </si>
  <si>
    <t>pozáruční servis "Privátní hlasové sítě"</t>
  </si>
  <si>
    <t>roční popl.za pronájem kolektorů</t>
  </si>
  <si>
    <t>centrální správa tiskových center fakult</t>
  </si>
  <si>
    <t>servisní podpora zařízení Cisco MU</t>
  </si>
  <si>
    <t>GOTEX-provozní nákl.</t>
  </si>
  <si>
    <t>Oracle-čas.rozlišení nákl.z RP 2007</t>
  </si>
  <si>
    <t>centrální datové úložiště MU</t>
  </si>
  <si>
    <t>bezpečnost sítě</t>
  </si>
  <si>
    <t xml:space="preserve">CJV (96) </t>
  </si>
  <si>
    <r>
      <t xml:space="preserve">stěhování PřF z Údolní a Janáč.nám. </t>
    </r>
    <r>
      <rPr>
        <sz val="9"/>
        <color indexed="9"/>
        <rFont val="Arial CE"/>
        <family val="0"/>
      </rPr>
      <t>do/z Řečkovic</t>
    </r>
  </si>
  <si>
    <t>CTT</t>
  </si>
  <si>
    <t>celkem účtováno přes CTT</t>
  </si>
  <si>
    <t>NEI+INV</t>
  </si>
  <si>
    <t>normativ</t>
  </si>
  <si>
    <t>v % z</t>
  </si>
  <si>
    <t>normativu</t>
  </si>
  <si>
    <r>
      <t xml:space="preserve">CA </t>
    </r>
    <r>
      <rPr>
        <i/>
        <vertAlign val="superscript"/>
        <sz val="10"/>
        <rFont val="Arial CE"/>
        <family val="0"/>
      </rPr>
      <t>*)</t>
    </r>
  </si>
  <si>
    <t>CTT (87)</t>
  </si>
  <si>
    <t>Schválil:</t>
  </si>
  <si>
    <t>Příkazce operace:</t>
  </si>
  <si>
    <t>Doc.Ing.L.Janíček, PhD.,MBA</t>
  </si>
  <si>
    <t>Správce rozpočtu:</t>
  </si>
  <si>
    <t>datum a podpis</t>
  </si>
  <si>
    <r>
      <t xml:space="preserve">Hosp.středisko: </t>
    </r>
    <r>
      <rPr>
        <sz val="10"/>
        <color indexed="12"/>
        <rFont val="Arial CE"/>
        <family val="0"/>
      </rPr>
      <t>&lt;</t>
    </r>
    <r>
      <rPr>
        <b/>
        <i/>
        <sz val="10"/>
        <color indexed="12"/>
        <rFont val="Arial CE"/>
        <family val="0"/>
      </rPr>
      <t>doplnit č.HS a název&gt;</t>
    </r>
  </si>
  <si>
    <t>Ing.Jana Foukalová</t>
  </si>
  <si>
    <t>přidělené</t>
  </si>
  <si>
    <t>prostředky</t>
  </si>
  <si>
    <t>rok 2009</t>
  </si>
  <si>
    <t>r o k   2 0 0 9</t>
  </si>
  <si>
    <t>Veslařská 70</t>
  </si>
  <si>
    <t>Kotlářská 2</t>
  </si>
  <si>
    <t xml:space="preserve">oprava střechy </t>
  </si>
  <si>
    <t>Klácelova 2</t>
  </si>
  <si>
    <t>Fsoc</t>
  </si>
  <si>
    <r>
      <t>111*,12*,117*,152*,153*,157*,159*,167*,169*,</t>
    </r>
    <r>
      <rPr>
        <sz val="8"/>
        <rFont val="Arial CE"/>
        <family val="0"/>
      </rPr>
      <t>19*</t>
    </r>
    <r>
      <rPr>
        <sz val="8"/>
        <rFont val="Arial CE"/>
        <family val="2"/>
      </rPr>
      <t xml:space="preserve">,211* </t>
    </r>
    <r>
      <rPr>
        <sz val="8"/>
        <color indexed="10"/>
        <rFont val="Arial CE"/>
        <family val="0"/>
      </rPr>
      <t>- 2115</t>
    </r>
    <r>
      <rPr>
        <sz val="8"/>
        <rFont val="Arial CE"/>
        <family val="2"/>
      </rPr>
      <t>,257*,259*,267*,269*,4*</t>
    </r>
  </si>
  <si>
    <t>požadavky</t>
  </si>
  <si>
    <t>87 - CTT</t>
  </si>
  <si>
    <t xml:space="preserve">   manager Programu (náhrada za BOVIS)</t>
  </si>
  <si>
    <t>velké opravy a údržba</t>
  </si>
  <si>
    <t>veletrhy (Gaudeamus a zahr.)</t>
  </si>
  <si>
    <t xml:space="preserve">provoz auly </t>
  </si>
  <si>
    <t>90. výročí MU</t>
  </si>
  <si>
    <t xml:space="preserve">kurzy češtiny </t>
  </si>
  <si>
    <t>Vydavatelství</t>
  </si>
  <si>
    <t>1a</t>
  </si>
  <si>
    <t>1b</t>
  </si>
  <si>
    <t xml:space="preserve">   Podprogram 233 332 - UKB </t>
  </si>
  <si>
    <t>studentské radio</t>
  </si>
  <si>
    <t>organizační zajištění projektů RMU</t>
  </si>
  <si>
    <t>Khonovo stipendium (CZS)</t>
  </si>
  <si>
    <t>propagační akce VaV (Festival vědy, akce Žirafa)</t>
  </si>
  <si>
    <r>
      <t xml:space="preserve">ochrana duševního vlastnictví </t>
    </r>
    <r>
      <rPr>
        <sz val="8"/>
        <rFont val="Arial CE"/>
        <family val="0"/>
      </rPr>
      <t>(vč.udržovacích popl. a odpisů)</t>
    </r>
  </si>
  <si>
    <t>nájem archiv</t>
  </si>
  <si>
    <t>stěhování FSpS do UKB</t>
  </si>
  <si>
    <t>stěhování FF z Údolní</t>
  </si>
  <si>
    <t xml:space="preserve"> CTT</t>
  </si>
  <si>
    <t xml:space="preserve">IS MU (inf.systém MU) </t>
  </si>
  <si>
    <t xml:space="preserve">podpora správy a rozvoje IS MU </t>
  </si>
  <si>
    <t>digitální knihovna-Bartošek</t>
  </si>
  <si>
    <t>nadstavbové nástroje EIZ (služby k digi knihovně)</t>
  </si>
  <si>
    <t>inteligentni budovy a GIS</t>
  </si>
  <si>
    <t>základny WiFi</t>
  </si>
  <si>
    <t>Podpora el.oběhu dokladů a FK</t>
  </si>
  <si>
    <t>licence ESRI (ESRI Site Licence ArcGIS)</t>
  </si>
  <si>
    <t>přístupové a zabezpečovací systémy</t>
  </si>
  <si>
    <t xml:space="preserve">akademické soutěže studentů </t>
  </si>
  <si>
    <t>počet.</t>
  </si>
  <si>
    <t>bez PhD</t>
  </si>
  <si>
    <r>
      <t xml:space="preserve">výnos </t>
    </r>
    <r>
      <rPr>
        <vertAlign val="superscript"/>
        <sz val="8"/>
        <color indexed="8"/>
        <rFont val="Arial CE"/>
        <family val="0"/>
      </rPr>
      <t>1)</t>
    </r>
  </si>
  <si>
    <t>Odhad odpisů 2009</t>
  </si>
  <si>
    <t>Náklady na tvorbu sociálního fondu ve výši 2 % z mezd (z ř.3) plánujte na ř. 5, tj. plán celkových odvodů bude 34+2=36 % resp. u dotačních projektů na řádky odpovídající příslušnému zdroji financování</t>
  </si>
  <si>
    <t>odpis 12/08</t>
  </si>
  <si>
    <t>zaokr.</t>
  </si>
  <si>
    <t xml:space="preserve">  Způsob rozdělení vychází ze Směrnice rektora č.1/2010 - Pravidla sestavování rozpočtu a hospodaření MU pro kalendářní rok 2010</t>
  </si>
  <si>
    <t>rok 2010</t>
  </si>
  <si>
    <t>2010/09</t>
  </si>
  <si>
    <t xml:space="preserve">   institucionální podpora VaV</t>
  </si>
  <si>
    <t>II. Výpočet přínosu fakult na výši příspěvku MŠMT na vzdělávací činnost pro MU na rok 2010</t>
  </si>
  <si>
    <t>5a</t>
  </si>
  <si>
    <t>5</t>
  </si>
  <si>
    <t>MPÚ</t>
  </si>
  <si>
    <t>r o k   2 0 1 0</t>
  </si>
  <si>
    <t>institucionální podpora VaV</t>
  </si>
  <si>
    <t xml:space="preserve">výměna NIV/INV </t>
  </si>
  <si>
    <t>nebude součástí CP 2010</t>
  </si>
  <si>
    <t>potřeba 30 mil., zůst. FRIM na Program 41,2 mil.</t>
  </si>
  <si>
    <t xml:space="preserve">  na spolufin.VaVpI</t>
  </si>
  <si>
    <t>1c</t>
  </si>
  <si>
    <t xml:space="preserve"> na spolufin. INV u VZ</t>
  </si>
  <si>
    <t xml:space="preserve">hradit z výměny instit.podpory </t>
  </si>
  <si>
    <t>1d</t>
  </si>
  <si>
    <t>na schválené stav.akce</t>
  </si>
  <si>
    <t>nebude součástí CP</t>
  </si>
  <si>
    <t>NIV pro Program 233 330 aj.</t>
  </si>
  <si>
    <t>potřeba 60 mil., zůst. ve FPP 87,8 mil.</t>
  </si>
  <si>
    <t xml:space="preserve">   reko Telč</t>
  </si>
  <si>
    <r>
      <t>Rozdělení příspěvku</t>
    </r>
    <r>
      <rPr>
        <b/>
        <vertAlign val="superscript"/>
        <sz val="18"/>
        <rFont val="Arial CE"/>
        <family val="0"/>
      </rPr>
      <t xml:space="preserve"> </t>
    </r>
    <r>
      <rPr>
        <b/>
        <sz val="18"/>
        <rFont val="Arial CE"/>
        <family val="0"/>
      </rPr>
      <t xml:space="preserve"> MŠMT a institucionální podpory VaV na rok 2010 v rámci MU</t>
    </r>
  </si>
  <si>
    <t>Fakulty</t>
  </si>
  <si>
    <t>VaV - institucionální podpora</t>
  </si>
  <si>
    <t>13a</t>
  </si>
  <si>
    <t>13b</t>
  </si>
  <si>
    <t>z toho vnitro - ú.549 ?</t>
  </si>
  <si>
    <t>III. Výpočet přínosu z institucionální podpory VaV pro MU na rok 2010</t>
  </si>
  <si>
    <t>IV. Normativní prostředky celkem</t>
  </si>
  <si>
    <r>
      <t xml:space="preserve">Příspěvek 1 - mandatorní výdaje v roce 2010  </t>
    </r>
    <r>
      <rPr>
        <sz val="10"/>
        <rFont val="Arial CE"/>
        <family val="0"/>
      </rPr>
      <t>(dle čl.9 odst.2 Směrnice 1/2010)</t>
    </r>
  </si>
  <si>
    <r>
      <t>(</t>
    </r>
    <r>
      <rPr>
        <sz val="10"/>
        <rFont val="Arial CE"/>
        <family val="2"/>
      </rPr>
      <t>z příspěvku MŠMT na ukazatel A) - v tis. Kč</t>
    </r>
  </si>
  <si>
    <r>
      <t xml:space="preserve">   </t>
    </r>
    <r>
      <rPr>
        <sz val="8"/>
        <rFont val="Arial CE"/>
        <family val="0"/>
      </rPr>
      <t>výměna NEI příspěvku za příspěvek na kapitálové výdaje</t>
    </r>
  </si>
  <si>
    <t>CP1 Centralizované aktivity MU</t>
  </si>
  <si>
    <t>plánuje i ÚVT?</t>
  </si>
  <si>
    <t>akceptace 8,057 mil.+rezerva</t>
  </si>
  <si>
    <t>odbor veřejných zakázek</t>
  </si>
  <si>
    <t>mají dotační projekt</t>
  </si>
  <si>
    <t>ved.zakázky kvestor</t>
  </si>
  <si>
    <t>většina bude hrazena ze SV</t>
  </si>
  <si>
    <t>nedodány požadavky</t>
  </si>
  <si>
    <t>LF uvedla 3,114, ale Čech méně (nájem je jen do 31.10.2010)</t>
  </si>
  <si>
    <t>LF - nájemné Dětská nemocnice (k.psychol.,soc.lék.,...)</t>
  </si>
  <si>
    <t>pož.LF i Čech</t>
  </si>
  <si>
    <t>nájem FF (Veveří)</t>
  </si>
  <si>
    <t>stěhování FF na Veveří</t>
  </si>
  <si>
    <t>Antartická stanice</t>
  </si>
  <si>
    <t>Botanická zahrada</t>
  </si>
  <si>
    <t>provoz Gotex</t>
  </si>
  <si>
    <t>technologická pasportizace</t>
  </si>
  <si>
    <t>databáze Scopus</t>
  </si>
  <si>
    <t>podpora SW AW Caesar</t>
  </si>
  <si>
    <t>oddělení audiovizuální techniky</t>
  </si>
  <si>
    <t>prodloužení záručního servisu počítačů CPS</t>
  </si>
  <si>
    <t>Podpora EIS Magion</t>
  </si>
  <si>
    <t>Podpora Oracle</t>
  </si>
  <si>
    <t>Příspěvek 1</t>
  </si>
  <si>
    <t>Příspěvek 2</t>
  </si>
  <si>
    <r>
      <t xml:space="preserve">Příspěvek 2 - Financování celouniverzitních aktivit  v roce 2010 </t>
    </r>
  </si>
  <si>
    <r>
      <t xml:space="preserve"> (</t>
    </r>
    <r>
      <rPr>
        <sz val="10"/>
        <rFont val="Arial CE"/>
        <family val="2"/>
      </rPr>
      <t>z příspěvku MŠMT na ukazatel A) - v tis. Kč</t>
    </r>
  </si>
  <si>
    <r>
      <t xml:space="preserve">Příspěvek 1. Celkem  MV1 </t>
    </r>
    <r>
      <rPr>
        <sz val="10"/>
        <rFont val="Arial CE"/>
        <family val="0"/>
      </rPr>
      <t>(Příloha 1)</t>
    </r>
  </si>
  <si>
    <r>
      <t xml:space="preserve">V. Financování celouniverzitních aktivit a režijních pracovišť </t>
    </r>
    <r>
      <rPr>
        <sz val="10"/>
        <rFont val="Arial CE"/>
        <family val="0"/>
      </rPr>
      <t>(v tis. Kč)</t>
    </r>
  </si>
  <si>
    <t xml:space="preserve">   přínos na vzdělavací č. a instit.podporu celkem (ř.3)</t>
  </si>
  <si>
    <r>
      <t xml:space="preserve"> CP1 - rezerva rektora </t>
    </r>
    <r>
      <rPr>
        <b/>
        <sz val="8"/>
        <rFont val="Arial CE"/>
        <family val="0"/>
      </rPr>
      <t>(1% z příspěvku MŠMT,max.16 mil.)</t>
    </r>
  </si>
  <si>
    <t>CP1 + CP2 + CP3</t>
  </si>
  <si>
    <r>
      <t>Rozpočet 2010</t>
    </r>
    <r>
      <rPr>
        <b/>
        <sz val="12"/>
        <color indexed="10"/>
        <rFont val="Arial CE"/>
        <family val="0"/>
      </rPr>
      <t xml:space="preserve"> (v tis.Kč)</t>
    </r>
  </si>
  <si>
    <t>strukturální fondy aj.proj.spoluf.EU</t>
  </si>
  <si>
    <t>4* bez FÚUP z dotací</t>
  </si>
  <si>
    <t>Hodnocení výsledků</t>
  </si>
  <si>
    <t>podíl na výsledcích</t>
  </si>
  <si>
    <t>Přínos celkem</t>
  </si>
  <si>
    <t>Přínos celkem zaokr.</t>
  </si>
  <si>
    <t>Příspěvek 1. Mandatorní výdaje</t>
  </si>
  <si>
    <t>Příspěvek 2. Celouniverzitní aktivity a celouniverzitní součásti</t>
  </si>
  <si>
    <t>v tis Kč</t>
  </si>
  <si>
    <t>č</t>
  </si>
  <si>
    <t xml:space="preserve">fakulta </t>
  </si>
  <si>
    <t>PD Erding</t>
  </si>
  <si>
    <t>náklad smlouvy</t>
  </si>
  <si>
    <t>akcept.-smlouva</t>
  </si>
  <si>
    <t>zhotovitel</t>
  </si>
  <si>
    <t>termín</t>
  </si>
  <si>
    <t>SoD</t>
  </si>
  <si>
    <t>poznámka</t>
  </si>
  <si>
    <t>fakturováno</t>
  </si>
  <si>
    <t>součet faktur</t>
  </si>
  <si>
    <t>zbývá dofakturovat</t>
  </si>
  <si>
    <t>náklady v Kč vč. DPH</t>
  </si>
  <si>
    <t>opravy (repliky )11 ks oken s vitráží</t>
  </si>
  <si>
    <t>přibliž.odhad</t>
  </si>
  <si>
    <t>oprava zastřešení světlíku nad aulou</t>
  </si>
  <si>
    <t>nátěr dvorních fasád , oprva trllin a poškození</t>
  </si>
  <si>
    <t>oprava fasády aZTI z nádvorní strany</t>
  </si>
  <si>
    <t>Poříčí 7</t>
  </si>
  <si>
    <t>může být i inv.</t>
  </si>
  <si>
    <t xml:space="preserve">oprava obkladů fasády </t>
  </si>
  <si>
    <t>Poříčí 9</t>
  </si>
  <si>
    <t>oprava dilatační spáry</t>
  </si>
  <si>
    <t>oprava střechy nad učebnou č.30</t>
  </si>
  <si>
    <t>oprava podlahy ve strojní dílně</t>
  </si>
  <si>
    <t>oprava střešních oken v 7.NP</t>
  </si>
  <si>
    <t>oprava suterén.rozvodu vody</t>
  </si>
  <si>
    <t>město Brno</t>
  </si>
  <si>
    <t>oprava střechy</t>
  </si>
  <si>
    <t>oprava obvod. pláště</t>
  </si>
  <si>
    <t>nátěry a repase oken v bud. D</t>
  </si>
  <si>
    <t>A.Nováka 1</t>
  </si>
  <si>
    <t>výměna prosklené stěny na schodišti</t>
  </si>
  <si>
    <t>celková oprava krovu a střechy</t>
  </si>
  <si>
    <t>Gorkého 5/7</t>
  </si>
  <si>
    <t>oprava podlahy ve skleníku</t>
  </si>
  <si>
    <t>oprava čelních skel skleníků</t>
  </si>
  <si>
    <t>Joštova 10</t>
  </si>
  <si>
    <t>Botanická 68a</t>
  </si>
  <si>
    <t>výměna řídícího systému</t>
  </si>
  <si>
    <t>Lipová 41a</t>
  </si>
  <si>
    <t>nátěr kovových kcí na budově</t>
  </si>
  <si>
    <t>oprava střešní izolace plochých střech + odtokové žlaby</t>
  </si>
  <si>
    <t>oprava kanalizace dle projektu v r.2008 - II.etapa+ oprava mostků a vstupu do budov</t>
  </si>
  <si>
    <t>Vinařská 5</t>
  </si>
  <si>
    <t>zpracovala Benžová 15.10.2009</t>
  </si>
  <si>
    <t>Demontáže závěsných kabelů Barvičova atd.</t>
  </si>
  <si>
    <t>výměna prosklené plochy ve vstupní hale</t>
  </si>
  <si>
    <t>Plán velkých oprav v roce 2010</t>
  </si>
  <si>
    <r>
      <t xml:space="preserve">Odhad odpisů 2010 po HS </t>
    </r>
    <r>
      <rPr>
        <sz val="9"/>
        <rFont val="Arial CE"/>
        <family val="0"/>
      </rPr>
      <t>(bez ZC vyřaz.majetku)</t>
    </r>
  </si>
  <si>
    <r>
      <t xml:space="preserve">odhad 2010 dle skuteč.2009        </t>
    </r>
    <r>
      <rPr>
        <b/>
        <sz val="8"/>
        <rFont val="Arial"/>
        <family val="2"/>
      </rPr>
      <t>(v tis. Kč)</t>
    </r>
  </si>
  <si>
    <r>
      <t>odhad 2010</t>
    </r>
    <r>
      <rPr>
        <sz val="8"/>
        <rFont val="Arial"/>
        <family val="2"/>
      </rPr>
      <t xml:space="preserve"> (v tis. Kč) - jen HS, která dostanou samostatně příspěvek i na odpisy</t>
    </r>
  </si>
  <si>
    <t>V Brně dne 3.2.2010</t>
  </si>
  <si>
    <t>VI. Příspěvek fakult do centralizovaných zdrojů pro účetní období kalendářního roku 2010</t>
  </si>
  <si>
    <t>RMU (MPÚ)</t>
  </si>
  <si>
    <t>zam. celk</t>
  </si>
  <si>
    <t>na IP</t>
  </si>
  <si>
    <t>na bodech</t>
  </si>
  <si>
    <t>CP2 Centralizovaná střediska</t>
  </si>
  <si>
    <t xml:space="preserve">   režijní pracoviště bez instit.podpory (CP 2)</t>
  </si>
  <si>
    <t xml:space="preserve">   součet CA (CP1)</t>
  </si>
  <si>
    <t>Příspěvek 2. Celkem (MV1+CP1+CP2)</t>
  </si>
  <si>
    <t>MV Finanční činnosti (ř. 1+2+3+4)</t>
  </si>
  <si>
    <t>NEI/INV</t>
  </si>
  <si>
    <t>NEI pro INV</t>
  </si>
  <si>
    <t>NOdp RS</t>
  </si>
  <si>
    <t>CA bez RR</t>
  </si>
  <si>
    <t>IP RS</t>
  </si>
  <si>
    <t>index 10/09</t>
  </si>
  <si>
    <t>NOdp fak</t>
  </si>
  <si>
    <t>přísp1+2</t>
  </si>
  <si>
    <r>
      <t xml:space="preserve">1) </t>
    </r>
    <r>
      <rPr>
        <i/>
        <sz val="8"/>
        <color indexed="8"/>
        <rFont val="Arial CE"/>
        <family val="0"/>
      </rPr>
      <t>vč.INV, bez dotačních odpisů a tvorby fondů</t>
    </r>
  </si>
  <si>
    <t>VaV</t>
  </si>
  <si>
    <t>body</t>
  </si>
  <si>
    <t>za VaV</t>
  </si>
  <si>
    <t>vč.NOdp fak.</t>
  </si>
  <si>
    <t>vč.Nodp fak</t>
  </si>
  <si>
    <t>bezNOdp fak</t>
  </si>
  <si>
    <t xml:space="preserve"> +NOdp</t>
  </si>
  <si>
    <t>2010-2009</t>
  </si>
  <si>
    <t xml:space="preserve">   Institucionální podpora pro RMU (MPÚ) a ÚVT</t>
  </si>
  <si>
    <t xml:space="preserve">   centralizované aktivity bez RR</t>
  </si>
  <si>
    <t xml:space="preserve">   rezerva rektora - RR </t>
  </si>
  <si>
    <t>% z přínosu</t>
  </si>
  <si>
    <t>MV</t>
  </si>
  <si>
    <t>CP1 bz RR</t>
  </si>
  <si>
    <t xml:space="preserve">Plán financování centralizovaných oprav </t>
  </si>
  <si>
    <t>Osnova rozpočtu na rok 2010</t>
  </si>
  <si>
    <r>
      <t xml:space="preserve">rež.prac. </t>
    </r>
    <r>
      <rPr>
        <sz val="9"/>
        <rFont val="Arial CE"/>
        <family val="0"/>
      </rPr>
      <t xml:space="preserve">bez CA </t>
    </r>
  </si>
  <si>
    <t>celkem účtováno přes PdF</t>
  </si>
  <si>
    <t>celkem účtováno přes PřF</t>
  </si>
  <si>
    <t>v rozpise u PdF</t>
  </si>
  <si>
    <t>v rozpise u PřF</t>
  </si>
  <si>
    <t xml:space="preserve">            SPN (režie) - ú.547*</t>
  </si>
  <si>
    <r>
      <t>213*,214*,22*,</t>
    </r>
    <r>
      <rPr>
        <sz val="8"/>
        <color indexed="10"/>
        <rFont val="Arial CE"/>
        <family val="0"/>
      </rPr>
      <t>2115,2125,2126</t>
    </r>
  </si>
  <si>
    <t>k.s.2009</t>
  </si>
  <si>
    <t>podpora</t>
  </si>
  <si>
    <t>instituc.</t>
  </si>
  <si>
    <r>
      <t xml:space="preserve">b) Rozpis příspěvku a institucionální podpory VaV </t>
    </r>
    <r>
      <rPr>
        <sz val="9"/>
        <rFont val="Arial CE"/>
        <family val="0"/>
      </rPr>
      <t>včetně rozpisu centralizovaných prostředků na příslušná HS</t>
    </r>
  </si>
  <si>
    <r>
      <t xml:space="preserve">a) Rozpis příspěvku a a institucionální podpory VaV na příslušná hosp.střediska (HS) </t>
    </r>
    <r>
      <rPr>
        <sz val="9"/>
        <rFont val="Arial CE"/>
        <family val="0"/>
      </rPr>
      <t>- bez rozpisu centralizovaných prostředků (CP)</t>
    </r>
  </si>
  <si>
    <t xml:space="preserve">VII. Rozpis příspěvku a institucionální podpory VaV na jednotlivá hospodářská střediska </t>
  </si>
  <si>
    <t>V Brně 18.2.2010</t>
  </si>
  <si>
    <t>1195-VpK, MU=příjemce, 1398-FM(Norska)</t>
  </si>
  <si>
    <t>1515-VpK- MU =partner</t>
  </si>
  <si>
    <t>2195-VaVpI, MU příjemce</t>
  </si>
  <si>
    <t>2515-VaVpI, MU=partner</t>
  </si>
  <si>
    <r>
      <t xml:space="preserve">Projekty VaV z dotací ze zahr., </t>
    </r>
    <r>
      <rPr>
        <sz val="9"/>
        <color indexed="10"/>
        <rFont val="Arial CE"/>
        <family val="0"/>
      </rPr>
      <t>VaVpI</t>
    </r>
  </si>
  <si>
    <r>
      <t>261*,</t>
    </r>
    <r>
      <rPr>
        <sz val="8"/>
        <color indexed="10"/>
        <rFont val="Arial CE"/>
        <family val="0"/>
      </rPr>
      <t>2195</t>
    </r>
  </si>
  <si>
    <r>
      <t xml:space="preserve">2111, </t>
    </r>
    <r>
      <rPr>
        <sz val="8"/>
        <color indexed="10"/>
        <rFont val="Arial CE"/>
        <family val="0"/>
      </rPr>
      <t>2112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</si>
</sst>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#,##0\ _K_č"/>
    <numFmt numFmtId="194" formatCode="#,##0.00\ &quot;Kč&quot;"/>
    <numFmt numFmtId="195" formatCode="#,##0.00\ _K_č"/>
    <numFmt numFmtId="196" formatCode="#,##0.0\ _K_č"/>
    <numFmt numFmtId="197" formatCode="0.0000000000"/>
    <numFmt numFmtId="198" formatCode="0.00000000000"/>
    <numFmt numFmtId="199" formatCode="[$-405]d\.\ mmmm\ yyyy"/>
    <numFmt numFmtId="200" formatCode="[$-F400]h:mm:ss\ AM/PM"/>
    <numFmt numFmtId="201" formatCode="#,"/>
    <numFmt numFmtId="202" formatCode="dd/mm/yy;@"/>
    <numFmt numFmtId="203" formatCode="0\4\-0\5"/>
    <numFmt numFmtId="204" formatCode="_-* #,##0.0\ &quot;Kč&quot;_-;\-* #,##0.0\ &quot;Kč&quot;_-;_-* &quot;-&quot;??\ &quot;Kč&quot;_-;_-@_-"/>
    <numFmt numFmtId="205" formatCode="_-* #,##0\ &quot;Kč&quot;_-;\-* #,##0\ &quot;Kč&quot;_-;_-* &quot;-&quot;??\ &quot;Kč&quot;_-;_-@_-"/>
  </numFmts>
  <fonts count="112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i/>
      <vertAlign val="superscript"/>
      <sz val="9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i/>
      <sz val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8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59"/>
      <name val="Arial CE"/>
      <family val="2"/>
    </font>
    <font>
      <b/>
      <vertAlign val="superscript"/>
      <sz val="18"/>
      <name val="Arial CE"/>
      <family val="0"/>
    </font>
    <font>
      <sz val="10"/>
      <name val="Arial"/>
      <family val="0"/>
    </font>
    <font>
      <b/>
      <i/>
      <sz val="9"/>
      <name val="Arial CE"/>
      <family val="2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i/>
      <vertAlign val="superscript"/>
      <sz val="8"/>
      <color indexed="8"/>
      <name val="Arial CE"/>
      <family val="0"/>
    </font>
    <font>
      <i/>
      <sz val="9"/>
      <color indexed="8"/>
      <name val="Arial CE"/>
      <family val="0"/>
    </font>
    <font>
      <sz val="8"/>
      <color indexed="12"/>
      <name val="Arial CE"/>
      <family val="2"/>
    </font>
    <font>
      <b/>
      <sz val="9"/>
      <color indexed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b/>
      <i/>
      <sz val="9"/>
      <color indexed="8"/>
      <name val="Arial CE"/>
      <family val="0"/>
    </font>
    <font>
      <sz val="10"/>
      <color indexed="12"/>
      <name val="Arial CE"/>
      <family val="2"/>
    </font>
    <font>
      <sz val="8"/>
      <color indexed="8"/>
      <name val="Arial"/>
      <family val="2"/>
    </font>
    <font>
      <b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color indexed="10"/>
      <name val="Arial CE"/>
      <family val="2"/>
    </font>
    <font>
      <i/>
      <sz val="8"/>
      <color indexed="10"/>
      <name val="Arial CE"/>
      <family val="2"/>
    </font>
    <font>
      <sz val="9"/>
      <color indexed="9"/>
      <name val="Arial CE"/>
      <family val="0"/>
    </font>
    <font>
      <i/>
      <vertAlign val="superscript"/>
      <sz val="10"/>
      <name val="Arial CE"/>
      <family val="0"/>
    </font>
    <font>
      <i/>
      <sz val="8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sz val="8"/>
      <color indexed="9"/>
      <name val="Arial CE"/>
      <family val="0"/>
    </font>
    <font>
      <sz val="8"/>
      <color indexed="12"/>
      <name val="Arial"/>
      <family val="2"/>
    </font>
    <font>
      <sz val="8"/>
      <color indexed="17"/>
      <name val="Arial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i/>
      <sz val="9"/>
      <color indexed="9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2"/>
      <color indexed="10"/>
      <name val="Arial CE"/>
      <family val="0"/>
    </font>
    <font>
      <vertAlign val="superscript"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color indexed="8"/>
      <name val="Arial CE"/>
      <family val="2"/>
    </font>
    <font>
      <i/>
      <sz val="8"/>
      <color indexed="21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 CE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CE"/>
      <family val="0"/>
    </font>
    <font>
      <b/>
      <sz val="8"/>
      <color indexed="9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Arial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i/>
      <sz val="8"/>
      <color indexed="9"/>
      <name val="Arial CE"/>
      <family val="2"/>
    </font>
    <font>
      <i/>
      <vertAlign val="superscript"/>
      <sz val="8"/>
      <color indexed="9"/>
      <name val="Arial CE"/>
      <family val="2"/>
    </font>
    <font>
      <b/>
      <i/>
      <sz val="8"/>
      <color indexed="9"/>
      <name val="Arial CE"/>
      <family val="0"/>
    </font>
    <font>
      <i/>
      <sz val="10"/>
      <color indexed="21"/>
      <name val="Arial CE"/>
      <family val="2"/>
    </font>
    <font>
      <i/>
      <sz val="8"/>
      <color indexed="21"/>
      <name val="Arial CE"/>
      <family val="0"/>
    </font>
    <font>
      <b/>
      <sz val="9"/>
      <color indexed="2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1" fillId="3" borderId="0" applyNumberFormat="0" applyBorder="0" applyAlignment="0" applyProtection="0"/>
    <xf numFmtId="0" fontId="7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7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18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7" borderId="8" applyNumberFormat="0" applyAlignment="0" applyProtection="0"/>
    <xf numFmtId="0" fontId="82" fillId="19" borderId="8" applyNumberFormat="0" applyAlignment="0" applyProtection="0"/>
    <xf numFmtId="0" fontId="83" fillId="19" borderId="9" applyNumberFormat="0" applyAlignment="0" applyProtection="0"/>
    <xf numFmtId="0" fontId="8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3" borderId="0" applyNumberFormat="0" applyBorder="0" applyAlignment="0" applyProtection="0"/>
  </cellStyleXfs>
  <cellXfs count="15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6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17" borderId="21" xfId="0" applyNumberFormat="1" applyFont="1" applyFill="1" applyBorder="1" applyAlignment="1">
      <alignment/>
    </xf>
    <xf numFmtId="3" fontId="0" fillId="17" borderId="37" xfId="0" applyNumberFormat="1" applyFont="1" applyFill="1" applyBorder="1" applyAlignment="1">
      <alignment/>
    </xf>
    <xf numFmtId="3" fontId="10" fillId="17" borderId="21" xfId="0" applyNumberFormat="1" applyFont="1" applyFill="1" applyBorder="1" applyAlignment="1">
      <alignment/>
    </xf>
    <xf numFmtId="3" fontId="10" fillId="17" borderId="37" xfId="0" applyNumberFormat="1" applyFont="1" applyFill="1" applyBorder="1" applyAlignment="1">
      <alignment/>
    </xf>
    <xf numFmtId="3" fontId="11" fillId="17" borderId="21" xfId="0" applyNumberFormat="1" applyFont="1" applyFill="1" applyBorder="1" applyAlignment="1">
      <alignment/>
    </xf>
    <xf numFmtId="0" fontId="10" fillId="17" borderId="38" xfId="0" applyFont="1" applyFill="1" applyBorder="1" applyAlignment="1">
      <alignment horizontal="center"/>
    </xf>
    <xf numFmtId="0" fontId="10" fillId="17" borderId="21" xfId="0" applyFont="1" applyFill="1" applyBorder="1" applyAlignment="1">
      <alignment horizontal="center"/>
    </xf>
    <xf numFmtId="0" fontId="10" fillId="17" borderId="39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/>
    </xf>
    <xf numFmtId="0" fontId="0" fillId="17" borderId="39" xfId="0" applyFont="1" applyFill="1" applyBorder="1" applyAlignment="1">
      <alignment horizontal="center"/>
    </xf>
    <xf numFmtId="3" fontId="11" fillId="17" borderId="37" xfId="0" applyNumberFormat="1" applyFont="1" applyFill="1" applyBorder="1" applyAlignment="1">
      <alignment/>
    </xf>
    <xf numFmtId="3" fontId="10" fillId="17" borderId="17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3" fontId="1" fillId="0" borderId="4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1" fillId="17" borderId="37" xfId="0" applyNumberFormat="1" applyFont="1" applyFill="1" applyBorder="1" applyAlignment="1">
      <alignment/>
    </xf>
    <xf numFmtId="3" fontId="0" fillId="17" borderId="17" xfId="0" applyNumberFormat="1" applyFont="1" applyFill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0" fillId="0" borderId="33" xfId="0" applyFont="1" applyBorder="1" applyAlignment="1">
      <alignment/>
    </xf>
    <xf numFmtId="0" fontId="10" fillId="17" borderId="53" xfId="0" applyFont="1" applyFill="1" applyBorder="1" applyAlignment="1">
      <alignment/>
    </xf>
    <xf numFmtId="0" fontId="10" fillId="17" borderId="16" xfId="0" applyFont="1" applyFill="1" applyBorder="1" applyAlignment="1">
      <alignment/>
    </xf>
    <xf numFmtId="0" fontId="3" fillId="17" borderId="46" xfId="0" applyFont="1" applyFill="1" applyBorder="1" applyAlignment="1">
      <alignment horizontal="center"/>
    </xf>
    <xf numFmtId="0" fontId="13" fillId="17" borderId="44" xfId="0" applyFont="1" applyFill="1" applyBorder="1" applyAlignment="1">
      <alignment horizontal="left"/>
    </xf>
    <xf numFmtId="0" fontId="10" fillId="17" borderId="26" xfId="0" applyFont="1" applyFill="1" applyBorder="1" applyAlignment="1">
      <alignment/>
    </xf>
    <xf numFmtId="0" fontId="10" fillId="17" borderId="11" xfId="0" applyFont="1" applyFill="1" applyBorder="1" applyAlignment="1">
      <alignment/>
    </xf>
    <xf numFmtId="0" fontId="13" fillId="17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17" borderId="38" xfId="0" applyNumberFormat="1" applyFont="1" applyFill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3" fontId="10" fillId="17" borderId="61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17" borderId="61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/>
    </xf>
    <xf numFmtId="3" fontId="10" fillId="17" borderId="64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17" borderId="64" xfId="0" applyNumberFormat="1" applyFont="1" applyFill="1" applyBorder="1" applyAlignment="1">
      <alignment/>
    </xf>
    <xf numFmtId="0" fontId="1" fillId="0" borderId="66" xfId="0" applyFont="1" applyBorder="1" applyAlignment="1">
      <alignment/>
    </xf>
    <xf numFmtId="3" fontId="11" fillId="17" borderId="67" xfId="0" applyNumberFormat="1" applyFont="1" applyFill="1" applyBorder="1" applyAlignment="1">
      <alignment/>
    </xf>
    <xf numFmtId="3" fontId="1" fillId="0" borderId="66" xfId="0" applyNumberFormat="1" applyFont="1" applyBorder="1" applyAlignment="1">
      <alignment/>
    </xf>
    <xf numFmtId="3" fontId="1" fillId="17" borderId="67" xfId="0" applyNumberFormat="1" applyFont="1" applyFill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54" xfId="0" applyFont="1" applyBorder="1" applyAlignment="1">
      <alignment/>
    </xf>
    <xf numFmtId="0" fontId="4" fillId="0" borderId="70" xfId="0" applyFont="1" applyBorder="1" applyAlignment="1">
      <alignment horizontal="left"/>
    </xf>
    <xf numFmtId="0" fontId="2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0" fontId="3" fillId="0" borderId="0" xfId="50" applyFont="1">
      <alignment/>
      <protection/>
    </xf>
    <xf numFmtId="0" fontId="7" fillId="0" borderId="0" xfId="50" applyFont="1">
      <alignment/>
      <protection/>
    </xf>
    <xf numFmtId="0" fontId="17" fillId="0" borderId="0" xfId="50" applyFont="1">
      <alignment/>
      <protection/>
    </xf>
    <xf numFmtId="0" fontId="8" fillId="0" borderId="0" xfId="50" applyFont="1">
      <alignment/>
      <protection/>
    </xf>
    <xf numFmtId="0" fontId="8" fillId="0" borderId="0" xfId="50" applyFont="1">
      <alignment/>
      <protection/>
    </xf>
    <xf numFmtId="0" fontId="16" fillId="0" borderId="0" xfId="50" applyFont="1">
      <alignment/>
      <protection/>
    </xf>
    <xf numFmtId="0" fontId="0" fillId="0" borderId="41" xfId="0" applyFont="1" applyBorder="1" applyAlignment="1">
      <alignment/>
    </xf>
    <xf numFmtId="3" fontId="1" fillId="0" borderId="0" xfId="0" applyNumberFormat="1" applyFont="1" applyAlignment="1">
      <alignment/>
    </xf>
    <xf numFmtId="0" fontId="10" fillId="0" borderId="17" xfId="0" applyFont="1" applyBorder="1" applyAlignment="1">
      <alignment horizontal="center"/>
    </xf>
    <xf numFmtId="3" fontId="10" fillId="0" borderId="76" xfId="0" applyNumberFormat="1" applyFont="1" applyBorder="1" applyAlignment="1">
      <alignment/>
    </xf>
    <xf numFmtId="0" fontId="3" fillId="0" borderId="77" xfId="50" applyFont="1" applyBorder="1">
      <alignment/>
      <protection/>
    </xf>
    <xf numFmtId="3" fontId="10" fillId="0" borderId="0" xfId="0" applyNumberFormat="1" applyFont="1" applyAlignment="1">
      <alignment/>
    </xf>
    <xf numFmtId="0" fontId="10" fillId="0" borderId="78" xfId="0" applyFont="1" applyBorder="1" applyAlignment="1">
      <alignment horizontal="center"/>
    </xf>
    <xf numFmtId="3" fontId="10" fillId="0" borderId="79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1" fillId="0" borderId="82" xfId="0" applyFont="1" applyBorder="1" applyAlignment="1">
      <alignment horizontal="center"/>
    </xf>
    <xf numFmtId="3" fontId="21" fillId="0" borderId="83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3" fontId="10" fillId="0" borderId="9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3" fontId="0" fillId="0" borderId="97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3" fontId="0" fillId="0" borderId="101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3" fontId="10" fillId="17" borderId="103" xfId="0" applyNumberFormat="1" applyFont="1" applyFill="1" applyBorder="1" applyAlignment="1">
      <alignment/>
    </xf>
    <xf numFmtId="0" fontId="0" fillId="0" borderId="103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04" xfId="0" applyNumberFormat="1" applyFont="1" applyBorder="1" applyAlignment="1">
      <alignment/>
    </xf>
    <xf numFmtId="3" fontId="0" fillId="0" borderId="105" xfId="0" applyNumberFormat="1" applyFont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18" fillId="0" borderId="0" xfId="0" applyNumberFormat="1" applyFont="1" applyFill="1" applyAlignment="1">
      <alignment/>
    </xf>
    <xf numFmtId="167" fontId="18" fillId="0" borderId="84" xfId="0" applyNumberFormat="1" applyFont="1" applyFill="1" applyBorder="1" applyAlignment="1">
      <alignment/>
    </xf>
    <xf numFmtId="0" fontId="18" fillId="0" borderId="10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97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22" fillId="0" borderId="97" xfId="0" applyNumberFormat="1" applyFont="1" applyFill="1" applyBorder="1" applyAlignment="1">
      <alignment/>
    </xf>
    <xf numFmtId="3" fontId="22" fillId="0" borderId="98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47" xfId="0" applyNumberFormat="1" applyFont="1" applyFill="1" applyBorder="1" applyAlignment="1">
      <alignment/>
    </xf>
    <xf numFmtId="3" fontId="22" fillId="0" borderId="99" xfId="0" applyNumberFormat="1" applyFont="1" applyFill="1" applyBorder="1" applyAlignment="1">
      <alignment/>
    </xf>
    <xf numFmtId="3" fontId="22" fillId="0" borderId="10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3" fontId="22" fillId="0" borderId="71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0" fontId="22" fillId="0" borderId="9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>
      <alignment/>
    </xf>
    <xf numFmtId="3" fontId="22" fillId="0" borderId="107" xfId="0" applyNumberFormat="1" applyFont="1" applyFill="1" applyBorder="1" applyAlignment="1">
      <alignment/>
    </xf>
    <xf numFmtId="4" fontId="22" fillId="0" borderId="9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1" fillId="17" borderId="108" xfId="0" applyNumberFormat="1" applyFont="1" applyFill="1" applyBorder="1" applyAlignment="1">
      <alignment/>
    </xf>
    <xf numFmtId="3" fontId="11" fillId="0" borderId="109" xfId="0" applyNumberFormat="1" applyFont="1" applyBorder="1" applyAlignment="1">
      <alignment/>
    </xf>
    <xf numFmtId="3" fontId="11" fillId="0" borderId="1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108" xfId="0" applyFont="1" applyBorder="1" applyAlignment="1">
      <alignment horizontal="center"/>
    </xf>
    <xf numFmtId="0" fontId="10" fillId="0" borderId="111" xfId="0" applyFont="1" applyBorder="1" applyAlignment="1">
      <alignment/>
    </xf>
    <xf numFmtId="3" fontId="10" fillId="17" borderId="108" xfId="0" applyNumberFormat="1" applyFont="1" applyFill="1" applyBorder="1" applyAlignment="1">
      <alignment/>
    </xf>
    <xf numFmtId="3" fontId="10" fillId="0" borderId="111" xfId="0" applyNumberFormat="1" applyFont="1" applyBorder="1" applyAlignment="1">
      <alignment/>
    </xf>
    <xf numFmtId="3" fontId="10" fillId="0" borderId="110" xfId="0" applyNumberFormat="1" applyFont="1" applyBorder="1" applyAlignment="1">
      <alignment/>
    </xf>
    <xf numFmtId="3" fontId="10" fillId="0" borderId="112" xfId="0" applyNumberFormat="1" applyFont="1" applyBorder="1" applyAlignment="1">
      <alignment/>
    </xf>
    <xf numFmtId="0" fontId="8" fillId="0" borderId="19" xfId="50" applyFont="1" applyBorder="1">
      <alignment/>
      <protection/>
    </xf>
    <xf numFmtId="14" fontId="15" fillId="0" borderId="0" xfId="50" applyNumberFormat="1" applyFont="1">
      <alignment/>
      <protection/>
    </xf>
    <xf numFmtId="0" fontId="3" fillId="0" borderId="0" xfId="50" applyFont="1" applyAlignment="1">
      <alignment horizontal="right"/>
      <protection/>
    </xf>
    <xf numFmtId="3" fontId="4" fillId="17" borderId="113" xfId="50" applyNumberFormat="1" applyFont="1" applyFill="1" applyBorder="1" applyAlignment="1">
      <alignment horizontal="right"/>
      <protection/>
    </xf>
    <xf numFmtId="3" fontId="7" fillId="0" borderId="0" xfId="50" applyNumberFormat="1" applyFont="1" applyBorder="1">
      <alignment/>
      <protection/>
    </xf>
    <xf numFmtId="3" fontId="7" fillId="0" borderId="42" xfId="50" applyNumberFormat="1" applyFont="1" applyBorder="1">
      <alignment/>
      <protection/>
    </xf>
    <xf numFmtId="3" fontId="8" fillId="0" borderId="42" xfId="50" applyNumberFormat="1" applyFont="1" applyBorder="1">
      <alignment/>
      <protection/>
    </xf>
    <xf numFmtId="3" fontId="7" fillId="17" borderId="113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0" fontId="20" fillId="0" borderId="0" xfId="50" applyFont="1">
      <alignment/>
      <protection/>
    </xf>
    <xf numFmtId="0" fontId="3" fillId="0" borderId="114" xfId="50" applyFont="1" applyBorder="1" applyAlignment="1">
      <alignment horizontal="center"/>
      <protection/>
    </xf>
    <xf numFmtId="0" fontId="4" fillId="0" borderId="114" xfId="50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37" fillId="0" borderId="115" xfId="52" applyFont="1" applyBorder="1" applyAlignment="1">
      <alignment horizontal="center"/>
      <protection/>
    </xf>
    <xf numFmtId="0" fontId="37" fillId="0" borderId="116" xfId="52" applyFont="1" applyBorder="1" applyAlignment="1">
      <alignment/>
      <protection/>
    </xf>
    <xf numFmtId="0" fontId="37" fillId="0" borderId="117" xfId="52" applyFont="1" applyBorder="1" applyAlignment="1">
      <alignment horizontal="center"/>
      <protection/>
    </xf>
    <xf numFmtId="0" fontId="37" fillId="0" borderId="58" xfId="52" applyFont="1" applyBorder="1" applyAlignment="1">
      <alignment/>
      <protection/>
    </xf>
    <xf numFmtId="0" fontId="37" fillId="0" borderId="38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17" borderId="56" xfId="0" applyFont="1" applyFill="1" applyBorder="1" applyAlignment="1">
      <alignment horizontal="center"/>
    </xf>
    <xf numFmtId="0" fontId="38" fillId="0" borderId="118" xfId="52" applyFont="1" applyBorder="1" applyAlignment="1">
      <alignment horizontal="center"/>
      <protection/>
    </xf>
    <xf numFmtId="0" fontId="38" fillId="0" borderId="119" xfId="52" applyFont="1" applyBorder="1" applyAlignment="1">
      <alignment/>
      <protection/>
    </xf>
    <xf numFmtId="0" fontId="38" fillId="0" borderId="0" xfId="52" applyFont="1">
      <alignment/>
      <protection/>
    </xf>
    <xf numFmtId="0" fontId="37" fillId="0" borderId="14" xfId="52" applyFont="1" applyBorder="1" applyAlignment="1">
      <alignment horizontal="center"/>
      <protection/>
    </xf>
    <xf numFmtId="0" fontId="37" fillId="0" borderId="41" xfId="52" applyFont="1" applyBorder="1" applyAlignment="1">
      <alignment/>
      <protection/>
    </xf>
    <xf numFmtId="4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98" xfId="0" applyNumberFormat="1" applyFont="1" applyFill="1" applyBorder="1" applyAlignment="1">
      <alignment/>
    </xf>
    <xf numFmtId="0" fontId="37" fillId="0" borderId="90" xfId="52" applyFont="1" applyBorder="1" applyAlignment="1">
      <alignment horizontal="center"/>
      <protection/>
    </xf>
    <xf numFmtId="0" fontId="37" fillId="0" borderId="34" xfId="52" applyFont="1" applyBorder="1" applyAlignment="1">
      <alignment/>
      <protection/>
    </xf>
    <xf numFmtId="4" fontId="19" fillId="0" borderId="99" xfId="52" applyNumberFormat="1" applyFont="1" applyBorder="1" applyAlignment="1">
      <alignment horizontal="right"/>
      <protection/>
    </xf>
    <xf numFmtId="4" fontId="19" fillId="0" borderId="61" xfId="0" applyNumberFormat="1" applyFont="1" applyBorder="1" applyAlignment="1">
      <alignment horizontal="right"/>
    </xf>
    <xf numFmtId="4" fontId="19" fillId="0" borderId="99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99" xfId="0" applyNumberFormat="1" applyFont="1" applyBorder="1" applyAlignment="1">
      <alignment horizontal="right"/>
    </xf>
    <xf numFmtId="3" fontId="19" fillId="0" borderId="100" xfId="0" applyNumberFormat="1" applyFont="1" applyFill="1" applyBorder="1" applyAlignment="1">
      <alignment/>
    </xf>
    <xf numFmtId="0" fontId="37" fillId="0" borderId="52" xfId="52" applyFont="1" applyBorder="1" applyAlignment="1">
      <alignment horizontal="center"/>
      <protection/>
    </xf>
    <xf numFmtId="0" fontId="37" fillId="0" borderId="24" xfId="52" applyFont="1" applyBorder="1" applyAlignment="1">
      <alignment/>
      <protection/>
    </xf>
    <xf numFmtId="4" fontId="19" fillId="0" borderId="37" xfId="0" applyNumberFormat="1" applyFont="1" applyBorder="1" applyAlignment="1">
      <alignment horizontal="right"/>
    </xf>
    <xf numFmtId="4" fontId="19" fillId="0" borderId="47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3" fontId="19" fillId="0" borderId="101" xfId="0" applyNumberFormat="1" applyFont="1" applyBorder="1" applyAlignment="1">
      <alignment horizontal="right"/>
    </xf>
    <xf numFmtId="3" fontId="19" fillId="0" borderId="102" xfId="0" applyNumberFormat="1" applyFont="1" applyFill="1" applyBorder="1" applyAlignment="1">
      <alignment/>
    </xf>
    <xf numFmtId="3" fontId="19" fillId="0" borderId="120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 horizontal="right"/>
    </xf>
    <xf numFmtId="3" fontId="19" fillId="0" borderId="48" xfId="0" applyNumberFormat="1" applyFont="1" applyFill="1" applyBorder="1" applyAlignment="1">
      <alignment/>
    </xf>
    <xf numFmtId="0" fontId="19" fillId="0" borderId="117" xfId="52" applyFont="1" applyBorder="1" applyAlignment="1">
      <alignment horizontal="left"/>
      <protection/>
    </xf>
    <xf numFmtId="0" fontId="19" fillId="0" borderId="58" xfId="52" applyFont="1" applyBorder="1" applyAlignment="1">
      <alignment/>
      <protection/>
    </xf>
    <xf numFmtId="3" fontId="19" fillId="0" borderId="117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3" fontId="19" fillId="0" borderId="60" xfId="0" applyNumberFormat="1" applyFont="1" applyFill="1" applyBorder="1" applyAlignment="1">
      <alignment/>
    </xf>
    <xf numFmtId="3" fontId="19" fillId="17" borderId="56" xfId="0" applyNumberFormat="1" applyFont="1" applyFill="1" applyBorder="1" applyAlignment="1">
      <alignment horizontal="right"/>
    </xf>
    <xf numFmtId="0" fontId="19" fillId="0" borderId="90" xfId="52" applyFont="1" applyBorder="1" applyAlignment="1">
      <alignment horizontal="left"/>
      <protection/>
    </xf>
    <xf numFmtId="0" fontId="19" fillId="0" borderId="34" xfId="52" applyFont="1" applyBorder="1" applyAlignment="1">
      <alignment/>
      <protection/>
    </xf>
    <xf numFmtId="4" fontId="19" fillId="0" borderId="90" xfId="52" applyNumberFormat="1" applyFont="1" applyBorder="1" applyAlignment="1">
      <alignment horizontal="right"/>
      <protection/>
    </xf>
    <xf numFmtId="4" fontId="19" fillId="0" borderId="34" xfId="52" applyNumberFormat="1" applyFont="1" applyBorder="1" applyAlignment="1">
      <alignment horizontal="right"/>
      <protection/>
    </xf>
    <xf numFmtId="3" fontId="19" fillId="0" borderId="90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0" fontId="19" fillId="0" borderId="26" xfId="52" applyFont="1" applyBorder="1" applyAlignment="1">
      <alignment horizontal="left"/>
      <protection/>
    </xf>
    <xf numFmtId="0" fontId="19" fillId="0" borderId="12" xfId="52" applyFont="1" applyBorder="1" applyAlignment="1">
      <alignment/>
      <protection/>
    </xf>
    <xf numFmtId="4" fontId="19" fillId="0" borderId="26" xfId="52" applyNumberFormat="1" applyFont="1" applyBorder="1" applyAlignment="1">
      <alignment horizontal="right"/>
      <protection/>
    </xf>
    <xf numFmtId="4" fontId="19" fillId="0" borderId="95" xfId="52" applyNumberFormat="1" applyFont="1" applyBorder="1" applyAlignment="1">
      <alignment horizontal="right"/>
      <protection/>
    </xf>
    <xf numFmtId="4" fontId="19" fillId="0" borderId="12" xfId="52" applyNumberFormat="1" applyFont="1" applyBorder="1" applyAlignment="1">
      <alignment horizontal="right"/>
      <protection/>
    </xf>
    <xf numFmtId="3" fontId="19" fillId="0" borderId="26" xfId="0" applyNumberFormat="1" applyFont="1" applyBorder="1" applyAlignment="1">
      <alignment horizontal="right"/>
    </xf>
    <xf numFmtId="3" fontId="19" fillId="0" borderId="95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center"/>
    </xf>
    <xf numFmtId="0" fontId="39" fillId="0" borderId="0" xfId="52" applyFont="1" applyAlignment="1">
      <alignment horizontal="left"/>
      <protection/>
    </xf>
    <xf numFmtId="0" fontId="39" fillId="0" borderId="0" xfId="52" applyFont="1" applyAlignment="1">
      <alignment/>
      <protection/>
    </xf>
    <xf numFmtId="0" fontId="38" fillId="0" borderId="0" xfId="52" applyFont="1" applyAlignment="1">
      <alignment/>
      <protection/>
    </xf>
    <xf numFmtId="3" fontId="24" fillId="0" borderId="98" xfId="50" applyNumberFormat="1" applyFont="1" applyFill="1" applyBorder="1">
      <alignment/>
      <protection/>
    </xf>
    <xf numFmtId="3" fontId="34" fillId="17" borderId="121" xfId="50" applyNumberFormat="1" applyFont="1" applyFill="1" applyBorder="1">
      <alignment/>
      <protection/>
    </xf>
    <xf numFmtId="0" fontId="10" fillId="0" borderId="82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3" fillId="0" borderId="69" xfId="0" applyFont="1" applyBorder="1" applyAlignment="1">
      <alignment horizontal="center"/>
    </xf>
    <xf numFmtId="0" fontId="35" fillId="0" borderId="0" xfId="0" applyFont="1" applyAlignment="1">
      <alignment/>
    </xf>
    <xf numFmtId="0" fontId="0" fillId="7" borderId="113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 horizontal="left"/>
    </xf>
    <xf numFmtId="0" fontId="30" fillId="0" borderId="95" xfId="50" applyFont="1" applyBorder="1" applyAlignment="1">
      <alignment horizontal="center"/>
      <protection/>
    </xf>
    <xf numFmtId="3" fontId="22" fillId="0" borderId="56" xfId="0" applyNumberFormat="1" applyFont="1" applyFill="1" applyBorder="1" applyAlignment="1">
      <alignment/>
    </xf>
    <xf numFmtId="0" fontId="18" fillId="0" borderId="21" xfId="0" applyFont="1" applyFill="1" applyBorder="1" applyAlignment="1">
      <alignment/>
    </xf>
    <xf numFmtId="3" fontId="22" fillId="0" borderId="97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18" fillId="0" borderId="124" xfId="0" applyFont="1" applyFill="1" applyBorder="1" applyAlignment="1">
      <alignment/>
    </xf>
    <xf numFmtId="3" fontId="22" fillId="0" borderId="114" xfId="0" applyNumberFormat="1" applyFont="1" applyFill="1" applyBorder="1" applyAlignment="1">
      <alignment/>
    </xf>
    <xf numFmtId="3" fontId="18" fillId="0" borderId="96" xfId="0" applyNumberFormat="1" applyFont="1" applyFill="1" applyBorder="1" applyAlignment="1">
      <alignment/>
    </xf>
    <xf numFmtId="0" fontId="18" fillId="0" borderId="61" xfId="0" applyFont="1" applyFill="1" applyBorder="1" applyAlignment="1">
      <alignment/>
    </xf>
    <xf numFmtId="3" fontId="22" fillId="0" borderId="99" xfId="0" applyNumberFormat="1" applyFont="1" applyFill="1" applyBorder="1" applyAlignment="1">
      <alignment/>
    </xf>
    <xf numFmtId="0" fontId="18" fillId="0" borderId="97" xfId="0" applyFont="1" applyFill="1" applyBorder="1" applyAlignment="1">
      <alignment horizontal="center"/>
    </xf>
    <xf numFmtId="0" fontId="18" fillId="0" borderId="95" xfId="0" applyFont="1" applyFill="1" applyBorder="1" applyAlignment="1">
      <alignment horizontal="center"/>
    </xf>
    <xf numFmtId="0" fontId="22" fillId="0" borderId="82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47" xfId="0" applyFont="1" applyFill="1" applyBorder="1" applyAlignment="1">
      <alignment horizontal="center"/>
    </xf>
    <xf numFmtId="0" fontId="22" fillId="0" borderId="97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0" fontId="22" fillId="0" borderId="95" xfId="0" applyFont="1" applyFill="1" applyBorder="1" applyAlignment="1">
      <alignment horizontal="center"/>
    </xf>
    <xf numFmtId="3" fontId="22" fillId="0" borderId="106" xfId="0" applyNumberFormat="1" applyFont="1" applyFill="1" applyBorder="1" applyAlignment="1">
      <alignment/>
    </xf>
    <xf numFmtId="0" fontId="22" fillId="0" borderId="61" xfId="0" applyFont="1" applyFill="1" applyBorder="1" applyAlignment="1">
      <alignment/>
    </xf>
    <xf numFmtId="3" fontId="22" fillId="0" borderId="91" xfId="0" applyNumberFormat="1" applyFont="1" applyFill="1" applyBorder="1" applyAlignment="1">
      <alignment/>
    </xf>
    <xf numFmtId="3" fontId="22" fillId="0" borderId="125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3" fontId="18" fillId="0" borderId="95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0" fontId="18" fillId="0" borderId="82" xfId="0" applyFont="1" applyFill="1" applyBorder="1" applyAlignment="1">
      <alignment horizontal="center"/>
    </xf>
    <xf numFmtId="0" fontId="18" fillId="0" borderId="106" xfId="0" applyFont="1" applyFill="1" applyBorder="1" applyAlignment="1">
      <alignment horizontal="center"/>
    </xf>
    <xf numFmtId="3" fontId="22" fillId="0" borderId="101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3" fontId="22" fillId="0" borderId="17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22" fillId="0" borderId="34" xfId="0" applyNumberFormat="1" applyFont="1" applyFill="1" applyBorder="1" applyAlignment="1">
      <alignment/>
    </xf>
    <xf numFmtId="3" fontId="22" fillId="0" borderId="41" xfId="0" applyNumberFormat="1" applyFont="1" applyFill="1" applyBorder="1" applyAlignment="1">
      <alignment/>
    </xf>
    <xf numFmtId="0" fontId="22" fillId="0" borderId="106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3" fontId="22" fillId="0" borderId="95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26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2" fillId="0" borderId="96" xfId="0" applyFont="1" applyFill="1" applyBorder="1" applyAlignment="1">
      <alignment horizontal="center"/>
    </xf>
    <xf numFmtId="0" fontId="22" fillId="0" borderId="67" xfId="0" applyFont="1" applyFill="1" applyBorder="1" applyAlignment="1">
      <alignment/>
    </xf>
    <xf numFmtId="3" fontId="22" fillId="0" borderId="127" xfId="0" applyNumberFormat="1" applyFont="1" applyFill="1" applyBorder="1" applyAlignment="1">
      <alignment/>
    </xf>
    <xf numFmtId="4" fontId="22" fillId="0" borderId="72" xfId="0" applyNumberFormat="1" applyFont="1" applyFill="1" applyBorder="1" applyAlignment="1">
      <alignment/>
    </xf>
    <xf numFmtId="0" fontId="18" fillId="0" borderId="39" xfId="0" applyFont="1" applyFill="1" applyBorder="1" applyAlignment="1">
      <alignment/>
    </xf>
    <xf numFmtId="4" fontId="18" fillId="0" borderId="95" xfId="0" applyNumberFormat="1" applyFont="1" applyFill="1" applyBorder="1" applyAlignment="1">
      <alignment/>
    </xf>
    <xf numFmtId="0" fontId="18" fillId="0" borderId="64" xfId="0" applyFont="1" applyFill="1" applyBorder="1" applyAlignment="1">
      <alignment/>
    </xf>
    <xf numFmtId="4" fontId="22" fillId="0" borderId="114" xfId="0" applyNumberFormat="1" applyFont="1" applyFill="1" applyBorder="1" applyAlignment="1">
      <alignment/>
    </xf>
    <xf numFmtId="3" fontId="18" fillId="0" borderId="128" xfId="0" applyNumberFormat="1" applyFont="1" applyFill="1" applyBorder="1" applyAlignment="1">
      <alignment/>
    </xf>
    <xf numFmtId="0" fontId="22" fillId="0" borderId="64" xfId="0" applyFont="1" applyFill="1" applyBorder="1" applyAlignment="1">
      <alignment/>
    </xf>
    <xf numFmtId="3" fontId="22" fillId="0" borderId="101" xfId="0" applyNumberFormat="1" applyFont="1" applyFill="1" applyBorder="1" applyAlignment="1">
      <alignment/>
    </xf>
    <xf numFmtId="3" fontId="22" fillId="0" borderId="102" xfId="0" applyNumberFormat="1" applyFont="1" applyFill="1" applyBorder="1" applyAlignment="1">
      <alignment/>
    </xf>
    <xf numFmtId="0" fontId="22" fillId="0" borderId="129" xfId="0" applyFont="1" applyFill="1" applyBorder="1" applyAlignment="1">
      <alignment horizontal="center"/>
    </xf>
    <xf numFmtId="4" fontId="22" fillId="0" borderId="97" xfId="0" applyNumberFormat="1" applyFont="1" applyFill="1" applyBorder="1" applyAlignment="1">
      <alignment horizontal="center"/>
    </xf>
    <xf numFmtId="4" fontId="22" fillId="0" borderId="99" xfId="0" applyNumberFormat="1" applyFont="1" applyFill="1" applyBorder="1" applyAlignment="1">
      <alignment horizontal="center"/>
    </xf>
    <xf numFmtId="4" fontId="22" fillId="0" borderId="101" xfId="0" applyNumberFormat="1" applyFont="1" applyFill="1" applyBorder="1" applyAlignment="1">
      <alignment horizontal="center"/>
    </xf>
    <xf numFmtId="4" fontId="18" fillId="0" borderId="128" xfId="0" applyNumberFormat="1" applyFont="1" applyFill="1" applyBorder="1" applyAlignment="1">
      <alignment horizontal="center"/>
    </xf>
    <xf numFmtId="0" fontId="18" fillId="0" borderId="106" xfId="0" applyFont="1" applyFill="1" applyBorder="1" applyAlignment="1">
      <alignment/>
    </xf>
    <xf numFmtId="0" fontId="18" fillId="0" borderId="8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left"/>
    </xf>
    <xf numFmtId="3" fontId="18" fillId="0" borderId="90" xfId="0" applyNumberFormat="1" applyFont="1" applyFill="1" applyBorder="1" applyAlignment="1">
      <alignment horizontal="left"/>
    </xf>
    <xf numFmtId="3" fontId="18" fillId="0" borderId="92" xfId="0" applyNumberFormat="1" applyFont="1" applyFill="1" applyBorder="1" applyAlignment="1">
      <alignment horizontal="left"/>
    </xf>
    <xf numFmtId="3" fontId="18" fillId="0" borderId="26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3" fontId="18" fillId="0" borderId="70" xfId="0" applyNumberFormat="1" applyFont="1" applyFill="1" applyBorder="1" applyAlignment="1">
      <alignment/>
    </xf>
    <xf numFmtId="3" fontId="4" fillId="0" borderId="1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18" fillId="0" borderId="95" xfId="0" applyFont="1" applyFill="1" applyBorder="1" applyAlignment="1">
      <alignment/>
    </xf>
    <xf numFmtId="3" fontId="22" fillId="0" borderId="95" xfId="0" applyNumberFormat="1" applyFont="1" applyFill="1" applyBorder="1" applyAlignment="1">
      <alignment/>
    </xf>
    <xf numFmtId="0" fontId="24" fillId="0" borderId="0" xfId="50" applyFont="1">
      <alignment/>
      <protection/>
    </xf>
    <xf numFmtId="3" fontId="0" fillId="0" borderId="91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38" fillId="0" borderId="108" xfId="0" applyFont="1" applyFill="1" applyBorder="1" applyAlignment="1">
      <alignment horizontal="center"/>
    </xf>
    <xf numFmtId="0" fontId="38" fillId="0" borderId="113" xfId="0" applyFont="1" applyFill="1" applyBorder="1" applyAlignment="1">
      <alignment horizontal="center"/>
    </xf>
    <xf numFmtId="0" fontId="38" fillId="0" borderId="121" xfId="0" applyFont="1" applyFill="1" applyBorder="1" applyAlignment="1">
      <alignment horizontal="center"/>
    </xf>
    <xf numFmtId="0" fontId="38" fillId="17" borderId="1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85" xfId="0" applyFont="1" applyFill="1" applyBorder="1" applyAlignment="1">
      <alignment horizontal="center"/>
    </xf>
    <xf numFmtId="189" fontId="22" fillId="0" borderId="0" xfId="0" applyNumberFormat="1" applyFont="1" applyFill="1" applyBorder="1" applyAlignment="1">
      <alignment/>
    </xf>
    <xf numFmtId="0" fontId="22" fillId="0" borderId="131" xfId="0" applyFont="1" applyFill="1" applyBorder="1" applyAlignment="1">
      <alignment horizontal="center"/>
    </xf>
    <xf numFmtId="3" fontId="42" fillId="0" borderId="61" xfId="0" applyNumberFormat="1" applyFont="1" applyBorder="1" applyAlignment="1">
      <alignment horizontal="right"/>
    </xf>
    <xf numFmtId="3" fontId="42" fillId="0" borderId="99" xfId="0" applyNumberFormat="1" applyFont="1" applyBorder="1" applyAlignment="1">
      <alignment horizontal="right"/>
    </xf>
    <xf numFmtId="3" fontId="42" fillId="0" borderId="100" xfId="0" applyNumberFormat="1" applyFont="1" applyFill="1" applyBorder="1" applyAlignment="1">
      <alignment/>
    </xf>
    <xf numFmtId="14" fontId="15" fillId="0" borderId="0" xfId="50" applyNumberFormat="1" applyFont="1">
      <alignment/>
      <protection/>
    </xf>
    <xf numFmtId="0" fontId="15" fillId="0" borderId="0" xfId="50" applyFont="1" applyAlignment="1">
      <alignment horizontal="center" wrapText="1"/>
      <protection/>
    </xf>
    <xf numFmtId="3" fontId="22" fillId="24" borderId="132" xfId="50" applyNumberFormat="1" applyFont="1" applyFill="1" applyBorder="1">
      <alignment/>
      <protection/>
    </xf>
    <xf numFmtId="0" fontId="3" fillId="0" borderId="0" xfId="50" applyFont="1" applyFill="1">
      <alignment/>
      <protection/>
    </xf>
    <xf numFmtId="0" fontId="8" fillId="0" borderId="0" xfId="50" applyFont="1" applyFill="1">
      <alignment/>
      <protection/>
    </xf>
    <xf numFmtId="0" fontId="44" fillId="0" borderId="0" xfId="50" applyFont="1" applyFill="1">
      <alignment/>
      <protection/>
    </xf>
    <xf numFmtId="0" fontId="44" fillId="0" borderId="0" xfId="50" applyFont="1">
      <alignment/>
      <protection/>
    </xf>
    <xf numFmtId="3" fontId="46" fillId="0" borderId="0" xfId="0" applyNumberFormat="1" applyFont="1" applyAlignment="1">
      <alignment/>
    </xf>
    <xf numFmtId="3" fontId="15" fillId="0" borderId="71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2" fillId="0" borderId="133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59" xfId="0" applyNumberFormat="1" applyFont="1" applyFill="1" applyBorder="1" applyAlignment="1">
      <alignment/>
    </xf>
    <xf numFmtId="3" fontId="22" fillId="0" borderId="33" xfId="0" applyNumberFormat="1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43" xfId="0" applyNumberFormat="1" applyFont="1" applyFill="1" applyBorder="1" applyAlignment="1">
      <alignment/>
    </xf>
    <xf numFmtId="0" fontId="22" fillId="0" borderId="42" xfId="0" applyFont="1" applyFill="1" applyBorder="1" applyAlignment="1">
      <alignment/>
    </xf>
    <xf numFmtId="3" fontId="22" fillId="0" borderId="56" xfId="0" applyNumberFormat="1" applyFont="1" applyFill="1" applyBorder="1" applyAlignment="1">
      <alignment/>
    </xf>
    <xf numFmtId="1" fontId="22" fillId="0" borderId="39" xfId="0" applyNumberFormat="1" applyFont="1" applyFill="1" applyBorder="1" applyAlignment="1">
      <alignment horizontal="center"/>
    </xf>
    <xf numFmtId="4" fontId="22" fillId="0" borderId="97" xfId="0" applyNumberFormat="1" applyFont="1" applyFill="1" applyBorder="1" applyAlignment="1">
      <alignment/>
    </xf>
    <xf numFmtId="4" fontId="22" fillId="0" borderId="99" xfId="0" applyNumberFormat="1" applyFont="1" applyFill="1" applyBorder="1" applyAlignment="1">
      <alignment/>
    </xf>
    <xf numFmtId="4" fontId="22" fillId="0" borderId="101" xfId="0" applyNumberFormat="1" applyFont="1" applyFill="1" applyBorder="1" applyAlignment="1">
      <alignment/>
    </xf>
    <xf numFmtId="2" fontId="22" fillId="0" borderId="97" xfId="0" applyNumberFormat="1" applyFont="1" applyFill="1" applyBorder="1" applyAlignment="1">
      <alignment/>
    </xf>
    <xf numFmtId="2" fontId="22" fillId="0" borderId="99" xfId="0" applyNumberFormat="1" applyFont="1" applyFill="1" applyBorder="1" applyAlignment="1">
      <alignment/>
    </xf>
    <xf numFmtId="2" fontId="22" fillId="0" borderId="101" xfId="0" applyNumberFormat="1" applyFont="1" applyFill="1" applyBorder="1" applyAlignment="1">
      <alignment/>
    </xf>
    <xf numFmtId="3" fontId="22" fillId="0" borderId="72" xfId="0" applyNumberFormat="1" applyFont="1" applyFill="1" applyBorder="1" applyAlignment="1">
      <alignment/>
    </xf>
    <xf numFmtId="3" fontId="22" fillId="0" borderId="96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Border="1" applyAlignment="1">
      <alignment/>
    </xf>
    <xf numFmtId="3" fontId="53" fillId="17" borderId="99" xfId="0" applyNumberFormat="1" applyFont="1" applyFill="1" applyBorder="1" applyAlignment="1">
      <alignment horizontal="right"/>
    </xf>
    <xf numFmtId="3" fontId="54" fillId="17" borderId="95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52" fillId="0" borderId="0" xfId="0" applyNumberFormat="1" applyFont="1" applyAlignment="1">
      <alignment/>
    </xf>
    <xf numFmtId="0" fontId="57" fillId="0" borderId="0" xfId="0" applyFont="1" applyAlignment="1">
      <alignment/>
    </xf>
    <xf numFmtId="0" fontId="52" fillId="0" borderId="0" xfId="0" applyFont="1" applyAlignment="1">
      <alignment/>
    </xf>
    <xf numFmtId="4" fontId="19" fillId="0" borderId="134" xfId="52" applyNumberFormat="1" applyFont="1" applyBorder="1">
      <alignment/>
      <protection/>
    </xf>
    <xf numFmtId="4" fontId="19" fillId="0" borderId="0" xfId="51" applyNumberFormat="1" applyFont="1" applyFill="1" applyBorder="1" applyAlignment="1">
      <alignment horizontal="right"/>
      <protection/>
    </xf>
    <xf numFmtId="4" fontId="19" fillId="0" borderId="135" xfId="51" applyNumberFormat="1" applyFont="1" applyFill="1" applyBorder="1" applyAlignment="1">
      <alignment horizontal="right"/>
      <protection/>
    </xf>
    <xf numFmtId="3" fontId="19" fillId="0" borderId="103" xfId="0" applyNumberFormat="1" applyFont="1" applyBorder="1" applyAlignment="1">
      <alignment horizontal="right"/>
    </xf>
    <xf numFmtId="3" fontId="19" fillId="0" borderId="64" xfId="0" applyNumberFormat="1" applyFont="1" applyBorder="1" applyAlignment="1">
      <alignment horizontal="right"/>
    </xf>
    <xf numFmtId="3" fontId="58" fillId="17" borderId="21" xfId="0" applyNumberFormat="1" applyFont="1" applyFill="1" applyBorder="1" applyAlignment="1">
      <alignment/>
    </xf>
    <xf numFmtId="3" fontId="58" fillId="17" borderId="61" xfId="0" applyNumberFormat="1" applyFont="1" applyFill="1" applyBorder="1" applyAlignment="1">
      <alignment/>
    </xf>
    <xf numFmtId="3" fontId="21" fillId="0" borderId="63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4" fontId="19" fillId="0" borderId="99" xfId="0" applyNumberFormat="1" applyFont="1" applyFill="1" applyBorder="1" applyAlignment="1">
      <alignment horizontal="right"/>
    </xf>
    <xf numFmtId="3" fontId="19" fillId="0" borderId="136" xfId="0" applyNumberFormat="1" applyFont="1" applyFill="1" applyBorder="1" applyAlignment="1">
      <alignment horizontal="right"/>
    </xf>
    <xf numFmtId="3" fontId="19" fillId="0" borderId="97" xfId="0" applyNumberFormat="1" applyFont="1" applyFill="1" applyBorder="1" applyAlignment="1">
      <alignment horizontal="right"/>
    </xf>
    <xf numFmtId="3" fontId="19" fillId="0" borderId="99" xfId="0" applyNumberFormat="1" applyFont="1" applyFill="1" applyBorder="1" applyAlignment="1">
      <alignment horizontal="right"/>
    </xf>
    <xf numFmtId="3" fontId="19" fillId="0" borderId="136" xfId="0" applyNumberFormat="1" applyFont="1" applyBorder="1" applyAlignment="1">
      <alignment horizontal="right"/>
    </xf>
    <xf numFmtId="3" fontId="19" fillId="17" borderId="99" xfId="0" applyNumberFormat="1" applyFont="1" applyFill="1" applyBorder="1" applyAlignment="1">
      <alignment horizontal="right"/>
    </xf>
    <xf numFmtId="3" fontId="42" fillId="17" borderId="136" xfId="0" applyNumberFormat="1" applyFont="1" applyFill="1" applyBorder="1" applyAlignment="1">
      <alignment horizontal="right"/>
    </xf>
    <xf numFmtId="0" fontId="19" fillId="0" borderId="0" xfId="52" applyFont="1" applyFill="1" applyAlignment="1">
      <alignment/>
      <protection/>
    </xf>
    <xf numFmtId="3" fontId="53" fillId="0" borderId="99" xfId="0" applyNumberFormat="1" applyFont="1" applyFill="1" applyBorder="1" applyAlignment="1">
      <alignment horizontal="right"/>
    </xf>
    <xf numFmtId="0" fontId="4" fillId="0" borderId="83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3" fontId="10" fillId="17" borderId="16" xfId="0" applyNumberFormat="1" applyFont="1" applyFill="1" applyBorder="1" applyAlignment="1">
      <alignment/>
    </xf>
    <xf numFmtId="3" fontId="9" fillId="17" borderId="16" xfId="0" applyNumberFormat="1" applyFont="1" applyFill="1" applyBorder="1" applyAlignment="1">
      <alignment/>
    </xf>
    <xf numFmtId="3" fontId="9" fillId="17" borderId="46" xfId="0" applyNumberFormat="1" applyFont="1" applyFill="1" applyBorder="1" applyAlignment="1">
      <alignment/>
    </xf>
    <xf numFmtId="3" fontId="4" fillId="17" borderId="76" xfId="0" applyNumberFormat="1" applyFont="1" applyFill="1" applyBorder="1" applyAlignment="1">
      <alignment/>
    </xf>
    <xf numFmtId="3" fontId="0" fillId="0" borderId="7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3" fontId="1" fillId="0" borderId="103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38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7" fillId="0" borderId="132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10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3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132" xfId="0" applyNumberFormat="1" applyFont="1" applyBorder="1" applyAlignment="1">
      <alignment/>
    </xf>
    <xf numFmtId="0" fontId="15" fillId="0" borderId="34" xfId="0" applyFont="1" applyFill="1" applyBorder="1" applyAlignment="1">
      <alignment horizontal="left"/>
    </xf>
    <xf numFmtId="3" fontId="0" fillId="0" borderId="6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4" fillId="0" borderId="139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3" fontId="4" fillId="0" borderId="140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4" fillId="0" borderId="137" xfId="0" applyNumberFormat="1" applyFont="1" applyBorder="1" applyAlignment="1">
      <alignment/>
    </xf>
    <xf numFmtId="0" fontId="35" fillId="0" borderId="0" xfId="0" applyFont="1" applyAlignment="1">
      <alignment/>
    </xf>
    <xf numFmtId="14" fontId="15" fillId="0" borderId="0" xfId="50" applyNumberFormat="1" applyFont="1" applyAlignment="1">
      <alignment horizontal="center"/>
      <protection/>
    </xf>
    <xf numFmtId="3" fontId="22" fillId="0" borderId="132" xfId="50" applyNumberFormat="1" applyFont="1" applyFill="1" applyBorder="1">
      <alignment/>
      <protection/>
    </xf>
    <xf numFmtId="3" fontId="18" fillId="0" borderId="132" xfId="50" applyNumberFormat="1" applyFont="1" applyFill="1" applyBorder="1">
      <alignment/>
      <protection/>
    </xf>
    <xf numFmtId="0" fontId="9" fillId="0" borderId="0" xfId="50" applyFont="1">
      <alignment/>
      <protection/>
    </xf>
    <xf numFmtId="3" fontId="4" fillId="0" borderId="0" xfId="50" applyNumberFormat="1" applyFont="1">
      <alignment/>
      <protection/>
    </xf>
    <xf numFmtId="0" fontId="33" fillId="0" borderId="0" xfId="0" applyFont="1" applyFill="1" applyBorder="1" applyAlignment="1">
      <alignment/>
    </xf>
    <xf numFmtId="3" fontId="63" fillId="0" borderId="40" xfId="0" applyNumberFormat="1" applyFont="1" applyBorder="1" applyAlignment="1">
      <alignment/>
    </xf>
    <xf numFmtId="0" fontId="38" fillId="0" borderId="111" xfId="52" applyFont="1" applyBorder="1" applyAlignment="1">
      <alignment/>
      <protection/>
    </xf>
    <xf numFmtId="0" fontId="37" fillId="0" borderId="33" xfId="52" applyFont="1" applyBorder="1" applyAlignment="1">
      <alignment/>
      <protection/>
    </xf>
    <xf numFmtId="4" fontId="19" fillId="0" borderId="97" xfId="0" applyNumberFormat="1" applyFont="1" applyFill="1" applyBorder="1" applyAlignment="1">
      <alignment horizontal="right"/>
    </xf>
    <xf numFmtId="4" fontId="19" fillId="0" borderId="98" xfId="0" applyNumberFormat="1" applyFont="1" applyFill="1" applyBorder="1" applyAlignment="1">
      <alignment/>
    </xf>
    <xf numFmtId="4" fontId="19" fillId="0" borderId="100" xfId="0" applyNumberFormat="1" applyFont="1" applyFill="1" applyBorder="1" applyAlignment="1">
      <alignment/>
    </xf>
    <xf numFmtId="4" fontId="19" fillId="0" borderId="47" xfId="0" applyNumberFormat="1" applyFont="1" applyFill="1" applyBorder="1" applyAlignment="1">
      <alignment horizontal="right"/>
    </xf>
    <xf numFmtId="4" fontId="19" fillId="0" borderId="102" xfId="0" applyNumberFormat="1" applyFont="1" applyFill="1" applyBorder="1" applyAlignment="1">
      <alignment/>
    </xf>
    <xf numFmtId="4" fontId="19" fillId="0" borderId="120" xfId="0" applyNumberFormat="1" applyFont="1" applyFill="1" applyBorder="1" applyAlignment="1">
      <alignment/>
    </xf>
    <xf numFmtId="4" fontId="19" fillId="0" borderId="48" xfId="0" applyNumberFormat="1" applyFont="1" applyFill="1" applyBorder="1" applyAlignment="1">
      <alignment/>
    </xf>
    <xf numFmtId="0" fontId="37" fillId="0" borderId="99" xfId="52" applyFont="1" applyBorder="1" applyAlignment="1">
      <alignment/>
      <protection/>
    </xf>
    <xf numFmtId="0" fontId="64" fillId="0" borderId="0" xfId="52" applyFont="1">
      <alignment/>
      <protection/>
    </xf>
    <xf numFmtId="0" fontId="65" fillId="0" borderId="0" xfId="52" applyFont="1" applyAlignment="1">
      <alignment horizontal="left"/>
      <protection/>
    </xf>
    <xf numFmtId="3" fontId="41" fillId="0" borderId="141" xfId="0" applyNumberFormat="1" applyFont="1" applyBorder="1" applyAlignment="1">
      <alignment/>
    </xf>
    <xf numFmtId="3" fontId="66" fillId="0" borderId="142" xfId="0" applyNumberFormat="1" applyFont="1" applyBorder="1" applyAlignment="1">
      <alignment/>
    </xf>
    <xf numFmtId="0" fontId="0" fillId="0" borderId="122" xfId="0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24" fillId="0" borderId="42" xfId="0" applyNumberFormat="1" applyFont="1" applyFill="1" applyBorder="1" applyAlignment="1">
      <alignment/>
    </xf>
    <xf numFmtId="4" fontId="24" fillId="0" borderId="9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43" fillId="0" borderId="0" xfId="50" applyFont="1" applyAlignment="1">
      <alignment horizontal="right"/>
      <protection/>
    </xf>
    <xf numFmtId="0" fontId="3" fillId="0" borderId="41" xfId="50" applyFont="1" applyFill="1" applyBorder="1">
      <alignment/>
      <protection/>
    </xf>
    <xf numFmtId="0" fontId="3" fillId="0" borderId="124" xfId="50" applyFont="1" applyBorder="1" applyAlignment="1">
      <alignment horizontal="center"/>
      <protection/>
    </xf>
    <xf numFmtId="0" fontId="3" fillId="0" borderId="114" xfId="50" applyFont="1" applyBorder="1">
      <alignment/>
      <protection/>
    </xf>
    <xf numFmtId="0" fontId="24" fillId="0" borderId="114" xfId="50" applyFont="1" applyBorder="1" applyAlignment="1">
      <alignment horizontal="center"/>
      <protection/>
    </xf>
    <xf numFmtId="0" fontId="9" fillId="0" borderId="114" xfId="50" applyFont="1" applyBorder="1" applyAlignment="1">
      <alignment horizontal="center"/>
      <protection/>
    </xf>
    <xf numFmtId="0" fontId="3" fillId="0" borderId="108" xfId="50" applyFont="1" applyBorder="1" applyAlignment="1">
      <alignment horizontal="center"/>
      <protection/>
    </xf>
    <xf numFmtId="0" fontId="3" fillId="0" borderId="113" xfId="50" applyFont="1" applyBorder="1">
      <alignment/>
      <protection/>
    </xf>
    <xf numFmtId="0" fontId="4" fillId="0" borderId="113" xfId="50" applyFont="1" applyBorder="1" applyAlignment="1">
      <alignment horizontal="center"/>
      <protection/>
    </xf>
    <xf numFmtId="0" fontId="3" fillId="0" borderId="113" xfId="50" applyFont="1" applyBorder="1" applyAlignment="1">
      <alignment horizontal="center"/>
      <protection/>
    </xf>
    <xf numFmtId="0" fontId="24" fillId="0" borderId="113" xfId="50" applyFont="1" applyBorder="1" applyAlignment="1">
      <alignment horizontal="center"/>
      <protection/>
    </xf>
    <xf numFmtId="0" fontId="9" fillId="0" borderId="113" xfId="50" applyFont="1" applyBorder="1" applyAlignment="1">
      <alignment horizontal="center"/>
      <protection/>
    </xf>
    <xf numFmtId="0" fontId="85" fillId="0" borderId="41" xfId="50" applyFont="1" applyFill="1" applyBorder="1">
      <alignment/>
      <protection/>
    </xf>
    <xf numFmtId="0" fontId="85" fillId="25" borderId="108" xfId="50" applyFont="1" applyFill="1" applyBorder="1" applyAlignment="1">
      <alignment horizontal="center"/>
      <protection/>
    </xf>
    <xf numFmtId="0" fontId="85" fillId="25" borderId="113" xfId="50" applyFont="1" applyFill="1" applyBorder="1" applyAlignment="1">
      <alignment horizontal="center"/>
      <protection/>
    </xf>
    <xf numFmtId="3" fontId="86" fillId="25" borderId="113" xfId="50" applyNumberFormat="1" applyFont="1" applyFill="1" applyBorder="1" applyAlignment="1">
      <alignment horizontal="right"/>
      <protection/>
    </xf>
    <xf numFmtId="3" fontId="85" fillId="25" borderId="113" xfId="50" applyNumberFormat="1" applyFont="1" applyFill="1" applyBorder="1" applyAlignment="1">
      <alignment horizontal="right"/>
      <protection/>
    </xf>
    <xf numFmtId="3" fontId="85" fillId="25" borderId="121" xfId="50" applyNumberFormat="1" applyFont="1" applyFill="1" applyBorder="1" applyAlignment="1">
      <alignment horizontal="right"/>
      <protection/>
    </xf>
    <xf numFmtId="0" fontId="62" fillId="0" borderId="0" xfId="50" applyFont="1">
      <alignment/>
      <protection/>
    </xf>
    <xf numFmtId="0" fontId="3" fillId="17" borderId="108" xfId="50" applyFont="1" applyFill="1" applyBorder="1" applyAlignment="1">
      <alignment horizontal="center"/>
      <protection/>
    </xf>
    <xf numFmtId="0" fontId="3" fillId="17" borderId="113" xfId="50" applyFont="1" applyFill="1" applyBorder="1">
      <alignment/>
      <protection/>
    </xf>
    <xf numFmtId="3" fontId="4" fillId="17" borderId="113" xfId="50" applyNumberFormat="1" applyFont="1" applyFill="1" applyBorder="1">
      <alignment/>
      <protection/>
    </xf>
    <xf numFmtId="3" fontId="3" fillId="17" borderId="113" xfId="50" applyNumberFormat="1" applyFont="1" applyFill="1" applyBorder="1">
      <alignment/>
      <protection/>
    </xf>
    <xf numFmtId="3" fontId="24" fillId="17" borderId="113" xfId="50" applyNumberFormat="1" applyFont="1" applyFill="1" applyBorder="1">
      <alignment/>
      <protection/>
    </xf>
    <xf numFmtId="3" fontId="36" fillId="17" borderId="113" xfId="50" applyNumberFormat="1" applyFont="1" applyFill="1" applyBorder="1">
      <alignment/>
      <protection/>
    </xf>
    <xf numFmtId="3" fontId="36" fillId="17" borderId="121" xfId="50" applyNumberFormat="1" applyFont="1" applyFill="1" applyBorder="1">
      <alignment/>
      <protection/>
    </xf>
    <xf numFmtId="0" fontId="3" fillId="0" borderId="108" xfId="50" applyFont="1" applyFill="1" applyBorder="1" applyAlignment="1">
      <alignment horizontal="center"/>
      <protection/>
    </xf>
    <xf numFmtId="0" fontId="3" fillId="0" borderId="113" xfId="50" applyFont="1" applyFill="1" applyBorder="1">
      <alignment/>
      <protection/>
    </xf>
    <xf numFmtId="3" fontId="4" fillId="0" borderId="113" xfId="50" applyNumberFormat="1" applyFont="1" applyFill="1" applyBorder="1" applyAlignment="1">
      <alignment horizontal="right"/>
      <protection/>
    </xf>
    <xf numFmtId="3" fontId="4" fillId="0" borderId="113" xfId="50" applyNumberFormat="1" applyFont="1" applyFill="1" applyBorder="1">
      <alignment/>
      <protection/>
    </xf>
    <xf numFmtId="3" fontId="3" fillId="0" borderId="113" xfId="50" applyNumberFormat="1" applyFont="1" applyFill="1" applyBorder="1">
      <alignment/>
      <protection/>
    </xf>
    <xf numFmtId="3" fontId="24" fillId="26" borderId="113" xfId="50" applyNumberFormat="1" applyFont="1" applyFill="1" applyBorder="1">
      <alignment/>
      <protection/>
    </xf>
    <xf numFmtId="3" fontId="36" fillId="26" borderId="113" xfId="50" applyNumberFormat="1" applyFont="1" applyFill="1" applyBorder="1">
      <alignment/>
      <protection/>
    </xf>
    <xf numFmtId="3" fontId="36" fillId="0" borderId="121" xfId="50" applyNumberFormat="1" applyFont="1" applyFill="1" applyBorder="1">
      <alignment/>
      <protection/>
    </xf>
    <xf numFmtId="0" fontId="52" fillId="0" borderId="0" xfId="50" applyFont="1">
      <alignment/>
      <protection/>
    </xf>
    <xf numFmtId="3" fontId="43" fillId="17" borderId="113" xfId="50" applyNumberFormat="1" applyFont="1" applyFill="1" applyBorder="1">
      <alignment/>
      <protection/>
    </xf>
    <xf numFmtId="3" fontId="3" fillId="17" borderId="113" xfId="50" applyNumberFormat="1" applyFont="1" applyFill="1" applyBorder="1" applyAlignment="1">
      <alignment horizontal="right"/>
      <protection/>
    </xf>
    <xf numFmtId="3" fontId="24" fillId="17" borderId="113" xfId="50" applyNumberFormat="1" applyFont="1" applyFill="1" applyBorder="1" applyAlignment="1">
      <alignment horizontal="right"/>
      <protection/>
    </xf>
    <xf numFmtId="3" fontId="43" fillId="17" borderId="113" xfId="50" applyNumberFormat="1" applyFont="1" applyFill="1" applyBorder="1" applyAlignment="1">
      <alignment horizontal="right"/>
      <protection/>
    </xf>
    <xf numFmtId="3" fontId="36" fillId="17" borderId="121" xfId="50" applyNumberFormat="1" applyFont="1" applyFill="1" applyBorder="1" applyAlignment="1">
      <alignment horizontal="right"/>
      <protection/>
    </xf>
    <xf numFmtId="0" fontId="8" fillId="0" borderId="41" xfId="50" applyFont="1" applyFill="1" applyBorder="1">
      <alignment/>
      <protection/>
    </xf>
    <xf numFmtId="0" fontId="8" fillId="0" borderId="108" xfId="50" applyFont="1" applyBorder="1" applyAlignment="1">
      <alignment horizontal="center"/>
      <protection/>
    </xf>
    <xf numFmtId="0" fontId="8" fillId="0" borderId="113" xfId="50" applyFont="1" applyBorder="1">
      <alignment/>
      <protection/>
    </xf>
    <xf numFmtId="3" fontId="7" fillId="0" borderId="113" xfId="50" applyNumberFormat="1" applyFont="1" applyBorder="1" applyAlignment="1">
      <alignment horizontal="center"/>
      <protection/>
    </xf>
    <xf numFmtId="3" fontId="7" fillId="0" borderId="113" xfId="50" applyNumberFormat="1" applyFont="1" applyBorder="1" applyAlignment="1">
      <alignment horizontal="right"/>
      <protection/>
    </xf>
    <xf numFmtId="3" fontId="8" fillId="0" borderId="113" xfId="50" applyNumberFormat="1" applyFont="1" applyBorder="1" applyAlignment="1">
      <alignment horizontal="right"/>
      <protection/>
    </xf>
    <xf numFmtId="3" fontId="24" fillId="0" borderId="113" xfId="50" applyNumberFormat="1" applyFont="1" applyFill="1" applyBorder="1" applyAlignment="1">
      <alignment horizontal="right"/>
      <protection/>
    </xf>
    <xf numFmtId="3" fontId="24" fillId="26" borderId="113" xfId="50" applyNumberFormat="1" applyFont="1" applyFill="1" applyBorder="1" applyAlignment="1">
      <alignment horizontal="right"/>
      <protection/>
    </xf>
    <xf numFmtId="3" fontId="43" fillId="26" borderId="113" xfId="50" applyNumberFormat="1" applyFont="1" applyFill="1" applyBorder="1" applyAlignment="1">
      <alignment horizontal="right"/>
      <protection/>
    </xf>
    <xf numFmtId="3" fontId="36" fillId="26" borderId="121" xfId="50" applyNumberFormat="1" applyFont="1" applyFill="1" applyBorder="1" applyAlignment="1">
      <alignment horizontal="right"/>
      <protection/>
    </xf>
    <xf numFmtId="0" fontId="30" fillId="0" borderId="41" xfId="50" applyFont="1" applyFill="1" applyBorder="1">
      <alignment/>
      <protection/>
    </xf>
    <xf numFmtId="0" fontId="30" fillId="0" borderId="108" xfId="50" applyFont="1" applyBorder="1" applyAlignment="1">
      <alignment horizontal="center"/>
      <protection/>
    </xf>
    <xf numFmtId="3" fontId="7" fillId="0" borderId="113" xfId="50" applyNumberFormat="1" applyFont="1" applyBorder="1">
      <alignment/>
      <protection/>
    </xf>
    <xf numFmtId="3" fontId="8" fillId="0" borderId="113" xfId="50" applyNumberFormat="1" applyFont="1" applyBorder="1">
      <alignment/>
      <protection/>
    </xf>
    <xf numFmtId="3" fontId="24" fillId="0" borderId="113" xfId="50" applyNumberFormat="1" applyFont="1" applyFill="1" applyBorder="1">
      <alignment/>
      <protection/>
    </xf>
    <xf numFmtId="3" fontId="24" fillId="0" borderId="113" xfId="47" applyNumberFormat="1" applyFont="1" applyFill="1" applyBorder="1">
      <alignment/>
      <protection/>
    </xf>
    <xf numFmtId="3" fontId="36" fillId="0" borderId="113" xfId="47" applyNumberFormat="1" applyFont="1" applyFill="1" applyBorder="1">
      <alignment/>
      <protection/>
    </xf>
    <xf numFmtId="3" fontId="36" fillId="0" borderId="121" xfId="47" applyNumberFormat="1" applyFont="1" applyFill="1" applyBorder="1">
      <alignment/>
      <protection/>
    </xf>
    <xf numFmtId="3" fontId="36" fillId="0" borderId="113" xfId="50" applyNumberFormat="1" applyFont="1" applyFill="1" applyBorder="1">
      <alignment/>
      <protection/>
    </xf>
    <xf numFmtId="0" fontId="30" fillId="0" borderId="126" xfId="50" applyFont="1" applyBorder="1" applyAlignment="1">
      <alignment horizontal="center"/>
      <protection/>
    </xf>
    <xf numFmtId="0" fontId="8" fillId="0" borderId="131" xfId="50" applyFont="1" applyBorder="1">
      <alignment/>
      <protection/>
    </xf>
    <xf numFmtId="3" fontId="7" fillId="0" borderId="131" xfId="50" applyNumberFormat="1" applyFont="1" applyBorder="1">
      <alignment/>
      <protection/>
    </xf>
    <xf numFmtId="3" fontId="8" fillId="0" borderId="131" xfId="50" applyNumberFormat="1" applyFont="1" applyBorder="1">
      <alignment/>
      <protection/>
    </xf>
    <xf numFmtId="3" fontId="24" fillId="0" borderId="131" xfId="50" applyNumberFormat="1" applyFont="1" applyFill="1" applyBorder="1">
      <alignment/>
      <protection/>
    </xf>
    <xf numFmtId="0" fontId="43" fillId="0" borderId="0" xfId="50" applyFont="1">
      <alignment/>
      <protection/>
    </xf>
    <xf numFmtId="3" fontId="3" fillId="0" borderId="0" xfId="50" applyNumberFormat="1" applyFont="1">
      <alignment/>
      <protection/>
    </xf>
    <xf numFmtId="3" fontId="36" fillId="0" borderId="131" xfId="50" applyNumberFormat="1" applyFont="1" applyFill="1" applyBorder="1">
      <alignment/>
      <protection/>
    </xf>
    <xf numFmtId="3" fontId="36" fillId="0" borderId="143" xfId="50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84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83" xfId="0" applyFont="1" applyFill="1" applyBorder="1" applyAlignment="1">
      <alignment horizontal="center"/>
    </xf>
    <xf numFmtId="0" fontId="10" fillId="17" borderId="8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7" xfId="0" applyFont="1" applyFill="1" applyBorder="1" applyAlignment="1">
      <alignment horizontal="center"/>
    </xf>
    <xf numFmtId="0" fontId="10" fillId="17" borderId="13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144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/>
    </xf>
    <xf numFmtId="3" fontId="10" fillId="17" borderId="145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10" fillId="17" borderId="76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46" xfId="0" applyFont="1" applyFill="1" applyBorder="1" applyAlignment="1">
      <alignment/>
    </xf>
    <xf numFmtId="0" fontId="0" fillId="0" borderId="147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13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148" xfId="0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6" fontId="1" fillId="0" borderId="4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128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9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107" xfId="0" applyFont="1" applyFill="1" applyBorder="1" applyAlignment="1">
      <alignment/>
    </xf>
    <xf numFmtId="0" fontId="0" fillId="0" borderId="149" xfId="0" applyFont="1" applyFill="1" applyBorder="1" applyAlignment="1">
      <alignment horizontal="center"/>
    </xf>
    <xf numFmtId="0" fontId="0" fillId="0" borderId="12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5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49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49" applyFont="1" applyFill="1" applyBorder="1" applyAlignment="1">
      <alignment vertical="top" wrapText="1"/>
      <protection/>
    </xf>
    <xf numFmtId="4" fontId="3" fillId="0" borderId="85" xfId="49" applyNumberFormat="1" applyFont="1" applyFill="1" applyBorder="1">
      <alignment/>
      <protection/>
    </xf>
    <xf numFmtId="0" fontId="0" fillId="0" borderId="90" xfId="0" applyFont="1" applyBorder="1" applyAlignment="1">
      <alignment/>
    </xf>
    <xf numFmtId="0" fontId="0" fillId="0" borderId="33" xfId="49" applyFont="1" applyFill="1" applyBorder="1" applyAlignment="1">
      <alignment vertical="top" wrapText="1"/>
      <protection/>
    </xf>
    <xf numFmtId="0" fontId="0" fillId="0" borderId="92" xfId="0" applyFont="1" applyBorder="1" applyAlignment="1">
      <alignment/>
    </xf>
    <xf numFmtId="0" fontId="0" fillId="0" borderId="15" xfId="49" applyFont="1" applyFill="1" applyBorder="1" applyAlignment="1">
      <alignment vertical="top" wrapText="1"/>
      <protection/>
    </xf>
    <xf numFmtId="4" fontId="3" fillId="0" borderId="13" xfId="49" applyNumberFormat="1" applyFont="1" applyFill="1" applyBorder="1">
      <alignment/>
      <protection/>
    </xf>
    <xf numFmtId="0" fontId="10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9" fillId="0" borderId="131" xfId="0" applyFont="1" applyFill="1" applyBorder="1" applyAlignment="1">
      <alignment horizontal="center" wrapText="1"/>
    </xf>
    <xf numFmtId="0" fontId="0" fillId="0" borderId="15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82" xfId="0" applyFont="1" applyBorder="1" applyAlignment="1">
      <alignment horizontal="center"/>
    </xf>
    <xf numFmtId="3" fontId="0" fillId="0" borderId="83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33" xfId="0" applyFont="1" applyBorder="1" applyAlignment="1">
      <alignment/>
    </xf>
    <xf numFmtId="3" fontId="0" fillId="0" borderId="139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145" xfId="0" applyNumberFormat="1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79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9" xfId="0" applyFont="1" applyBorder="1" applyAlignment="1">
      <alignment/>
    </xf>
    <xf numFmtId="3" fontId="0" fillId="0" borderId="15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10" fillId="0" borderId="61" xfId="0" applyFont="1" applyBorder="1" applyAlignment="1">
      <alignment horizontal="center"/>
    </xf>
    <xf numFmtId="0" fontId="10" fillId="0" borderId="153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139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67" xfId="0" applyFont="1" applyBorder="1" applyAlignment="1">
      <alignment horizontal="center"/>
    </xf>
    <xf numFmtId="0" fontId="10" fillId="0" borderId="154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15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56" xfId="0" applyFont="1" applyFill="1" applyBorder="1" applyAlignment="1">
      <alignment/>
    </xf>
    <xf numFmtId="0" fontId="0" fillId="0" borderId="157" xfId="0" applyFont="1" applyBorder="1" applyAlignment="1">
      <alignment/>
    </xf>
    <xf numFmtId="4" fontId="3" fillId="0" borderId="158" xfId="49" applyNumberFormat="1" applyFont="1" applyFill="1" applyBorder="1">
      <alignment/>
      <protection/>
    </xf>
    <xf numFmtId="0" fontId="3" fillId="0" borderId="0" xfId="0" applyFont="1" applyBorder="1" applyAlignment="1">
      <alignment/>
    </xf>
    <xf numFmtId="0" fontId="7" fillId="27" borderId="32" xfId="0" applyFont="1" applyFill="1" applyBorder="1" applyAlignment="1">
      <alignment horizontal="left"/>
    </xf>
    <xf numFmtId="0" fontId="10" fillId="0" borderId="26" xfId="0" applyFont="1" applyFill="1" applyBorder="1" applyAlignment="1">
      <alignment/>
    </xf>
    <xf numFmtId="0" fontId="0" fillId="0" borderId="92" xfId="0" applyFont="1" applyFill="1" applyBorder="1" applyAlignment="1">
      <alignment horizontal="center"/>
    </xf>
    <xf numFmtId="0" fontId="0" fillId="0" borderId="1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49" applyFont="1" applyFill="1" applyBorder="1" applyAlignment="1">
      <alignment vertical="top" wrapText="1"/>
      <protection/>
    </xf>
    <xf numFmtId="0" fontId="0" fillId="0" borderId="149" xfId="0" applyFont="1" applyBorder="1" applyAlignment="1">
      <alignment/>
    </xf>
    <xf numFmtId="0" fontId="0" fillId="0" borderId="159" xfId="49" applyFont="1" applyFill="1" applyBorder="1" applyAlignment="1">
      <alignment vertical="top" wrapText="1"/>
      <protection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0" xfId="50" applyFont="1" applyAlignment="1">
      <alignment horizontal="left"/>
      <protection/>
    </xf>
    <xf numFmtId="0" fontId="10" fillId="0" borderId="0" xfId="50" applyFont="1">
      <alignment/>
      <protection/>
    </xf>
    <xf numFmtId="14" fontId="12" fillId="0" borderId="0" xfId="50" applyNumberFormat="1" applyFont="1">
      <alignment/>
      <protection/>
    </xf>
    <xf numFmtId="0" fontId="63" fillId="0" borderId="0" xfId="50" applyFont="1">
      <alignment/>
      <protection/>
    </xf>
    <xf numFmtId="0" fontId="9" fillId="0" borderId="125" xfId="50" applyFont="1" applyBorder="1" applyAlignment="1">
      <alignment horizontal="center"/>
      <protection/>
    </xf>
    <xf numFmtId="0" fontId="9" fillId="0" borderId="121" xfId="50" applyFont="1" applyBorder="1" applyAlignment="1">
      <alignment horizontal="center"/>
      <protection/>
    </xf>
    <xf numFmtId="3" fontId="9" fillId="17" borderId="121" xfId="50" applyNumberFormat="1" applyFont="1" applyFill="1" applyBorder="1" applyAlignment="1">
      <alignment horizontal="right"/>
      <protection/>
    </xf>
    <xf numFmtId="0" fontId="12" fillId="0" borderId="0" xfId="50" applyFont="1" applyAlignment="1">
      <alignment horizontal="left"/>
      <protection/>
    </xf>
    <xf numFmtId="0" fontId="0" fillId="0" borderId="0" xfId="50" applyFont="1">
      <alignment/>
      <protection/>
    </xf>
    <xf numFmtId="0" fontId="85" fillId="25" borderId="124" xfId="50" applyFont="1" applyFill="1" applyBorder="1" applyAlignment="1">
      <alignment horizontal="center"/>
      <protection/>
    </xf>
    <xf numFmtId="0" fontId="85" fillId="25" borderId="114" xfId="50" applyFont="1" applyFill="1" applyBorder="1" applyAlignment="1">
      <alignment horizontal="center"/>
      <protection/>
    </xf>
    <xf numFmtId="3" fontId="86" fillId="25" borderId="114" xfId="50" applyNumberFormat="1" applyFont="1" applyFill="1" applyBorder="1" applyAlignment="1">
      <alignment horizontal="right"/>
      <protection/>
    </xf>
    <xf numFmtId="3" fontId="85" fillId="25" borderId="114" xfId="50" applyNumberFormat="1" applyFont="1" applyFill="1" applyBorder="1" applyAlignment="1">
      <alignment horizontal="right"/>
      <protection/>
    </xf>
    <xf numFmtId="3" fontId="85" fillId="25" borderId="125" xfId="50" applyNumberFormat="1" applyFont="1" applyFill="1" applyBorder="1" applyAlignment="1">
      <alignment horizontal="right"/>
      <protection/>
    </xf>
    <xf numFmtId="3" fontId="9" fillId="0" borderId="0" xfId="50" applyNumberFormat="1" applyFont="1">
      <alignment/>
      <protection/>
    </xf>
    <xf numFmtId="3" fontId="4" fillId="0" borderId="113" xfId="50" applyNumberFormat="1" applyFont="1" applyBorder="1">
      <alignment/>
      <protection/>
    </xf>
    <xf numFmtId="3" fontId="3" fillId="0" borderId="113" xfId="50" applyNumberFormat="1" applyFont="1" applyBorder="1">
      <alignment/>
      <protection/>
    </xf>
    <xf numFmtId="0" fontId="24" fillId="0" borderId="113" xfId="50" applyFont="1" applyBorder="1">
      <alignment/>
      <protection/>
    </xf>
    <xf numFmtId="0" fontId="24" fillId="0" borderId="113" xfId="50" applyFont="1" applyFill="1" applyBorder="1">
      <alignment/>
      <protection/>
    </xf>
    <xf numFmtId="0" fontId="24" fillId="7" borderId="113" xfId="50" applyFont="1" applyFill="1" applyBorder="1">
      <alignment/>
      <protection/>
    </xf>
    <xf numFmtId="0" fontId="20" fillId="0" borderId="0" xfId="50" applyFont="1" applyFill="1">
      <alignment/>
      <protection/>
    </xf>
    <xf numFmtId="3" fontId="31" fillId="0" borderId="121" xfId="50" applyNumberFormat="1" applyFont="1" applyFill="1" applyBorder="1">
      <alignment/>
      <protection/>
    </xf>
    <xf numFmtId="0" fontId="3" fillId="28" borderId="113" xfId="50" applyFont="1" applyFill="1" applyBorder="1">
      <alignment/>
      <protection/>
    </xf>
    <xf numFmtId="3" fontId="4" fillId="28" borderId="113" xfId="50" applyNumberFormat="1" applyFont="1" applyFill="1" applyBorder="1">
      <alignment/>
      <protection/>
    </xf>
    <xf numFmtId="3" fontId="3" fillId="28" borderId="113" xfId="50" applyNumberFormat="1" applyFont="1" applyFill="1" applyBorder="1">
      <alignment/>
      <protection/>
    </xf>
    <xf numFmtId="3" fontId="24" fillId="28" borderId="113" xfId="50" applyNumberFormat="1" applyFont="1" applyFill="1" applyBorder="1">
      <alignment/>
      <protection/>
    </xf>
    <xf numFmtId="3" fontId="36" fillId="28" borderId="113" xfId="50" applyNumberFormat="1" applyFont="1" applyFill="1" applyBorder="1">
      <alignment/>
      <protection/>
    </xf>
    <xf numFmtId="3" fontId="36" fillId="28" borderId="121" xfId="50" applyNumberFormat="1" applyFont="1" applyFill="1" applyBorder="1">
      <alignment/>
      <protection/>
    </xf>
    <xf numFmtId="3" fontId="3" fillId="0" borderId="113" xfId="50" applyNumberFormat="1" applyFont="1" applyFill="1" applyBorder="1">
      <alignment/>
      <protection/>
    </xf>
    <xf numFmtId="3" fontId="9" fillId="0" borderId="113" xfId="50" applyNumberFormat="1" applyFont="1" applyFill="1" applyBorder="1">
      <alignment/>
      <protection/>
    </xf>
    <xf numFmtId="3" fontId="9" fillId="0" borderId="121" xfId="50" applyNumberFormat="1" applyFont="1" applyFill="1" applyBorder="1">
      <alignment/>
      <protection/>
    </xf>
    <xf numFmtId="3" fontId="7" fillId="0" borderId="113" xfId="50" applyNumberFormat="1" applyFont="1" applyFill="1" applyBorder="1">
      <alignment/>
      <protection/>
    </xf>
    <xf numFmtId="3" fontId="8" fillId="0" borderId="113" xfId="50" applyNumberFormat="1" applyFont="1" applyFill="1" applyBorder="1">
      <alignment/>
      <protection/>
    </xf>
    <xf numFmtId="3" fontId="46" fillId="0" borderId="113" xfId="50" applyNumberFormat="1" applyFont="1" applyFill="1" applyBorder="1">
      <alignment/>
      <protection/>
    </xf>
    <xf numFmtId="3" fontId="45" fillId="0" borderId="113" xfId="50" applyNumberFormat="1" applyFont="1" applyFill="1" applyBorder="1">
      <alignment/>
      <protection/>
    </xf>
    <xf numFmtId="3" fontId="16" fillId="0" borderId="113" xfId="50" applyNumberFormat="1" applyFont="1" applyFill="1" applyBorder="1">
      <alignment/>
      <protection/>
    </xf>
    <xf numFmtId="3" fontId="16" fillId="0" borderId="113" xfId="50" applyNumberFormat="1" applyFont="1" applyFill="1" applyBorder="1">
      <alignment/>
      <protection/>
    </xf>
    <xf numFmtId="3" fontId="36" fillId="0" borderId="113" xfId="50" applyNumberFormat="1" applyFont="1" applyFill="1" applyBorder="1">
      <alignment/>
      <protection/>
    </xf>
    <xf numFmtId="3" fontId="20" fillId="0" borderId="113" xfId="50" applyNumberFormat="1" applyFont="1" applyBorder="1">
      <alignment/>
      <protection/>
    </xf>
    <xf numFmtId="3" fontId="34" fillId="0" borderId="113" xfId="50" applyNumberFormat="1" applyFont="1" applyBorder="1">
      <alignment/>
      <protection/>
    </xf>
    <xf numFmtId="3" fontId="24" fillId="0" borderId="113" xfId="50" applyNumberFormat="1" applyFont="1" applyFill="1" applyBorder="1">
      <alignment/>
      <protection/>
    </xf>
    <xf numFmtId="3" fontId="36" fillId="0" borderId="121" xfId="50" applyNumberFormat="1" applyFont="1" applyFill="1" applyBorder="1">
      <alignment/>
      <protection/>
    </xf>
    <xf numFmtId="0" fontId="8" fillId="17" borderId="108" xfId="50" applyFont="1" applyFill="1" applyBorder="1" applyAlignment="1">
      <alignment horizontal="center"/>
      <protection/>
    </xf>
    <xf numFmtId="0" fontId="8" fillId="17" borderId="113" xfId="50" applyFont="1" applyFill="1" applyBorder="1" applyAlignment="1">
      <alignment horizontal="center"/>
      <protection/>
    </xf>
    <xf numFmtId="3" fontId="8" fillId="17" borderId="113" xfId="50" applyNumberFormat="1" applyFont="1" applyFill="1" applyBorder="1">
      <alignment/>
      <protection/>
    </xf>
    <xf numFmtId="3" fontId="34" fillId="17" borderId="113" xfId="50" applyNumberFormat="1" applyFont="1" applyFill="1" applyBorder="1">
      <alignment/>
      <protection/>
    </xf>
    <xf numFmtId="3" fontId="43" fillId="0" borderId="113" xfId="50" applyNumberFormat="1" applyFont="1" applyFill="1" applyBorder="1">
      <alignment/>
      <protection/>
    </xf>
    <xf numFmtId="3" fontId="43" fillId="0" borderId="121" xfId="50" applyNumberFormat="1" applyFont="1" applyFill="1" applyBorder="1">
      <alignment/>
      <protection/>
    </xf>
    <xf numFmtId="3" fontId="40" fillId="17" borderId="113" xfId="50" applyNumberFormat="1" applyFont="1" applyFill="1" applyBorder="1">
      <alignment/>
      <protection/>
    </xf>
    <xf numFmtId="3" fontId="40" fillId="17" borderId="121" xfId="50" applyNumberFormat="1" applyFont="1" applyFill="1" applyBorder="1">
      <alignment/>
      <protection/>
    </xf>
    <xf numFmtId="3" fontId="24" fillId="0" borderId="113" xfId="50" applyNumberFormat="1" applyFont="1" applyBorder="1" applyAlignment="1">
      <alignment horizontal="right"/>
      <protection/>
    </xf>
    <xf numFmtId="3" fontId="36" fillId="0" borderId="113" xfId="50" applyNumberFormat="1" applyFont="1" applyFill="1" applyBorder="1" applyAlignment="1">
      <alignment horizontal="right"/>
      <protection/>
    </xf>
    <xf numFmtId="3" fontId="43" fillId="0" borderId="113" xfId="50" applyNumberFormat="1" applyFont="1" applyFill="1" applyBorder="1" applyAlignment="1">
      <alignment horizontal="right"/>
      <protection/>
    </xf>
    <xf numFmtId="3" fontId="36" fillId="0" borderId="121" xfId="50" applyNumberFormat="1" applyFont="1" applyFill="1" applyBorder="1" applyAlignment="1">
      <alignment horizontal="right"/>
      <protection/>
    </xf>
    <xf numFmtId="0" fontId="4" fillId="0" borderId="0" xfId="50" applyFont="1" applyFill="1" applyAlignment="1">
      <alignment horizontal="center"/>
      <protection/>
    </xf>
    <xf numFmtId="0" fontId="15" fillId="0" borderId="0" xfId="50" applyFont="1" applyFill="1" applyAlignment="1">
      <alignment horizontal="center"/>
      <protection/>
    </xf>
    <xf numFmtId="3" fontId="4" fillId="0" borderId="113" xfId="50" applyNumberFormat="1" applyFont="1" applyBorder="1" applyAlignment="1">
      <alignment horizontal="center"/>
      <protection/>
    </xf>
    <xf numFmtId="3" fontId="4" fillId="0" borderId="113" xfId="50" applyNumberFormat="1" applyFont="1" applyBorder="1" applyAlignment="1">
      <alignment horizontal="right"/>
      <protection/>
    </xf>
    <xf numFmtId="3" fontId="3" fillId="0" borderId="113" xfId="50" applyNumberFormat="1" applyFont="1" applyBorder="1" applyAlignment="1">
      <alignment horizontal="right"/>
      <protection/>
    </xf>
    <xf numFmtId="3" fontId="43" fillId="0" borderId="113" xfId="50" applyNumberFormat="1" applyFont="1" applyFill="1" applyBorder="1" applyAlignment="1">
      <alignment horizontal="right"/>
      <protection/>
    </xf>
    <xf numFmtId="3" fontId="35" fillId="0" borderId="113" xfId="50" applyNumberFormat="1" applyFont="1" applyBorder="1" applyAlignment="1">
      <alignment horizontal="center"/>
      <protection/>
    </xf>
    <xf numFmtId="3" fontId="35" fillId="0" borderId="113" xfId="50" applyNumberFormat="1" applyFont="1" applyBorder="1" applyAlignment="1">
      <alignment horizontal="right"/>
      <protection/>
    </xf>
    <xf numFmtId="3" fontId="32" fillId="0" borderId="113" xfId="50" applyNumberFormat="1" applyFont="1" applyBorder="1" applyAlignment="1">
      <alignment horizontal="right"/>
      <protection/>
    </xf>
    <xf numFmtId="3" fontId="32" fillId="0" borderId="113" xfId="50" applyNumberFormat="1" applyFont="1" applyFill="1" applyBorder="1" applyAlignment="1">
      <alignment horizontal="right"/>
      <protection/>
    </xf>
    <xf numFmtId="3" fontId="34" fillId="17" borderId="113" xfId="50" applyNumberFormat="1" applyFont="1" applyFill="1" applyBorder="1" applyAlignment="1">
      <alignment horizontal="right"/>
      <protection/>
    </xf>
    <xf numFmtId="3" fontId="40" fillId="17" borderId="113" xfId="50" applyNumberFormat="1" applyFont="1" applyFill="1" applyBorder="1" applyAlignment="1">
      <alignment horizontal="right"/>
      <protection/>
    </xf>
    <xf numFmtId="3" fontId="40" fillId="17" borderId="121" xfId="50" applyNumberFormat="1" applyFont="1" applyFill="1" applyBorder="1" applyAlignment="1">
      <alignment horizontal="right"/>
      <protection/>
    </xf>
    <xf numFmtId="0" fontId="3" fillId="28" borderId="108" xfId="50" applyFont="1" applyFill="1" applyBorder="1" applyAlignment="1">
      <alignment horizontal="center"/>
      <protection/>
    </xf>
    <xf numFmtId="0" fontId="93" fillId="0" borderId="0" xfId="50" applyFont="1" applyAlignment="1">
      <alignment horizontal="right"/>
      <protection/>
    </xf>
    <xf numFmtId="0" fontId="85" fillId="0" borderId="0" xfId="50" applyFont="1" applyFill="1" applyBorder="1">
      <alignment/>
      <protection/>
    </xf>
    <xf numFmtId="0" fontId="8" fillId="17" borderId="14" xfId="50" applyFont="1" applyFill="1" applyBorder="1" applyAlignment="1">
      <alignment horizontal="center"/>
      <protection/>
    </xf>
    <xf numFmtId="0" fontId="8" fillId="17" borderId="160" xfId="50" applyFont="1" applyFill="1" applyBorder="1" applyAlignment="1">
      <alignment horizontal="center"/>
      <protection/>
    </xf>
    <xf numFmtId="3" fontId="7" fillId="17" borderId="42" xfId="50" applyNumberFormat="1" applyFont="1" applyFill="1" applyBorder="1">
      <alignment/>
      <protection/>
    </xf>
    <xf numFmtId="3" fontId="8" fillId="17" borderId="42" xfId="50" applyNumberFormat="1" applyFont="1" applyFill="1" applyBorder="1">
      <alignment/>
      <protection/>
    </xf>
    <xf numFmtId="3" fontId="34" fillId="17" borderId="98" xfId="50" applyNumberFormat="1" applyFont="1" applyFill="1" applyBorder="1" applyAlignment="1">
      <alignment horizontal="right"/>
      <protection/>
    </xf>
    <xf numFmtId="3" fontId="34" fillId="17" borderId="14" xfId="50" applyNumberFormat="1" applyFont="1" applyFill="1" applyBorder="1" applyAlignment="1">
      <alignment horizontal="right"/>
      <protection/>
    </xf>
    <xf numFmtId="3" fontId="34" fillId="17" borderId="56" xfId="50" applyNumberFormat="1" applyFont="1" applyFill="1" applyBorder="1" applyAlignment="1">
      <alignment horizontal="right"/>
      <protection/>
    </xf>
    <xf numFmtId="3" fontId="40" fillId="17" borderId="56" xfId="50" applyNumberFormat="1" applyFont="1" applyFill="1" applyBorder="1" applyAlignment="1">
      <alignment horizontal="right"/>
      <protection/>
    </xf>
    <xf numFmtId="3" fontId="40" fillId="17" borderId="41" xfId="50" applyNumberFormat="1" applyFont="1" applyFill="1" applyBorder="1" applyAlignment="1">
      <alignment horizontal="right"/>
      <protection/>
    </xf>
    <xf numFmtId="0" fontId="85" fillId="25" borderId="161" xfId="50" applyFont="1" applyFill="1" applyBorder="1" applyAlignment="1">
      <alignment horizontal="center"/>
      <protection/>
    </xf>
    <xf numFmtId="0" fontId="85" fillId="25" borderId="46" xfId="50" applyFont="1" applyFill="1" applyBorder="1" applyAlignment="1">
      <alignment horizontal="center"/>
      <protection/>
    </xf>
    <xf numFmtId="0" fontId="3" fillId="0" borderId="37" xfId="50" applyFont="1" applyBorder="1" applyAlignment="1">
      <alignment horizontal="center"/>
      <protection/>
    </xf>
    <xf numFmtId="0" fontId="3" fillId="0" borderId="47" xfId="50" applyFont="1" applyBorder="1">
      <alignment/>
      <protection/>
    </xf>
    <xf numFmtId="0" fontId="3" fillId="0" borderId="108" xfId="50" applyFont="1" applyBorder="1" applyAlignment="1">
      <alignment horizontal="center"/>
      <protection/>
    </xf>
    <xf numFmtId="0" fontId="3" fillId="0" borderId="113" xfId="50" applyFont="1" applyBorder="1">
      <alignment/>
      <protection/>
    </xf>
    <xf numFmtId="0" fontId="3" fillId="0" borderId="126" xfId="50" applyFont="1" applyBorder="1" applyAlignment="1">
      <alignment horizontal="center"/>
      <protection/>
    </xf>
    <xf numFmtId="0" fontId="9" fillId="0" borderId="131" xfId="50" applyFont="1" applyBorder="1" applyAlignment="1">
      <alignment horizontal="center"/>
      <protection/>
    </xf>
    <xf numFmtId="3" fontId="85" fillId="25" borderId="46" xfId="50" applyNumberFormat="1" applyFont="1" applyFill="1" applyBorder="1">
      <alignment/>
      <protection/>
    </xf>
    <xf numFmtId="3" fontId="24" fillId="0" borderId="47" xfId="50" applyNumberFormat="1" applyFont="1" applyBorder="1">
      <alignment/>
      <protection/>
    </xf>
    <xf numFmtId="3" fontId="36" fillId="0" borderId="47" xfId="50" applyNumberFormat="1" applyFont="1" applyBorder="1">
      <alignment/>
      <protection/>
    </xf>
    <xf numFmtId="3" fontId="24" fillId="0" borderId="113" xfId="50" applyNumberFormat="1" applyFont="1" applyBorder="1">
      <alignment/>
      <protection/>
    </xf>
    <xf numFmtId="3" fontId="36" fillId="0" borderId="113" xfId="50" applyNumberFormat="1" applyFont="1" applyBorder="1">
      <alignment/>
      <protection/>
    </xf>
    <xf numFmtId="3" fontId="43" fillId="0" borderId="113" xfId="50" applyNumberFormat="1" applyFont="1" applyBorder="1">
      <alignment/>
      <protection/>
    </xf>
    <xf numFmtId="3" fontId="31" fillId="0" borderId="113" xfId="50" applyNumberFormat="1" applyFont="1" applyFill="1" applyBorder="1">
      <alignment/>
      <protection/>
    </xf>
    <xf numFmtId="3" fontId="32" fillId="0" borderId="113" xfId="50" applyNumberFormat="1" applyFont="1" applyFill="1" applyBorder="1">
      <alignment/>
      <protection/>
    </xf>
    <xf numFmtId="3" fontId="36" fillId="27" borderId="113" xfId="50" applyNumberFormat="1" applyFont="1" applyFill="1" applyBorder="1">
      <alignment/>
      <protection/>
    </xf>
    <xf numFmtId="3" fontId="31" fillId="0" borderId="113" xfId="50" applyNumberFormat="1" applyFont="1" applyBorder="1">
      <alignment/>
      <protection/>
    </xf>
    <xf numFmtId="3" fontId="24" fillId="0" borderId="131" xfId="50" applyNumberFormat="1" applyFont="1" applyBorder="1">
      <alignment/>
      <protection/>
    </xf>
    <xf numFmtId="3" fontId="36" fillId="0" borderId="131" xfId="50" applyNumberFormat="1" applyFont="1" applyBorder="1">
      <alignment/>
      <protection/>
    </xf>
    <xf numFmtId="3" fontId="85" fillId="25" borderId="162" xfId="50" applyNumberFormat="1" applyFont="1" applyFill="1" applyBorder="1">
      <alignment/>
      <protection/>
    </xf>
    <xf numFmtId="3" fontId="36" fillId="0" borderId="48" xfId="50" applyNumberFormat="1" applyFont="1" applyBorder="1">
      <alignment/>
      <protection/>
    </xf>
    <xf numFmtId="3" fontId="36" fillId="0" borderId="121" xfId="50" applyNumberFormat="1" applyFont="1" applyBorder="1">
      <alignment/>
      <protection/>
    </xf>
    <xf numFmtId="3" fontId="36" fillId="0" borderId="143" xfId="50" applyNumberFormat="1" applyFont="1" applyBorder="1">
      <alignment/>
      <protection/>
    </xf>
    <xf numFmtId="0" fontId="36" fillId="0" borderId="125" xfId="50" applyFont="1" applyBorder="1" applyAlignment="1">
      <alignment horizontal="center"/>
      <protection/>
    </xf>
    <xf numFmtId="0" fontId="36" fillId="0" borderId="121" xfId="50" applyFont="1" applyBorder="1" applyAlignment="1">
      <alignment horizontal="center"/>
      <protection/>
    </xf>
    <xf numFmtId="0" fontId="49" fillId="0" borderId="0" xfId="50" applyFont="1">
      <alignment/>
      <protection/>
    </xf>
    <xf numFmtId="0" fontId="9" fillId="8" borderId="17" xfId="50" applyFont="1" applyFill="1" applyBorder="1" applyAlignment="1">
      <alignment horizontal="center"/>
      <protection/>
    </xf>
    <xf numFmtId="0" fontId="9" fillId="8" borderId="18" xfId="50" applyFont="1" applyFill="1" applyBorder="1">
      <alignment/>
      <protection/>
    </xf>
    <xf numFmtId="3" fontId="13" fillId="8" borderId="18" xfId="50" applyNumberFormat="1" applyFont="1" applyFill="1" applyBorder="1">
      <alignment/>
      <protection/>
    </xf>
    <xf numFmtId="3" fontId="9" fillId="8" borderId="18" xfId="50" applyNumberFormat="1" applyFont="1" applyFill="1" applyBorder="1">
      <alignment/>
      <protection/>
    </xf>
    <xf numFmtId="3" fontId="9" fillId="8" borderId="49" xfId="50" applyNumberFormat="1" applyFont="1" applyFill="1" applyBorder="1">
      <alignment/>
      <protection/>
    </xf>
    <xf numFmtId="3" fontId="85" fillId="25" borderId="18" xfId="50" applyNumberFormat="1" applyFont="1" applyFill="1" applyBorder="1">
      <alignment/>
      <protection/>
    </xf>
    <xf numFmtId="3" fontId="85" fillId="25" borderId="49" xfId="50" applyNumberFormat="1" applyFont="1" applyFill="1" applyBorder="1">
      <alignment/>
      <protection/>
    </xf>
    <xf numFmtId="0" fontId="85" fillId="25" borderId="17" xfId="50" applyFont="1" applyFill="1" applyBorder="1" applyAlignment="1">
      <alignment horizontal="center"/>
      <protection/>
    </xf>
    <xf numFmtId="0" fontId="85" fillId="25" borderId="18" xfId="50" applyFont="1" applyFill="1" applyBorder="1">
      <alignment/>
      <protection/>
    </xf>
    <xf numFmtId="0" fontId="86" fillId="25" borderId="16" xfId="50" applyFont="1" applyFill="1" applyBorder="1">
      <alignment/>
      <protection/>
    </xf>
    <xf numFmtId="0" fontId="51" fillId="0" borderId="0" xfId="50" applyFont="1">
      <alignment/>
      <protection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27" borderId="19" xfId="0" applyFont="1" applyFill="1" applyBorder="1" applyAlignment="1">
      <alignment/>
    </xf>
    <xf numFmtId="0" fontId="7" fillId="27" borderId="31" xfId="0" applyFont="1" applyFill="1" applyBorder="1" applyAlignment="1">
      <alignment horizontal="center"/>
    </xf>
    <xf numFmtId="3" fontId="7" fillId="27" borderId="103" xfId="0" applyNumberFormat="1" applyFont="1" applyFill="1" applyBorder="1" applyAlignment="1">
      <alignment/>
    </xf>
    <xf numFmtId="3" fontId="7" fillId="27" borderId="19" xfId="0" applyNumberFormat="1" applyFont="1" applyFill="1" applyBorder="1" applyAlignment="1">
      <alignment/>
    </xf>
    <xf numFmtId="3" fontId="7" fillId="27" borderId="138" xfId="0" applyNumberFormat="1" applyFont="1" applyFill="1" applyBorder="1" applyAlignment="1">
      <alignment/>
    </xf>
    <xf numFmtId="3" fontId="7" fillId="27" borderId="3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97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9" fillId="0" borderId="90" xfId="0" applyNumberFormat="1" applyFont="1" applyFill="1" applyBorder="1" applyAlignment="1">
      <alignment/>
    </xf>
    <xf numFmtId="3" fontId="9" fillId="0" borderId="99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3" fontId="3" fillId="0" borderId="100" xfId="0" applyNumberFormat="1" applyFont="1" applyFill="1" applyBorder="1" applyAlignment="1">
      <alignment/>
    </xf>
    <xf numFmtId="3" fontId="9" fillId="0" borderId="92" xfId="0" applyNumberFormat="1" applyFont="1" applyFill="1" applyBorder="1" applyAlignment="1">
      <alignment/>
    </xf>
    <xf numFmtId="3" fontId="9" fillId="0" borderId="101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3" fillId="0" borderId="92" xfId="0" applyNumberFormat="1" applyFont="1" applyFill="1" applyBorder="1" applyAlignment="1">
      <alignment/>
    </xf>
    <xf numFmtId="3" fontId="3" fillId="0" borderId="101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95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9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2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90" xfId="0" applyFont="1" applyFill="1" applyBorder="1" applyAlignment="1">
      <alignment horizontal="right"/>
    </xf>
    <xf numFmtId="0" fontId="0" fillId="0" borderId="92" xfId="0" applyFont="1" applyFill="1" applyBorder="1" applyAlignment="1">
      <alignment horizontal="right"/>
    </xf>
    <xf numFmtId="0" fontId="4" fillId="0" borderId="0" xfId="49" applyFont="1" applyFill="1" applyBorder="1">
      <alignment/>
      <protection/>
    </xf>
    <xf numFmtId="164" fontId="3" fillId="0" borderId="55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163" xfId="0" applyNumberFormat="1" applyFont="1" applyFill="1" applyBorder="1" applyAlignment="1">
      <alignment/>
    </xf>
    <xf numFmtId="164" fontId="3" fillId="0" borderId="56" xfId="0" applyNumberFormat="1" applyFont="1" applyFill="1" applyBorder="1" applyAlignment="1">
      <alignment/>
    </xf>
    <xf numFmtId="164" fontId="3" fillId="0" borderId="91" xfId="0" applyNumberFormat="1" applyFont="1" applyFill="1" applyBorder="1" applyAlignment="1">
      <alignment/>
    </xf>
    <xf numFmtId="164" fontId="3" fillId="0" borderId="68" xfId="0" applyNumberFormat="1" applyFont="1" applyFill="1" applyBorder="1" applyAlignment="1">
      <alignment/>
    </xf>
    <xf numFmtId="164" fontId="3" fillId="0" borderId="107" xfId="0" applyNumberFormat="1" applyFont="1" applyFill="1" applyBorder="1" applyAlignment="1">
      <alignment/>
    </xf>
    <xf numFmtId="164" fontId="3" fillId="0" borderId="99" xfId="0" applyNumberFormat="1" applyFont="1" applyFill="1" applyBorder="1" applyAlignment="1">
      <alignment/>
    </xf>
    <xf numFmtId="164" fontId="3" fillId="0" borderId="42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160" xfId="0" applyNumberFormat="1" applyFont="1" applyFill="1" applyBorder="1" applyAlignment="1">
      <alignment/>
    </xf>
    <xf numFmtId="164" fontId="3" fillId="0" borderId="97" xfId="0" applyNumberFormat="1" applyFont="1" applyFill="1" applyBorder="1" applyAlignment="1">
      <alignment/>
    </xf>
    <xf numFmtId="4" fontId="3" fillId="0" borderId="46" xfId="0" applyNumberFormat="1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0" fontId="10" fillId="0" borderId="83" xfId="0" applyFont="1" applyFill="1" applyBorder="1" applyAlignment="1">
      <alignment horizontal="center"/>
    </xf>
    <xf numFmtId="0" fontId="9" fillId="0" borderId="132" xfId="0" applyFont="1" applyFill="1" applyBorder="1" applyAlignment="1">
      <alignment horizontal="center"/>
    </xf>
    <xf numFmtId="0" fontId="10" fillId="0" borderId="164" xfId="0" applyFont="1" applyFill="1" applyBorder="1" applyAlignment="1">
      <alignment horizontal="center"/>
    </xf>
    <xf numFmtId="49" fontId="11" fillId="0" borderId="137" xfId="0" applyNumberFormat="1" applyFont="1" applyFill="1" applyBorder="1" applyAlignment="1">
      <alignment horizontal="center"/>
    </xf>
    <xf numFmtId="3" fontId="58" fillId="0" borderId="145" xfId="0" applyNumberFormat="1" applyFont="1" applyFill="1" applyBorder="1" applyAlignment="1">
      <alignment/>
    </xf>
    <xf numFmtId="3" fontId="10" fillId="0" borderId="139" xfId="0" applyNumberFormat="1" applyFont="1" applyFill="1" applyBorder="1" applyAlignment="1">
      <alignment/>
    </xf>
    <xf numFmtId="3" fontId="58" fillId="0" borderId="139" xfId="0" applyNumberFormat="1" applyFont="1" applyFill="1" applyBorder="1" applyAlignment="1">
      <alignment/>
    </xf>
    <xf numFmtId="3" fontId="10" fillId="0" borderId="165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9" fillId="0" borderId="83" xfId="49" applyNumberFormat="1" applyFont="1" applyFill="1" applyBorder="1">
      <alignment/>
      <protection/>
    </xf>
    <xf numFmtId="3" fontId="9" fillId="0" borderId="139" xfId="49" applyNumberFormat="1" applyFont="1" applyFill="1" applyBorder="1">
      <alignment/>
      <protection/>
    </xf>
    <xf numFmtId="3" fontId="9" fillId="0" borderId="164" xfId="49" applyNumberFormat="1" applyFont="1" applyFill="1" applyBorder="1">
      <alignment/>
      <protection/>
    </xf>
    <xf numFmtId="3" fontId="9" fillId="0" borderId="137" xfId="49" applyNumberFormat="1" applyFont="1" applyFill="1" applyBorder="1">
      <alignment/>
      <protection/>
    </xf>
    <xf numFmtId="3" fontId="9" fillId="0" borderId="165" xfId="49" applyNumberFormat="1" applyFont="1" applyFill="1" applyBorder="1">
      <alignment/>
      <protection/>
    </xf>
    <xf numFmtId="3" fontId="9" fillId="0" borderId="166" xfId="49" applyNumberFormat="1" applyFont="1" applyFill="1" applyBorder="1">
      <alignment/>
      <protection/>
    </xf>
    <xf numFmtId="0" fontId="2" fillId="0" borderId="0" xfId="50" applyFont="1" applyBorder="1">
      <alignment/>
      <protection/>
    </xf>
    <xf numFmtId="0" fontId="10" fillId="0" borderId="0" xfId="50" applyFont="1" applyBorder="1">
      <alignment/>
      <protection/>
    </xf>
    <xf numFmtId="0" fontId="0" fillId="0" borderId="0" xfId="50" applyFont="1" applyBorder="1">
      <alignment/>
      <protection/>
    </xf>
    <xf numFmtId="0" fontId="30" fillId="0" borderId="0" xfId="50" applyFont="1" applyBorder="1">
      <alignment/>
      <protection/>
    </xf>
    <xf numFmtId="0" fontId="3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0" fontId="45" fillId="0" borderId="0" xfId="50" applyFont="1" applyBorder="1">
      <alignment/>
      <protection/>
    </xf>
    <xf numFmtId="0" fontId="34" fillId="0" borderId="0" xfId="50" applyFont="1" applyBorder="1">
      <alignment/>
      <protection/>
    </xf>
    <xf numFmtId="0" fontId="9" fillId="0" borderId="0" xfId="50" applyFont="1" applyBorder="1">
      <alignment/>
      <protection/>
    </xf>
    <xf numFmtId="0" fontId="29" fillId="0" borderId="0" xfId="53">
      <alignment/>
      <protection/>
    </xf>
    <xf numFmtId="0" fontId="94" fillId="0" borderId="0" xfId="53" applyFont="1" applyAlignment="1">
      <alignment horizontal="center" vertical="justify"/>
      <protection/>
    </xf>
    <xf numFmtId="0" fontId="95" fillId="0" borderId="0" xfId="53" applyFont="1" applyAlignment="1">
      <alignment vertical="center" wrapText="1"/>
      <protection/>
    </xf>
    <xf numFmtId="0" fontId="95" fillId="0" borderId="0" xfId="53" applyFont="1" applyAlignment="1">
      <alignment horizontal="left"/>
      <protection/>
    </xf>
    <xf numFmtId="3" fontId="95" fillId="0" borderId="0" xfId="53" applyNumberFormat="1" applyFont="1" applyAlignment="1">
      <alignment horizontal="right"/>
      <protection/>
    </xf>
    <xf numFmtId="0" fontId="95" fillId="0" borderId="0" xfId="53" applyFont="1">
      <alignment/>
      <protection/>
    </xf>
    <xf numFmtId="4" fontId="95" fillId="0" borderId="0" xfId="53" applyNumberFormat="1" applyFont="1">
      <alignment/>
      <protection/>
    </xf>
    <xf numFmtId="0" fontId="95" fillId="0" borderId="0" xfId="53" applyFont="1" applyAlignment="1">
      <alignment horizontal="right"/>
      <protection/>
    </xf>
    <xf numFmtId="4" fontId="95" fillId="0" borderId="0" xfId="53" applyNumberFormat="1" applyFont="1" applyAlignment="1">
      <alignment horizontal="right"/>
      <protection/>
    </xf>
    <xf numFmtId="0" fontId="95" fillId="0" borderId="0" xfId="53" applyFont="1" applyFill="1">
      <alignment/>
      <protection/>
    </xf>
    <xf numFmtId="4" fontId="95" fillId="0" borderId="0" xfId="53" applyNumberFormat="1" applyFont="1" applyFill="1">
      <alignment/>
      <protection/>
    </xf>
    <xf numFmtId="0" fontId="95" fillId="0" borderId="0" xfId="53" applyFont="1" applyFill="1" applyAlignment="1">
      <alignment horizontal="left"/>
      <protection/>
    </xf>
    <xf numFmtId="4" fontId="95" fillId="0" borderId="0" xfId="53" applyNumberFormat="1" applyFont="1" applyFill="1" applyAlignment="1">
      <alignment horizontal="right"/>
      <protection/>
    </xf>
    <xf numFmtId="0" fontId="95" fillId="0" borderId="0" xfId="53" applyFont="1" applyFill="1" applyAlignment="1">
      <alignment horizontal="right"/>
      <protection/>
    </xf>
    <xf numFmtId="0" fontId="29" fillId="0" borderId="0" xfId="53" applyFill="1">
      <alignment/>
      <protection/>
    </xf>
    <xf numFmtId="0" fontId="29" fillId="0" borderId="0" xfId="53" applyFont="1">
      <alignment/>
      <protection/>
    </xf>
    <xf numFmtId="0" fontId="59" fillId="0" borderId="0" xfId="53" applyFont="1" applyAlignment="1">
      <alignment horizontal="left"/>
      <protection/>
    </xf>
    <xf numFmtId="3" fontId="59" fillId="0" borderId="0" xfId="53" applyNumberFormat="1" applyFont="1" applyAlignment="1">
      <alignment horizontal="right"/>
      <protection/>
    </xf>
    <xf numFmtId="0" fontId="59" fillId="0" borderId="0" xfId="53" applyFont="1">
      <alignment/>
      <protection/>
    </xf>
    <xf numFmtId="3" fontId="59" fillId="0" borderId="0" xfId="53" applyNumberFormat="1" applyFont="1">
      <alignment/>
      <protection/>
    </xf>
    <xf numFmtId="4" fontId="59" fillId="0" borderId="0" xfId="53" applyNumberFormat="1" applyFont="1">
      <alignment/>
      <protection/>
    </xf>
    <xf numFmtId="3" fontId="59" fillId="0" borderId="0" xfId="53" applyNumberFormat="1" applyFont="1" applyAlignment="1">
      <alignment horizontal="left"/>
      <protection/>
    </xf>
    <xf numFmtId="0" fontId="29" fillId="0" borderId="0" xfId="53" applyFont="1" applyAlignment="1">
      <alignment horizontal="left"/>
      <protection/>
    </xf>
    <xf numFmtId="4" fontId="29" fillId="0" borderId="0" xfId="53" applyNumberFormat="1" applyFont="1" applyAlignment="1">
      <alignment horizontal="right"/>
      <protection/>
    </xf>
    <xf numFmtId="0" fontId="29" fillId="0" borderId="0" xfId="53" applyFont="1" applyAlignment="1">
      <alignment horizontal="right"/>
      <protection/>
    </xf>
    <xf numFmtId="14" fontId="94" fillId="0" borderId="0" xfId="53" applyNumberFormat="1" applyFont="1" applyAlignment="1">
      <alignment horizontal="center" vertical="justify"/>
      <protection/>
    </xf>
    <xf numFmtId="0" fontId="98" fillId="0" borderId="0" xfId="53" applyFont="1" applyAlignment="1">
      <alignment horizontal="left"/>
      <protection/>
    </xf>
    <xf numFmtId="3" fontId="98" fillId="0" borderId="0" xfId="53" applyNumberFormat="1" applyFont="1" applyAlignment="1">
      <alignment horizontal="right"/>
      <protection/>
    </xf>
    <xf numFmtId="0" fontId="100" fillId="0" borderId="0" xfId="53" applyFont="1">
      <alignment/>
      <protection/>
    </xf>
    <xf numFmtId="3" fontId="100" fillId="0" borderId="0" xfId="53" applyNumberFormat="1" applyFont="1">
      <alignment/>
      <protection/>
    </xf>
    <xf numFmtId="4" fontId="100" fillId="0" borderId="0" xfId="53" applyNumberFormat="1" applyFont="1">
      <alignment/>
      <protection/>
    </xf>
    <xf numFmtId="3" fontId="100" fillId="0" borderId="0" xfId="53" applyNumberFormat="1" applyFont="1" applyAlignment="1">
      <alignment horizontal="left"/>
      <protection/>
    </xf>
    <xf numFmtId="0" fontId="99" fillId="0" borderId="0" xfId="53" applyFont="1" applyAlignment="1">
      <alignment horizontal="left"/>
      <protection/>
    </xf>
    <xf numFmtId="3" fontId="95" fillId="0" borderId="0" xfId="53" applyNumberFormat="1" applyFont="1" applyAlignment="1">
      <alignment horizontal="left"/>
      <protection/>
    </xf>
    <xf numFmtId="0" fontId="98" fillId="0" borderId="0" xfId="53" applyFont="1" applyAlignment="1">
      <alignment vertical="center" wrapText="1"/>
      <protection/>
    </xf>
    <xf numFmtId="0" fontId="98" fillId="0" borderId="0" xfId="53" applyFont="1">
      <alignment/>
      <protection/>
    </xf>
    <xf numFmtId="4" fontId="98" fillId="0" borderId="0" xfId="53" applyNumberFormat="1" applyFont="1">
      <alignment/>
      <protection/>
    </xf>
    <xf numFmtId="0" fontId="101" fillId="0" borderId="0" xfId="53" applyFont="1" applyFill="1" applyAlignment="1">
      <alignment horizontal="left" vertical="justify"/>
      <protection/>
    </xf>
    <xf numFmtId="0" fontId="102" fillId="0" borderId="0" xfId="53" applyFont="1" applyFill="1">
      <alignment/>
      <protection/>
    </xf>
    <xf numFmtId="4" fontId="102" fillId="0" borderId="0" xfId="53" applyNumberFormat="1" applyFont="1" applyFill="1">
      <alignment/>
      <protection/>
    </xf>
    <xf numFmtId="0" fontId="102" fillId="0" borderId="0" xfId="53" applyFont="1" applyFill="1" applyAlignment="1">
      <alignment horizontal="left"/>
      <protection/>
    </xf>
    <xf numFmtId="4" fontId="102" fillId="0" borderId="0" xfId="53" applyNumberFormat="1" applyFont="1" applyFill="1" applyAlignment="1">
      <alignment horizontal="right"/>
      <protection/>
    </xf>
    <xf numFmtId="0" fontId="102" fillId="0" borderId="0" xfId="53" applyFont="1" applyFill="1" applyAlignment="1">
      <alignment horizontal="right"/>
      <protection/>
    </xf>
    <xf numFmtId="0" fontId="97" fillId="0" borderId="158" xfId="53" applyFont="1" applyBorder="1" applyAlignment="1">
      <alignment horizontal="center"/>
      <protection/>
    </xf>
    <xf numFmtId="0" fontId="97" fillId="0" borderId="167" xfId="53" applyFont="1" applyBorder="1" applyAlignment="1">
      <alignment horizontal="center"/>
      <protection/>
    </xf>
    <xf numFmtId="4" fontId="97" fillId="0" borderId="46" xfId="53" applyNumberFormat="1" applyFont="1" applyBorder="1" applyAlignment="1">
      <alignment horizontal="center"/>
      <protection/>
    </xf>
    <xf numFmtId="0" fontId="97" fillId="0" borderId="46" xfId="53" applyFont="1" applyBorder="1" applyAlignment="1">
      <alignment horizontal="center"/>
      <protection/>
    </xf>
    <xf numFmtId="0" fontId="97" fillId="0" borderId="168" xfId="53" applyFont="1" applyBorder="1" applyAlignment="1">
      <alignment horizontal="center"/>
      <protection/>
    </xf>
    <xf numFmtId="4" fontId="97" fillId="3" borderId="169" xfId="53" applyNumberFormat="1" applyFont="1" applyFill="1" applyBorder="1" applyAlignment="1">
      <alignment horizontal="center"/>
      <protection/>
    </xf>
    <xf numFmtId="4" fontId="97" fillId="3" borderId="170" xfId="53" applyNumberFormat="1" applyFont="1" applyFill="1" applyBorder="1" applyAlignment="1">
      <alignment horizontal="center"/>
      <protection/>
    </xf>
    <xf numFmtId="4" fontId="97" fillId="3" borderId="171" xfId="53" applyNumberFormat="1" applyFont="1" applyFill="1" applyBorder="1" applyAlignment="1">
      <alignment horizontal="center"/>
      <protection/>
    </xf>
    <xf numFmtId="0" fontId="97" fillId="0" borderId="0" xfId="53" applyFont="1" applyAlignment="1">
      <alignment horizontal="center"/>
      <protection/>
    </xf>
    <xf numFmtId="0" fontId="97" fillId="0" borderId="22" xfId="53" applyFont="1" applyBorder="1">
      <alignment/>
      <protection/>
    </xf>
    <xf numFmtId="3" fontId="103" fillId="0" borderId="105" xfId="53" applyNumberFormat="1" applyFont="1" applyBorder="1">
      <alignment/>
      <protection/>
    </xf>
    <xf numFmtId="4" fontId="103" fillId="0" borderId="138" xfId="53" applyNumberFormat="1" applyFont="1" applyFill="1" applyBorder="1">
      <alignment/>
      <protection/>
    </xf>
    <xf numFmtId="4" fontId="103" fillId="0" borderId="31" xfId="53" applyNumberFormat="1" applyFont="1" applyFill="1" applyBorder="1">
      <alignment/>
      <protection/>
    </xf>
    <xf numFmtId="3" fontId="103" fillId="0" borderId="31" xfId="53" applyNumberFormat="1" applyFont="1" applyFill="1" applyBorder="1" applyAlignment="1">
      <alignment horizontal="left"/>
      <protection/>
    </xf>
    <xf numFmtId="0" fontId="103" fillId="0" borderId="31" xfId="53" applyFont="1" applyBorder="1" applyAlignment="1">
      <alignment horizontal="left"/>
      <protection/>
    </xf>
    <xf numFmtId="3" fontId="97" fillId="0" borderId="105" xfId="53" applyNumberFormat="1" applyFont="1" applyBorder="1" applyAlignment="1">
      <alignment horizontal="left"/>
      <protection/>
    </xf>
    <xf numFmtId="4" fontId="97" fillId="0" borderId="153" xfId="53" applyNumberFormat="1" applyFont="1" applyBorder="1" applyAlignment="1">
      <alignment horizontal="right"/>
      <protection/>
    </xf>
    <xf numFmtId="4" fontId="97" fillId="0" borderId="68" xfId="53" applyNumberFormat="1" applyFont="1" applyBorder="1" applyAlignment="1">
      <alignment horizontal="right"/>
      <protection/>
    </xf>
    <xf numFmtId="0" fontId="97" fillId="0" borderId="172" xfId="53" applyFont="1" applyBorder="1" applyAlignment="1">
      <alignment horizontal="right"/>
      <protection/>
    </xf>
    <xf numFmtId="0" fontId="97" fillId="0" borderId="0" xfId="53" applyFont="1">
      <alignment/>
      <protection/>
    </xf>
    <xf numFmtId="0" fontId="97" fillId="0" borderId="42" xfId="53" applyFont="1" applyBorder="1">
      <alignment/>
      <protection/>
    </xf>
    <xf numFmtId="3" fontId="103" fillId="28" borderId="68" xfId="53" applyNumberFormat="1" applyFont="1" applyFill="1" applyBorder="1" applyAlignment="1">
      <alignment horizontal="left"/>
      <protection/>
    </xf>
    <xf numFmtId="0" fontId="103" fillId="28" borderId="68" xfId="53" applyFont="1" applyFill="1" applyBorder="1" applyAlignment="1">
      <alignment horizontal="left"/>
      <protection/>
    </xf>
    <xf numFmtId="4" fontId="97" fillId="3" borderId="153" xfId="53" applyNumberFormat="1" applyFont="1" applyFill="1" applyBorder="1" applyAlignment="1">
      <alignment horizontal="right"/>
      <protection/>
    </xf>
    <xf numFmtId="4" fontId="97" fillId="3" borderId="68" xfId="53" applyNumberFormat="1" applyFont="1" applyFill="1" applyBorder="1" applyAlignment="1">
      <alignment horizontal="right"/>
      <protection/>
    </xf>
    <xf numFmtId="4" fontId="97" fillId="28" borderId="172" xfId="53" applyNumberFormat="1" applyFont="1" applyFill="1" applyBorder="1" applyAlignment="1">
      <alignment horizontal="right"/>
      <protection/>
    </xf>
    <xf numFmtId="0" fontId="97" fillId="0" borderId="42" xfId="53" applyFont="1" applyFill="1" applyBorder="1">
      <alignment/>
      <protection/>
    </xf>
    <xf numFmtId="4" fontId="103" fillId="0" borderId="138" xfId="53" applyNumberFormat="1" applyFont="1" applyFill="1" applyBorder="1" applyAlignment="1">
      <alignment horizontal="center"/>
      <protection/>
    </xf>
    <xf numFmtId="4" fontId="103" fillId="0" borderId="31" xfId="53" applyNumberFormat="1" applyFont="1" applyFill="1" applyBorder="1" applyAlignment="1">
      <alignment horizontal="center"/>
      <protection/>
    </xf>
    <xf numFmtId="3" fontId="103" fillId="0" borderId="31" xfId="53" applyNumberFormat="1" applyFont="1" applyFill="1" applyBorder="1" applyAlignment="1">
      <alignment horizontal="center"/>
      <protection/>
    </xf>
    <xf numFmtId="0" fontId="103" fillId="0" borderId="31" xfId="53" applyFont="1" applyFill="1" applyBorder="1" applyAlignment="1">
      <alignment horizontal="left"/>
      <protection/>
    </xf>
    <xf numFmtId="3" fontId="97" fillId="0" borderId="104" xfId="53" applyNumberFormat="1" applyFont="1" applyFill="1" applyBorder="1" applyAlignment="1">
      <alignment horizontal="center"/>
      <protection/>
    </xf>
    <xf numFmtId="4" fontId="97" fillId="0" borderId="138" xfId="53" applyNumberFormat="1" applyFont="1" applyFill="1" applyBorder="1" applyAlignment="1">
      <alignment horizontal="right"/>
      <protection/>
    </xf>
    <xf numFmtId="4" fontId="97" fillId="0" borderId="31" xfId="53" applyNumberFormat="1" applyFont="1" applyFill="1" applyBorder="1" applyAlignment="1">
      <alignment horizontal="right"/>
      <protection/>
    </xf>
    <xf numFmtId="4" fontId="97" fillId="0" borderId="104" xfId="53" applyNumberFormat="1" applyFont="1" applyFill="1" applyBorder="1" applyAlignment="1">
      <alignment horizontal="right"/>
      <protection/>
    </xf>
    <xf numFmtId="0" fontId="97" fillId="0" borderId="0" xfId="53" applyFont="1" applyFill="1">
      <alignment/>
      <protection/>
    </xf>
    <xf numFmtId="3" fontId="97" fillId="28" borderId="138" xfId="53" applyNumberFormat="1" applyFont="1" applyFill="1" applyBorder="1" applyAlignment="1">
      <alignment horizontal="center"/>
      <protection/>
    </xf>
    <xf numFmtId="3" fontId="97" fillId="28" borderId="31" xfId="53" applyNumberFormat="1" applyFont="1" applyFill="1" applyBorder="1" applyAlignment="1">
      <alignment horizontal="center"/>
      <protection/>
    </xf>
    <xf numFmtId="3" fontId="97" fillId="28" borderId="104" xfId="53" applyNumberFormat="1" applyFont="1" applyFill="1" applyBorder="1" applyAlignment="1">
      <alignment horizontal="center"/>
      <protection/>
    </xf>
    <xf numFmtId="3" fontId="97" fillId="0" borderId="0" xfId="53" applyNumberFormat="1" applyFont="1" applyFill="1" applyBorder="1" applyAlignment="1">
      <alignment horizontal="left"/>
      <protection/>
    </xf>
    <xf numFmtId="0" fontId="97" fillId="0" borderId="109" xfId="53" applyFont="1" applyBorder="1">
      <alignment/>
      <protection/>
    </xf>
    <xf numFmtId="3" fontId="103" fillId="28" borderId="153" xfId="53" applyNumberFormat="1" applyFont="1" applyFill="1" applyBorder="1">
      <alignment/>
      <protection/>
    </xf>
    <xf numFmtId="4" fontId="103" fillId="28" borderId="68" xfId="53" applyNumberFormat="1" applyFont="1" applyFill="1" applyBorder="1">
      <alignment/>
      <protection/>
    </xf>
    <xf numFmtId="3" fontId="103" fillId="0" borderId="68" xfId="53" applyNumberFormat="1" applyFont="1" applyBorder="1">
      <alignment/>
      <protection/>
    </xf>
    <xf numFmtId="4" fontId="103" fillId="28" borderId="68" xfId="53" applyNumberFormat="1" applyFont="1" applyFill="1" applyBorder="1" applyAlignment="1">
      <alignment horizontal="left"/>
      <protection/>
    </xf>
    <xf numFmtId="0" fontId="97" fillId="28" borderId="63" xfId="53" applyFont="1" applyFill="1" applyBorder="1" applyAlignment="1">
      <alignment horizontal="left"/>
      <protection/>
    </xf>
    <xf numFmtId="4" fontId="103" fillId="3" borderId="153" xfId="53" applyNumberFormat="1" applyFont="1" applyFill="1" applyBorder="1" applyAlignment="1">
      <alignment horizontal="right"/>
      <protection/>
    </xf>
    <xf numFmtId="4" fontId="97" fillId="28" borderId="68" xfId="53" applyNumberFormat="1" applyFont="1" applyFill="1" applyBorder="1" applyAlignment="1">
      <alignment horizontal="right"/>
      <protection/>
    </xf>
    <xf numFmtId="3" fontId="97" fillId="28" borderId="153" xfId="53" applyNumberFormat="1" applyFont="1" applyFill="1" applyBorder="1">
      <alignment/>
      <protection/>
    </xf>
    <xf numFmtId="4" fontId="97" fillId="28" borderId="68" xfId="53" applyNumberFormat="1" applyFont="1" applyFill="1" applyBorder="1">
      <alignment/>
      <protection/>
    </xf>
    <xf numFmtId="3" fontId="97" fillId="0" borderId="68" xfId="53" applyNumberFormat="1" applyFont="1" applyBorder="1">
      <alignment/>
      <protection/>
    </xf>
    <xf numFmtId="4" fontId="97" fillId="28" borderId="68" xfId="53" applyNumberFormat="1" applyFont="1" applyFill="1" applyBorder="1" applyAlignment="1">
      <alignment horizontal="left"/>
      <protection/>
    </xf>
    <xf numFmtId="3" fontId="97" fillId="28" borderId="68" xfId="53" applyNumberFormat="1" applyFont="1" applyFill="1" applyBorder="1" applyAlignment="1">
      <alignment horizontal="left"/>
      <protection/>
    </xf>
    <xf numFmtId="0" fontId="97" fillId="0" borderId="22" xfId="53" applyFont="1" applyFill="1" applyBorder="1">
      <alignment/>
      <protection/>
    </xf>
    <xf numFmtId="0" fontId="103" fillId="0" borderId="68" xfId="53" applyFont="1" applyFill="1" applyBorder="1" applyAlignment="1">
      <alignment horizontal="left"/>
      <protection/>
    </xf>
    <xf numFmtId="4" fontId="103" fillId="0" borderId="153" xfId="53" applyNumberFormat="1" applyFont="1" applyFill="1" applyBorder="1">
      <alignment/>
      <protection/>
    </xf>
    <xf numFmtId="4" fontId="103" fillId="0" borderId="68" xfId="53" applyNumberFormat="1" applyFont="1" applyFill="1" applyBorder="1">
      <alignment/>
      <protection/>
    </xf>
    <xf numFmtId="4" fontId="103" fillId="0" borderId="63" xfId="53" applyNumberFormat="1" applyFont="1" applyFill="1" applyBorder="1">
      <alignment/>
      <protection/>
    </xf>
    <xf numFmtId="0" fontId="103" fillId="17" borderId="68" xfId="53" applyFont="1" applyFill="1" applyBorder="1" applyAlignment="1">
      <alignment horizontal="left"/>
      <protection/>
    </xf>
    <xf numFmtId="3" fontId="103" fillId="17" borderId="153" xfId="53" applyNumberFormat="1" applyFont="1" applyFill="1" applyBorder="1">
      <alignment/>
      <protection/>
    </xf>
    <xf numFmtId="4" fontId="103" fillId="17" borderId="68" xfId="53" applyNumberFormat="1" applyFont="1" applyFill="1" applyBorder="1">
      <alignment/>
      <protection/>
    </xf>
    <xf numFmtId="4" fontId="103" fillId="17" borderId="68" xfId="53" applyNumberFormat="1" applyFont="1" applyFill="1" applyBorder="1" applyAlignment="1">
      <alignment horizontal="left"/>
      <protection/>
    </xf>
    <xf numFmtId="3" fontId="103" fillId="17" borderId="68" xfId="53" applyNumberFormat="1" applyFont="1" applyFill="1" applyBorder="1" applyAlignment="1">
      <alignment horizontal="left"/>
      <protection/>
    </xf>
    <xf numFmtId="0" fontId="97" fillId="17" borderId="63" xfId="53" applyFont="1" applyFill="1" applyBorder="1" applyAlignment="1">
      <alignment horizontal="left"/>
      <protection/>
    </xf>
    <xf numFmtId="4" fontId="97" fillId="17" borderId="68" xfId="53" applyNumberFormat="1" applyFont="1" applyFill="1" applyBorder="1" applyAlignment="1">
      <alignment horizontal="right"/>
      <protection/>
    </xf>
    <xf numFmtId="4" fontId="97" fillId="0" borderId="172" xfId="53" applyNumberFormat="1" applyFont="1" applyBorder="1" applyAlignment="1">
      <alignment horizontal="right"/>
      <protection/>
    </xf>
    <xf numFmtId="4" fontId="103" fillId="17" borderId="153" xfId="53" applyNumberFormat="1" applyFont="1" applyFill="1" applyBorder="1">
      <alignment/>
      <protection/>
    </xf>
    <xf numFmtId="191" fontId="97" fillId="17" borderId="63" xfId="34" applyNumberFormat="1" applyFont="1" applyFill="1" applyBorder="1" applyAlignment="1">
      <alignment horizontal="left"/>
    </xf>
    <xf numFmtId="3" fontId="97" fillId="0" borderId="0" xfId="53" applyNumberFormat="1" applyFont="1">
      <alignment/>
      <protection/>
    </xf>
    <xf numFmtId="3" fontId="103" fillId="17" borderId="68" xfId="53" applyNumberFormat="1" applyFont="1" applyFill="1" applyBorder="1">
      <alignment/>
      <protection/>
    </xf>
    <xf numFmtId="0" fontId="103" fillId="0" borderId="68" xfId="53" applyFont="1" applyBorder="1" applyAlignment="1">
      <alignment horizontal="left"/>
      <protection/>
    </xf>
    <xf numFmtId="4" fontId="97" fillId="0" borderId="153" xfId="53" applyNumberFormat="1" applyFont="1" applyBorder="1">
      <alignment/>
      <protection/>
    </xf>
    <xf numFmtId="4" fontId="97" fillId="0" borderId="68" xfId="53" applyNumberFormat="1" applyFont="1" applyBorder="1">
      <alignment/>
      <protection/>
    </xf>
    <xf numFmtId="0" fontId="97" fillId="0" borderId="68" xfId="53" applyFont="1" applyBorder="1" applyAlignment="1">
      <alignment horizontal="left"/>
      <protection/>
    </xf>
    <xf numFmtId="191" fontId="97" fillId="0" borderId="63" xfId="34" applyNumberFormat="1" applyFont="1" applyBorder="1" applyAlignment="1">
      <alignment horizontal="left"/>
    </xf>
    <xf numFmtId="0" fontId="94" fillId="0" borderId="0" xfId="53" applyFont="1">
      <alignment/>
      <protection/>
    </xf>
    <xf numFmtId="0" fontId="103" fillId="3" borderId="68" xfId="53" applyFont="1" applyFill="1" applyBorder="1" applyAlignment="1">
      <alignment horizontal="left"/>
      <protection/>
    </xf>
    <xf numFmtId="4" fontId="103" fillId="3" borderId="153" xfId="53" applyNumberFormat="1" applyFont="1" applyFill="1" applyBorder="1">
      <alignment/>
      <protection/>
    </xf>
    <xf numFmtId="4" fontId="103" fillId="3" borderId="68" xfId="53" applyNumberFormat="1" applyFont="1" applyFill="1" applyBorder="1">
      <alignment/>
      <protection/>
    </xf>
    <xf numFmtId="3" fontId="103" fillId="3" borderId="68" xfId="53" applyNumberFormat="1" applyFont="1" applyFill="1" applyBorder="1">
      <alignment/>
      <protection/>
    </xf>
    <xf numFmtId="3" fontId="103" fillId="3" borderId="68" xfId="53" applyNumberFormat="1" applyFont="1" applyFill="1" applyBorder="1" applyAlignment="1">
      <alignment horizontal="left"/>
      <protection/>
    </xf>
    <xf numFmtId="191" fontId="97" fillId="3" borderId="63" xfId="34" applyNumberFormat="1" applyFont="1" applyFill="1" applyBorder="1" applyAlignment="1">
      <alignment horizontal="left"/>
    </xf>
    <xf numFmtId="4" fontId="97" fillId="3" borderId="172" xfId="53" applyNumberFormat="1" applyFont="1" applyFill="1" applyBorder="1" applyAlignment="1">
      <alignment horizontal="right"/>
      <protection/>
    </xf>
    <xf numFmtId="0" fontId="97" fillId="0" borderId="109" xfId="53" applyFont="1" applyFill="1" applyBorder="1">
      <alignment/>
      <protection/>
    </xf>
    <xf numFmtId="3" fontId="103" fillId="0" borderId="68" xfId="53" applyNumberFormat="1" applyFont="1" applyFill="1" applyBorder="1">
      <alignment/>
      <protection/>
    </xf>
    <xf numFmtId="3" fontId="103" fillId="0" borderId="68" xfId="53" applyNumberFormat="1" applyFont="1" applyFill="1" applyBorder="1" applyAlignment="1">
      <alignment horizontal="left"/>
      <protection/>
    </xf>
    <xf numFmtId="191" fontId="97" fillId="0" borderId="63" xfId="34" applyNumberFormat="1" applyFont="1" applyFill="1" applyBorder="1" applyAlignment="1">
      <alignment horizontal="left"/>
    </xf>
    <xf numFmtId="4" fontId="97" fillId="0" borderId="153" xfId="53" applyNumberFormat="1" applyFont="1" applyFill="1" applyBorder="1" applyAlignment="1">
      <alignment horizontal="right"/>
      <protection/>
    </xf>
    <xf numFmtId="4" fontId="97" fillId="0" borderId="68" xfId="53" applyNumberFormat="1" applyFont="1" applyFill="1" applyBorder="1" applyAlignment="1">
      <alignment horizontal="right"/>
      <protection/>
    </xf>
    <xf numFmtId="4" fontId="97" fillId="0" borderId="172" xfId="53" applyNumberFormat="1" applyFont="1" applyFill="1" applyBorder="1" applyAlignment="1">
      <alignment horizontal="right"/>
      <protection/>
    </xf>
    <xf numFmtId="0" fontId="94" fillId="0" borderId="109" xfId="53" applyFont="1" applyFill="1" applyBorder="1">
      <alignment/>
      <protection/>
    </xf>
    <xf numFmtId="0" fontId="94" fillId="0" borderId="0" xfId="53" applyFont="1" applyFill="1">
      <alignment/>
      <protection/>
    </xf>
    <xf numFmtId="0" fontId="103" fillId="7" borderId="68" xfId="53" applyFont="1" applyFill="1" applyBorder="1" applyAlignment="1">
      <alignment horizontal="left"/>
      <protection/>
    </xf>
    <xf numFmtId="4" fontId="103" fillId="7" borderId="153" xfId="53" applyNumberFormat="1" applyFont="1" applyFill="1" applyBorder="1">
      <alignment/>
      <protection/>
    </xf>
    <xf numFmtId="4" fontId="103" fillId="7" borderId="68" xfId="53" applyNumberFormat="1" applyFont="1" applyFill="1" applyBorder="1">
      <alignment/>
      <protection/>
    </xf>
    <xf numFmtId="3" fontId="103" fillId="7" borderId="68" xfId="53" applyNumberFormat="1" applyFont="1" applyFill="1" applyBorder="1" applyAlignment="1">
      <alignment horizontal="left"/>
      <protection/>
    </xf>
    <xf numFmtId="191" fontId="97" fillId="7" borderId="63" xfId="34" applyNumberFormat="1" applyFont="1" applyFill="1" applyBorder="1" applyAlignment="1">
      <alignment horizontal="left"/>
    </xf>
    <xf numFmtId="4" fontId="97" fillId="7" borderId="68" xfId="53" applyNumberFormat="1" applyFont="1" applyFill="1" applyBorder="1" applyAlignment="1">
      <alignment horizontal="right"/>
      <protection/>
    </xf>
    <xf numFmtId="4" fontId="97" fillId="7" borderId="172" xfId="53" applyNumberFormat="1" applyFont="1" applyFill="1" applyBorder="1" applyAlignment="1">
      <alignment horizontal="right"/>
      <protection/>
    </xf>
    <xf numFmtId="0" fontId="105" fillId="0" borderId="0" xfId="53" applyFont="1">
      <alignment/>
      <protection/>
    </xf>
    <xf numFmtId="4" fontId="97" fillId="7" borderId="62" xfId="53" applyNumberFormat="1" applyFont="1" applyFill="1" applyBorder="1" applyAlignment="1">
      <alignment horizontal="right"/>
      <protection/>
    </xf>
    <xf numFmtId="4" fontId="97" fillId="0" borderId="62" xfId="53" applyNumberFormat="1" applyFont="1" applyFill="1" applyBorder="1" applyAlignment="1">
      <alignment horizontal="right"/>
      <protection/>
    </xf>
    <xf numFmtId="0" fontId="103" fillId="4" borderId="68" xfId="53" applyFont="1" applyFill="1" applyBorder="1" applyAlignment="1">
      <alignment horizontal="left"/>
      <protection/>
    </xf>
    <xf numFmtId="3" fontId="103" fillId="4" borderId="68" xfId="53" applyNumberFormat="1" applyFont="1" applyFill="1" applyBorder="1" applyAlignment="1">
      <alignment horizontal="right"/>
      <protection/>
    </xf>
    <xf numFmtId="3" fontId="103" fillId="4" borderId="153" xfId="53" applyNumberFormat="1" applyFont="1" applyFill="1" applyBorder="1" applyAlignment="1">
      <alignment horizontal="right"/>
      <protection/>
    </xf>
    <xf numFmtId="191" fontId="97" fillId="4" borderId="63" xfId="34" applyNumberFormat="1" applyFont="1" applyFill="1" applyBorder="1" applyAlignment="1">
      <alignment horizontal="left"/>
    </xf>
    <xf numFmtId="4" fontId="97" fillId="28" borderId="153" xfId="53" applyNumberFormat="1" applyFont="1" applyFill="1" applyBorder="1" applyAlignment="1">
      <alignment horizontal="right"/>
      <protection/>
    </xf>
    <xf numFmtId="4" fontId="97" fillId="28" borderId="62" xfId="53" applyNumberFormat="1" applyFont="1" applyFill="1" applyBorder="1" applyAlignment="1">
      <alignment horizontal="right"/>
      <protection/>
    </xf>
    <xf numFmtId="4" fontId="103" fillId="4" borderId="153" xfId="53" applyNumberFormat="1" applyFont="1" applyFill="1" applyBorder="1">
      <alignment/>
      <protection/>
    </xf>
    <xf numFmtId="4" fontId="103" fillId="4" borderId="68" xfId="53" applyNumberFormat="1" applyFont="1" applyFill="1" applyBorder="1">
      <alignment/>
      <protection/>
    </xf>
    <xf numFmtId="3" fontId="103" fillId="4" borderId="68" xfId="53" applyNumberFormat="1" applyFont="1" applyFill="1" applyBorder="1">
      <alignment/>
      <protection/>
    </xf>
    <xf numFmtId="3" fontId="103" fillId="4" borderId="68" xfId="53" applyNumberFormat="1" applyFont="1" applyFill="1" applyBorder="1" applyAlignment="1">
      <alignment horizontal="left"/>
      <protection/>
    </xf>
    <xf numFmtId="4" fontId="97" fillId="4" borderId="153" xfId="53" applyNumberFormat="1" applyFont="1" applyFill="1" applyBorder="1">
      <alignment/>
      <protection/>
    </xf>
    <xf numFmtId="4" fontId="97" fillId="4" borderId="68" xfId="53" applyNumberFormat="1" applyFont="1" applyFill="1" applyBorder="1">
      <alignment/>
      <protection/>
    </xf>
    <xf numFmtId="3" fontId="97" fillId="4" borderId="68" xfId="53" applyNumberFormat="1" applyFont="1" applyFill="1" applyBorder="1">
      <alignment/>
      <protection/>
    </xf>
    <xf numFmtId="3" fontId="97" fillId="4" borderId="68" xfId="53" applyNumberFormat="1" applyFont="1" applyFill="1" applyBorder="1" applyAlignment="1">
      <alignment horizontal="left"/>
      <protection/>
    </xf>
    <xf numFmtId="0" fontId="97" fillId="4" borderId="68" xfId="53" applyFont="1" applyFill="1" applyBorder="1" applyAlignment="1">
      <alignment horizontal="left"/>
      <protection/>
    </xf>
    <xf numFmtId="4" fontId="103" fillId="0" borderId="153" xfId="53" applyNumberFormat="1" applyFont="1" applyBorder="1">
      <alignment/>
      <protection/>
    </xf>
    <xf numFmtId="4" fontId="103" fillId="0" borderId="68" xfId="53" applyNumberFormat="1" applyFont="1" applyBorder="1">
      <alignment/>
      <protection/>
    </xf>
    <xf numFmtId="3" fontId="103" fillId="0" borderId="68" xfId="53" applyNumberFormat="1" applyFont="1" applyBorder="1" applyAlignment="1">
      <alignment horizontal="left"/>
      <protection/>
    </xf>
    <xf numFmtId="0" fontId="97" fillId="0" borderId="63" xfId="53" applyFont="1" applyBorder="1" applyAlignment="1">
      <alignment horizontal="left"/>
      <protection/>
    </xf>
    <xf numFmtId="191" fontId="97" fillId="28" borderId="63" xfId="34" applyNumberFormat="1" applyFont="1" applyFill="1" applyBorder="1" applyAlignment="1">
      <alignment horizontal="left" vertical="center" wrapText="1"/>
    </xf>
    <xf numFmtId="3" fontId="97" fillId="0" borderId="68" xfId="53" applyNumberFormat="1" applyFont="1" applyBorder="1" applyAlignment="1">
      <alignment horizontal="left"/>
      <protection/>
    </xf>
    <xf numFmtId="4" fontId="97" fillId="17" borderId="153" xfId="53" applyNumberFormat="1" applyFont="1" applyFill="1" applyBorder="1">
      <alignment/>
      <protection/>
    </xf>
    <xf numFmtId="4" fontId="97" fillId="17" borderId="68" xfId="53" applyNumberFormat="1" applyFont="1" applyFill="1" applyBorder="1">
      <alignment/>
      <protection/>
    </xf>
    <xf numFmtId="3" fontId="97" fillId="17" borderId="68" xfId="53" applyNumberFormat="1" applyFont="1" applyFill="1" applyBorder="1" applyAlignment="1">
      <alignment horizontal="left"/>
      <protection/>
    </xf>
    <xf numFmtId="3" fontId="103" fillId="7" borderId="68" xfId="53" applyNumberFormat="1" applyFont="1" applyFill="1" applyBorder="1">
      <alignment/>
      <protection/>
    </xf>
    <xf numFmtId="0" fontId="97" fillId="0" borderId="55" xfId="53" applyFont="1" applyBorder="1">
      <alignment/>
      <protection/>
    </xf>
    <xf numFmtId="0" fontId="97" fillId="0" borderId="158" xfId="53" applyFont="1" applyBorder="1">
      <alignment/>
      <protection/>
    </xf>
    <xf numFmtId="0" fontId="94" fillId="0" borderId="0" xfId="53" applyFont="1" applyBorder="1">
      <alignment/>
      <protection/>
    </xf>
    <xf numFmtId="0" fontId="94" fillId="0" borderId="0" xfId="53" applyFont="1" applyBorder="1" applyAlignment="1">
      <alignment wrapText="1"/>
      <protection/>
    </xf>
    <xf numFmtId="4" fontId="104" fillId="0" borderId="81" xfId="53" applyNumberFormat="1" applyFont="1" applyBorder="1" applyAlignment="1">
      <alignment wrapText="1"/>
      <protection/>
    </xf>
    <xf numFmtId="4" fontId="104" fillId="0" borderId="29" xfId="53" applyNumberFormat="1" applyFont="1" applyBorder="1" applyAlignment="1">
      <alignment wrapText="1"/>
      <protection/>
    </xf>
    <xf numFmtId="3" fontId="104" fillId="0" borderId="29" xfId="53" applyNumberFormat="1" applyFont="1" applyBorder="1" applyAlignment="1">
      <alignment wrapText="1"/>
      <protection/>
    </xf>
    <xf numFmtId="0" fontId="104" fillId="0" borderId="29" xfId="53" applyFont="1" applyBorder="1" applyAlignment="1">
      <alignment wrapText="1"/>
      <protection/>
    </xf>
    <xf numFmtId="191" fontId="94" fillId="0" borderId="173" xfId="34" applyNumberFormat="1" applyFont="1" applyBorder="1" applyAlignment="1">
      <alignment wrapText="1"/>
    </xf>
    <xf numFmtId="4" fontId="94" fillId="0" borderId="174" xfId="53" applyNumberFormat="1" applyFont="1" applyBorder="1" applyAlignment="1">
      <alignment wrapText="1"/>
      <protection/>
    </xf>
    <xf numFmtId="4" fontId="94" fillId="0" borderId="69" xfId="53" applyNumberFormat="1" applyFont="1" applyBorder="1" applyAlignment="1">
      <alignment wrapText="1"/>
      <protection/>
    </xf>
    <xf numFmtId="4" fontId="94" fillId="0" borderId="175" xfId="53" applyNumberFormat="1" applyFont="1" applyBorder="1" applyAlignment="1">
      <alignment wrapText="1"/>
      <protection/>
    </xf>
    <xf numFmtId="4" fontId="94" fillId="0" borderId="0" xfId="53" applyNumberFormat="1" applyFont="1" applyAlignment="1">
      <alignment wrapText="1"/>
      <protection/>
    </xf>
    <xf numFmtId="0" fontId="94" fillId="0" borderId="0" xfId="53" applyFont="1" applyAlignment="1">
      <alignment wrapText="1"/>
      <protection/>
    </xf>
    <xf numFmtId="4" fontId="104" fillId="0" borderId="153" xfId="53" applyNumberFormat="1" applyFont="1" applyBorder="1">
      <alignment/>
      <protection/>
    </xf>
    <xf numFmtId="4" fontId="104" fillId="0" borderId="68" xfId="53" applyNumberFormat="1" applyFont="1" applyBorder="1">
      <alignment/>
      <protection/>
    </xf>
    <xf numFmtId="3" fontId="104" fillId="0" borderId="68" xfId="53" applyNumberFormat="1" applyFont="1" applyBorder="1">
      <alignment/>
      <protection/>
    </xf>
    <xf numFmtId="0" fontId="104" fillId="0" borderId="68" xfId="53" applyFont="1" applyBorder="1" applyAlignment="1">
      <alignment horizontal="left"/>
      <protection/>
    </xf>
    <xf numFmtId="191" fontId="94" fillId="0" borderId="63" xfId="34" applyNumberFormat="1" applyFont="1" applyBorder="1" applyAlignment="1">
      <alignment horizontal="left"/>
    </xf>
    <xf numFmtId="4" fontId="94" fillId="0" borderId="0" xfId="53" applyNumberFormat="1" applyFont="1" applyBorder="1" applyAlignment="1">
      <alignment horizontal="right"/>
      <protection/>
    </xf>
    <xf numFmtId="4" fontId="94" fillId="0" borderId="0" xfId="53" applyNumberFormat="1" applyFont="1">
      <alignment/>
      <protection/>
    </xf>
    <xf numFmtId="4" fontId="104" fillId="0" borderId="0" xfId="53" applyNumberFormat="1" applyFont="1" applyBorder="1">
      <alignment/>
      <protection/>
    </xf>
    <xf numFmtId="3" fontId="104" fillId="0" borderId="0" xfId="53" applyNumberFormat="1" applyFont="1" applyBorder="1">
      <alignment/>
      <protection/>
    </xf>
    <xf numFmtId="0" fontId="104" fillId="0" borderId="0" xfId="53" applyFont="1" applyBorder="1" applyAlignment="1">
      <alignment horizontal="left"/>
      <protection/>
    </xf>
    <xf numFmtId="191" fontId="94" fillId="0" borderId="0" xfId="34" applyNumberFormat="1" applyFont="1" applyBorder="1" applyAlignment="1">
      <alignment horizontal="left"/>
    </xf>
    <xf numFmtId="3" fontId="104" fillId="0" borderId="143" xfId="53" applyNumberFormat="1" applyFont="1" applyBorder="1" applyAlignment="1">
      <alignment horizontal="right"/>
      <protection/>
    </xf>
    <xf numFmtId="3" fontId="103" fillId="0" borderId="138" xfId="53" applyNumberFormat="1" applyFont="1" applyBorder="1" applyAlignment="1">
      <alignment horizontal="right"/>
      <protection/>
    </xf>
    <xf numFmtId="0" fontId="103" fillId="0" borderId="176" xfId="53" applyFont="1" applyFill="1" applyBorder="1" applyAlignment="1">
      <alignment horizontal="left"/>
      <protection/>
    </xf>
    <xf numFmtId="0" fontId="103" fillId="0" borderId="99" xfId="53" applyFont="1" applyFill="1" applyBorder="1" applyAlignment="1">
      <alignment horizontal="left"/>
      <protection/>
    </xf>
    <xf numFmtId="0" fontId="103" fillId="0" borderId="101" xfId="53" applyFont="1" applyFill="1" applyBorder="1" applyAlignment="1">
      <alignment horizontal="left"/>
      <protection/>
    </xf>
    <xf numFmtId="0" fontId="97" fillId="0" borderId="99" xfId="53" applyFont="1" applyFill="1" applyBorder="1" applyAlignment="1">
      <alignment horizontal="left"/>
      <protection/>
    </xf>
    <xf numFmtId="0" fontId="97" fillId="0" borderId="101" xfId="53" applyFont="1" applyFill="1" applyBorder="1" applyAlignment="1">
      <alignment horizontal="left"/>
      <protection/>
    </xf>
    <xf numFmtId="3" fontId="97" fillId="0" borderId="177" xfId="53" applyNumberFormat="1" applyFont="1" applyFill="1" applyBorder="1" applyAlignment="1">
      <alignment horizontal="right"/>
      <protection/>
    </xf>
    <xf numFmtId="3" fontId="103" fillId="0" borderId="33" xfId="53" applyNumberFormat="1" applyFont="1" applyFill="1" applyBorder="1" applyAlignment="1">
      <alignment horizontal="right"/>
      <protection/>
    </xf>
    <xf numFmtId="3" fontId="97" fillId="0" borderId="54" xfId="53" applyNumberFormat="1" applyFont="1" applyFill="1" applyBorder="1" applyAlignment="1">
      <alignment horizontal="right"/>
      <protection/>
    </xf>
    <xf numFmtId="3" fontId="103" fillId="0" borderId="177" xfId="53" applyNumberFormat="1" applyFont="1" applyFill="1" applyBorder="1" applyAlignment="1">
      <alignment horizontal="right"/>
      <protection/>
    </xf>
    <xf numFmtId="3" fontId="97" fillId="0" borderId="33" xfId="53" applyNumberFormat="1" applyFont="1" applyFill="1" applyBorder="1" applyAlignment="1">
      <alignment horizontal="right"/>
      <protection/>
    </xf>
    <xf numFmtId="3" fontId="103" fillId="0" borderId="54" xfId="53" applyNumberFormat="1" applyFont="1" applyFill="1" applyBorder="1" applyAlignment="1">
      <alignment horizontal="right"/>
      <protection/>
    </xf>
    <xf numFmtId="0" fontId="97" fillId="0" borderId="109" xfId="53" applyFont="1" applyBorder="1" applyAlignment="1">
      <alignment vertical="center"/>
      <protection/>
    </xf>
    <xf numFmtId="0" fontId="103" fillId="19" borderId="97" xfId="53" applyFont="1" applyFill="1" applyBorder="1" applyAlignment="1">
      <alignment horizontal="left" vertical="center"/>
      <protection/>
    </xf>
    <xf numFmtId="3" fontId="103" fillId="19" borderId="0" xfId="53" applyNumberFormat="1" applyFont="1" applyFill="1" applyBorder="1" applyAlignment="1">
      <alignment horizontal="right" vertical="center"/>
      <protection/>
    </xf>
    <xf numFmtId="4" fontId="103" fillId="19" borderId="153" xfId="53" applyNumberFormat="1" applyFont="1" applyFill="1" applyBorder="1" applyAlignment="1">
      <alignment vertical="center"/>
      <protection/>
    </xf>
    <xf numFmtId="4" fontId="103" fillId="19" borderId="68" xfId="53" applyNumberFormat="1" applyFont="1" applyFill="1" applyBorder="1" applyAlignment="1">
      <alignment vertical="center"/>
      <protection/>
    </xf>
    <xf numFmtId="3" fontId="103" fillId="19" borderId="68" xfId="53" applyNumberFormat="1" applyFont="1" applyFill="1" applyBorder="1" applyAlignment="1">
      <alignment vertical="center"/>
      <protection/>
    </xf>
    <xf numFmtId="3" fontId="103" fillId="19" borderId="68" xfId="53" applyNumberFormat="1" applyFont="1" applyFill="1" applyBorder="1" applyAlignment="1">
      <alignment horizontal="left" vertical="center"/>
      <protection/>
    </xf>
    <xf numFmtId="0" fontId="103" fillId="19" borderId="68" xfId="53" applyFont="1" applyFill="1" applyBorder="1" applyAlignment="1">
      <alignment horizontal="left" vertical="center"/>
      <protection/>
    </xf>
    <xf numFmtId="191" fontId="97" fillId="19" borderId="63" xfId="34" applyNumberFormat="1" applyFont="1" applyFill="1" applyBorder="1" applyAlignment="1">
      <alignment horizontal="left" vertical="center"/>
    </xf>
    <xf numFmtId="4" fontId="97" fillId="3" borderId="153" xfId="53" applyNumberFormat="1" applyFont="1" applyFill="1" applyBorder="1" applyAlignment="1">
      <alignment horizontal="right" vertical="center"/>
      <protection/>
    </xf>
    <xf numFmtId="4" fontId="97" fillId="3" borderId="68" xfId="53" applyNumberFormat="1" applyFont="1" applyFill="1" applyBorder="1" applyAlignment="1">
      <alignment horizontal="right" vertical="center"/>
      <protection/>
    </xf>
    <xf numFmtId="4" fontId="97" fillId="4" borderId="68" xfId="53" applyNumberFormat="1" applyFont="1" applyFill="1" applyBorder="1" applyAlignment="1">
      <alignment horizontal="right" vertical="center"/>
      <protection/>
    </xf>
    <xf numFmtId="4" fontId="97" fillId="4" borderId="172" xfId="53" applyNumberFormat="1" applyFont="1" applyFill="1" applyBorder="1" applyAlignment="1">
      <alignment horizontal="right" vertical="center"/>
      <protection/>
    </xf>
    <xf numFmtId="0" fontId="97" fillId="0" borderId="0" xfId="53" applyFont="1" applyAlignment="1">
      <alignment vertical="center"/>
      <protection/>
    </xf>
    <xf numFmtId="0" fontId="97" fillId="0" borderId="113" xfId="53" applyFont="1" applyFill="1" applyBorder="1" applyAlignment="1">
      <alignment horizontal="left" wrapText="1"/>
      <protection/>
    </xf>
    <xf numFmtId="3" fontId="97" fillId="0" borderId="111" xfId="53" applyNumberFormat="1" applyFont="1" applyFill="1" applyBorder="1" applyAlignment="1">
      <alignment horizontal="right"/>
      <protection/>
    </xf>
    <xf numFmtId="4" fontId="103" fillId="28" borderId="153" xfId="53" applyNumberFormat="1" applyFont="1" applyFill="1" applyBorder="1" applyAlignment="1">
      <alignment vertical="center"/>
      <protection/>
    </xf>
    <xf numFmtId="4" fontId="103" fillId="28" borderId="68" xfId="53" applyNumberFormat="1" applyFont="1" applyFill="1" applyBorder="1" applyAlignment="1">
      <alignment vertical="center"/>
      <protection/>
    </xf>
    <xf numFmtId="3" fontId="103" fillId="28" borderId="68" xfId="53" applyNumberFormat="1" applyFont="1" applyFill="1" applyBorder="1" applyAlignment="1">
      <alignment vertical="center"/>
      <protection/>
    </xf>
    <xf numFmtId="3" fontId="103" fillId="28" borderId="68" xfId="53" applyNumberFormat="1" applyFont="1" applyFill="1" applyBorder="1" applyAlignment="1">
      <alignment horizontal="left" vertical="center"/>
      <protection/>
    </xf>
    <xf numFmtId="0" fontId="103" fillId="28" borderId="68" xfId="53" applyFont="1" applyFill="1" applyBorder="1" applyAlignment="1">
      <alignment horizontal="left" vertical="center"/>
      <protection/>
    </xf>
    <xf numFmtId="4" fontId="97" fillId="0" borderId="68" xfId="53" applyNumberFormat="1" applyFont="1" applyBorder="1" applyAlignment="1">
      <alignment horizontal="right" vertical="center"/>
      <protection/>
    </xf>
    <xf numFmtId="4" fontId="97" fillId="0" borderId="172" xfId="53" applyNumberFormat="1" applyFont="1" applyBorder="1" applyAlignment="1">
      <alignment horizontal="right" vertical="center"/>
      <protection/>
    </xf>
    <xf numFmtId="0" fontId="103" fillId="17" borderId="47" xfId="53" applyFont="1" applyFill="1" applyBorder="1" applyAlignment="1">
      <alignment horizontal="left"/>
      <protection/>
    </xf>
    <xf numFmtId="3" fontId="104" fillId="17" borderId="15" xfId="53" applyNumberFormat="1" applyFont="1" applyFill="1" applyBorder="1" applyAlignment="1">
      <alignment horizontal="right"/>
      <protection/>
    </xf>
    <xf numFmtId="0" fontId="103" fillId="17" borderId="15" xfId="53" applyFont="1" applyFill="1" applyBorder="1" applyAlignment="1">
      <alignment vertical="center" wrapText="1"/>
      <protection/>
    </xf>
    <xf numFmtId="0" fontId="59" fillId="0" borderId="177" xfId="53" applyFont="1" applyFill="1" applyBorder="1" applyAlignment="1">
      <alignment vertical="center" wrapText="1"/>
      <protection/>
    </xf>
    <xf numFmtId="0" fontId="59" fillId="0" borderId="54" xfId="53" applyFont="1" applyFill="1" applyBorder="1" applyAlignment="1">
      <alignment vertical="center" wrapText="1"/>
      <protection/>
    </xf>
    <xf numFmtId="0" fontId="29" fillId="0" borderId="33" xfId="53" applyFont="1" applyFill="1" applyBorder="1" applyAlignment="1">
      <alignment vertical="center" wrapText="1"/>
      <protection/>
    </xf>
    <xf numFmtId="0" fontId="29" fillId="0" borderId="54" xfId="53" applyFont="1" applyFill="1" applyBorder="1" applyAlignment="1">
      <alignment vertical="center" wrapText="1"/>
      <protection/>
    </xf>
    <xf numFmtId="0" fontId="29" fillId="17" borderId="15" xfId="53" applyFont="1" applyFill="1" applyBorder="1" applyAlignment="1">
      <alignment vertical="center" wrapText="1"/>
      <protection/>
    </xf>
    <xf numFmtId="0" fontId="29" fillId="0" borderId="177" xfId="53" applyFont="1" applyFill="1" applyBorder="1" applyAlignment="1">
      <alignment vertical="center" wrapText="1"/>
      <protection/>
    </xf>
    <xf numFmtId="0" fontId="29" fillId="0" borderId="93" xfId="53" applyFont="1" applyFill="1" applyBorder="1" applyAlignment="1">
      <alignment vertical="center" wrapText="1"/>
      <protection/>
    </xf>
    <xf numFmtId="0" fontId="59" fillId="19" borderId="0" xfId="53" applyFont="1" applyFill="1" applyBorder="1" applyAlignment="1">
      <alignment vertical="center" wrapText="1"/>
      <protection/>
    </xf>
    <xf numFmtId="0" fontId="59" fillId="17" borderId="15" xfId="53" applyFont="1" applyFill="1" applyBorder="1" applyAlignment="1">
      <alignment vertical="center" wrapText="1"/>
      <protection/>
    </xf>
    <xf numFmtId="0" fontId="59" fillId="0" borderId="33" xfId="53" applyFont="1" applyFill="1" applyBorder="1" applyAlignment="1">
      <alignment vertical="center" wrapText="1"/>
      <protection/>
    </xf>
    <xf numFmtId="0" fontId="59" fillId="0" borderId="93" xfId="53" applyFont="1" applyFill="1" applyBorder="1" applyAlignment="1">
      <alignment vertical="center" wrapText="1"/>
      <protection/>
    </xf>
    <xf numFmtId="0" fontId="29" fillId="0" borderId="109" xfId="53" applyFont="1" applyFill="1" applyBorder="1" applyAlignment="1">
      <alignment vertical="center" wrapText="1"/>
      <protection/>
    </xf>
    <xf numFmtId="3" fontId="97" fillId="0" borderId="178" xfId="53" applyNumberFormat="1" applyFont="1" applyBorder="1" applyAlignment="1">
      <alignment horizontal="center"/>
      <protection/>
    </xf>
    <xf numFmtId="0" fontId="97" fillId="0" borderId="125" xfId="53" applyFont="1" applyBorder="1" applyAlignment="1">
      <alignment horizontal="center"/>
      <protection/>
    </xf>
    <xf numFmtId="3" fontId="97" fillId="0" borderId="134" xfId="53" applyNumberFormat="1" applyFont="1" applyFill="1" applyBorder="1" applyAlignment="1">
      <alignment horizontal="right"/>
      <protection/>
    </xf>
    <xf numFmtId="3" fontId="103" fillId="0" borderId="100" xfId="53" applyNumberFormat="1" applyFont="1" applyFill="1" applyBorder="1" applyAlignment="1">
      <alignment horizontal="right"/>
      <protection/>
    </xf>
    <xf numFmtId="3" fontId="97" fillId="0" borderId="102" xfId="53" applyNumberFormat="1" applyFont="1" applyFill="1" applyBorder="1" applyAlignment="1">
      <alignment horizontal="right"/>
      <protection/>
    </xf>
    <xf numFmtId="3" fontId="104" fillId="17" borderId="48" xfId="53" applyNumberFormat="1" applyFont="1" applyFill="1" applyBorder="1" applyAlignment="1">
      <alignment horizontal="right"/>
      <protection/>
    </xf>
    <xf numFmtId="3" fontId="103" fillId="0" borderId="134" xfId="53" applyNumberFormat="1" applyFont="1" applyFill="1" applyBorder="1" applyAlignment="1">
      <alignment horizontal="right"/>
      <protection/>
    </xf>
    <xf numFmtId="3" fontId="97" fillId="0" borderId="100" xfId="53" applyNumberFormat="1" applyFont="1" applyFill="1" applyBorder="1" applyAlignment="1">
      <alignment horizontal="right"/>
      <protection/>
    </xf>
    <xf numFmtId="0" fontId="94" fillId="19" borderId="21" xfId="53" applyFont="1" applyFill="1" applyBorder="1" applyAlignment="1">
      <alignment horizontal="center" vertical="center"/>
      <protection/>
    </xf>
    <xf numFmtId="3" fontId="103" fillId="19" borderId="98" xfId="53" applyNumberFormat="1" applyFont="1" applyFill="1" applyBorder="1" applyAlignment="1">
      <alignment vertical="center"/>
      <protection/>
    </xf>
    <xf numFmtId="3" fontId="103" fillId="0" borderId="102" xfId="53" applyNumberFormat="1" applyFont="1" applyFill="1" applyBorder="1" applyAlignment="1">
      <alignment horizontal="right"/>
      <protection/>
    </xf>
    <xf numFmtId="3" fontId="103" fillId="0" borderId="100" xfId="53" applyNumberFormat="1" applyFont="1" applyFill="1" applyBorder="1">
      <alignment/>
      <protection/>
    </xf>
    <xf numFmtId="3" fontId="97" fillId="0" borderId="121" xfId="53" applyNumberFormat="1" applyFont="1" applyFill="1" applyBorder="1" applyAlignment="1">
      <alignment horizontal="right"/>
      <protection/>
    </xf>
    <xf numFmtId="3" fontId="104" fillId="11" borderId="47" xfId="53" applyNumberFormat="1" applyFont="1" applyFill="1" applyBorder="1" applyAlignment="1">
      <alignment wrapText="1"/>
      <protection/>
    </xf>
    <xf numFmtId="3" fontId="104" fillId="11" borderId="48" xfId="53" applyNumberFormat="1" applyFont="1" applyFill="1" applyBorder="1" applyAlignment="1">
      <alignment wrapText="1"/>
      <protection/>
    </xf>
    <xf numFmtId="3" fontId="104" fillId="11" borderId="49" xfId="53" applyNumberFormat="1" applyFont="1" applyFill="1" applyBorder="1" applyAlignment="1">
      <alignment horizontal="right"/>
      <protection/>
    </xf>
    <xf numFmtId="0" fontId="94" fillId="11" borderId="53" xfId="53" applyFont="1" applyFill="1" applyBorder="1" applyAlignment="1">
      <alignment horizontal="left"/>
      <protection/>
    </xf>
    <xf numFmtId="3" fontId="104" fillId="11" borderId="150" xfId="53" applyNumberFormat="1" applyFont="1" applyFill="1" applyBorder="1" applyAlignment="1">
      <alignment horizontal="right"/>
      <protection/>
    </xf>
    <xf numFmtId="0" fontId="94" fillId="11" borderId="16" xfId="53" applyFont="1" applyFill="1" applyBorder="1" applyAlignment="1">
      <alignment horizontal="left"/>
      <protection/>
    </xf>
    <xf numFmtId="0" fontId="104" fillId="11" borderId="16" xfId="53" applyFont="1" applyFill="1" applyBorder="1" applyAlignment="1">
      <alignment horizontal="left"/>
      <protection/>
    </xf>
    <xf numFmtId="0" fontId="104" fillId="11" borderId="148" xfId="53" applyFont="1" applyFill="1" applyBorder="1" applyAlignment="1">
      <alignment wrapText="1"/>
      <protection/>
    </xf>
    <xf numFmtId="3" fontId="104" fillId="0" borderId="179" xfId="53" applyNumberFormat="1" applyFont="1" applyBorder="1" applyAlignment="1">
      <alignment horizontal="right"/>
      <protection/>
    </xf>
    <xf numFmtId="0" fontId="104" fillId="0" borderId="157" xfId="53" applyFont="1" applyBorder="1" applyAlignment="1">
      <alignment horizontal="left"/>
      <protection/>
    </xf>
    <xf numFmtId="3" fontId="19" fillId="0" borderId="47" xfId="0" applyNumberFormat="1" applyFont="1" applyFill="1" applyBorder="1" applyAlignment="1">
      <alignment horizontal="right"/>
    </xf>
    <xf numFmtId="0" fontId="19" fillId="0" borderId="0" xfId="52" applyFont="1" applyFill="1" applyAlignment="1">
      <alignment horizontal="left"/>
      <protection/>
    </xf>
    <xf numFmtId="3" fontId="18" fillId="0" borderId="97" xfId="0" applyNumberFormat="1" applyFont="1" applyFill="1" applyBorder="1" applyAlignment="1">
      <alignment/>
    </xf>
    <xf numFmtId="4" fontId="18" fillId="0" borderId="97" xfId="0" applyNumberFormat="1" applyFont="1" applyFill="1" applyBorder="1" applyAlignment="1">
      <alignment/>
    </xf>
    <xf numFmtId="3" fontId="18" fillId="0" borderId="41" xfId="0" applyNumberFormat="1" applyFont="1" applyFill="1" applyBorder="1" applyAlignment="1">
      <alignment/>
    </xf>
    <xf numFmtId="3" fontId="22" fillId="0" borderId="42" xfId="0" applyNumberFormat="1" applyFont="1" applyFill="1" applyBorder="1" applyAlignment="1">
      <alignment/>
    </xf>
    <xf numFmtId="167" fontId="18" fillId="0" borderId="0" xfId="0" applyNumberFormat="1" applyFont="1" applyFill="1" applyBorder="1" applyAlignment="1">
      <alignment/>
    </xf>
    <xf numFmtId="3" fontId="22" fillId="27" borderId="97" xfId="0" applyNumberFormat="1" applyFont="1" applyFill="1" applyBorder="1" applyAlignment="1">
      <alignment/>
    </xf>
    <xf numFmtId="3" fontId="22" fillId="27" borderId="99" xfId="0" applyNumberFormat="1" applyFont="1" applyFill="1" applyBorder="1" applyAlignment="1">
      <alignment/>
    </xf>
    <xf numFmtId="3" fontId="18" fillId="28" borderId="115" xfId="0" applyNumberFormat="1" applyFont="1" applyFill="1" applyBorder="1" applyAlignment="1">
      <alignment horizontal="left"/>
    </xf>
    <xf numFmtId="3" fontId="18" fillId="28" borderId="14" xfId="0" applyNumberFormat="1" applyFont="1" applyFill="1" applyBorder="1" applyAlignment="1">
      <alignment horizontal="left"/>
    </xf>
    <xf numFmtId="3" fontId="18" fillId="28" borderId="90" xfId="0" applyNumberFormat="1" applyFont="1" applyFill="1" applyBorder="1" applyAlignment="1">
      <alignment horizontal="left"/>
    </xf>
    <xf numFmtId="0" fontId="22" fillId="0" borderId="180" xfId="0" applyFont="1" applyFill="1" applyBorder="1" applyAlignment="1">
      <alignment/>
    </xf>
    <xf numFmtId="3" fontId="22" fillId="0" borderId="181" xfId="0" applyNumberFormat="1" applyFont="1" applyFill="1" applyBorder="1" applyAlignment="1">
      <alignment/>
    </xf>
    <xf numFmtId="3" fontId="22" fillId="0" borderId="182" xfId="0" applyNumberFormat="1" applyFont="1" applyFill="1" applyBorder="1" applyAlignment="1">
      <alignment/>
    </xf>
    <xf numFmtId="3" fontId="22" fillId="0" borderId="183" xfId="0" applyNumberFormat="1" applyFont="1" applyFill="1" applyBorder="1" applyAlignment="1">
      <alignment/>
    </xf>
    <xf numFmtId="4" fontId="22" fillId="0" borderId="183" xfId="0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2" fillId="27" borderId="106" xfId="0" applyFont="1" applyFill="1" applyBorder="1" applyAlignment="1">
      <alignment horizontal="center"/>
    </xf>
    <xf numFmtId="0" fontId="22" fillId="27" borderId="97" xfId="0" applyFont="1" applyFill="1" applyBorder="1" applyAlignment="1">
      <alignment horizontal="center"/>
    </xf>
    <xf numFmtId="0" fontId="22" fillId="27" borderId="95" xfId="0" applyFont="1" applyFill="1" applyBorder="1" applyAlignment="1">
      <alignment horizontal="center"/>
    </xf>
    <xf numFmtId="3" fontId="22" fillId="27" borderId="47" xfId="0" applyNumberFormat="1" applyFont="1" applyFill="1" applyBorder="1" applyAlignment="1">
      <alignment/>
    </xf>
    <xf numFmtId="3" fontId="22" fillId="27" borderId="18" xfId="0" applyNumberFormat="1" applyFont="1" applyFill="1" applyBorder="1" applyAlignment="1">
      <alignment/>
    </xf>
    <xf numFmtId="0" fontId="22" fillId="27" borderId="97" xfId="0" applyFont="1" applyFill="1" applyBorder="1" applyAlignment="1">
      <alignment/>
    </xf>
    <xf numFmtId="3" fontId="22" fillId="27" borderId="56" xfId="0" applyNumberFormat="1" applyFont="1" applyFill="1" applyBorder="1" applyAlignment="1">
      <alignment/>
    </xf>
    <xf numFmtId="3" fontId="22" fillId="3" borderId="18" xfId="0" applyNumberFormat="1" applyFont="1" applyFill="1" applyBorder="1" applyAlignment="1">
      <alignment/>
    </xf>
    <xf numFmtId="3" fontId="22" fillId="3" borderId="43" xfId="0" applyNumberFormat="1" applyFont="1" applyFill="1" applyBorder="1" applyAlignment="1">
      <alignment/>
    </xf>
    <xf numFmtId="3" fontId="22" fillId="3" borderId="0" xfId="0" applyNumberFormat="1" applyFont="1" applyFill="1" applyAlignment="1">
      <alignment/>
    </xf>
    <xf numFmtId="0" fontId="22" fillId="4" borderId="0" xfId="0" applyFont="1" applyFill="1" applyAlignment="1">
      <alignment/>
    </xf>
    <xf numFmtId="3" fontId="22" fillId="4" borderId="0" xfId="0" applyNumberFormat="1" applyFont="1" applyFill="1" applyAlignment="1">
      <alignment/>
    </xf>
    <xf numFmtId="3" fontId="22" fillId="7" borderId="43" xfId="0" applyNumberFormat="1" applyFont="1" applyFill="1" applyBorder="1" applyAlignment="1">
      <alignment/>
    </xf>
    <xf numFmtId="3" fontId="22" fillId="7" borderId="18" xfId="0" applyNumberFormat="1" applyFont="1" applyFill="1" applyBorder="1" applyAlignment="1">
      <alignment/>
    </xf>
    <xf numFmtId="3" fontId="22" fillId="7" borderId="0" xfId="0" applyNumberFormat="1" applyFont="1" applyFill="1" applyAlignment="1">
      <alignment/>
    </xf>
    <xf numFmtId="0" fontId="22" fillId="7" borderId="0" xfId="0" applyFont="1" applyFill="1" applyAlignment="1">
      <alignment/>
    </xf>
    <xf numFmtId="170" fontId="7" fillId="27" borderId="0" xfId="0" applyNumberFormat="1" applyFont="1" applyFill="1" applyAlignment="1">
      <alignment horizontal="center"/>
    </xf>
    <xf numFmtId="165" fontId="7" fillId="27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18" fillId="0" borderId="85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18" fillId="0" borderId="97" xfId="0" applyNumberFormat="1" applyFont="1" applyFill="1" applyBorder="1" applyAlignment="1">
      <alignment/>
    </xf>
    <xf numFmtId="3" fontId="18" fillId="0" borderId="99" xfId="0" applyNumberFormat="1" applyFont="1" applyFill="1" applyBorder="1" applyAlignment="1">
      <alignment/>
    </xf>
    <xf numFmtId="3" fontId="18" fillId="0" borderId="101" xfId="0" applyNumberFormat="1" applyFont="1" applyFill="1" applyBorder="1" applyAlignment="1">
      <alignment/>
    </xf>
    <xf numFmtId="3" fontId="18" fillId="0" borderId="128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0" fillId="0" borderId="180" xfId="0" applyFont="1" applyBorder="1" applyAlignment="1">
      <alignment horizontal="center"/>
    </xf>
    <xf numFmtId="0" fontId="10" fillId="0" borderId="184" xfId="0" applyFont="1" applyBorder="1" applyAlignment="1">
      <alignment/>
    </xf>
    <xf numFmtId="0" fontId="10" fillId="0" borderId="185" xfId="0" applyFont="1" applyBorder="1" applyAlignment="1">
      <alignment/>
    </xf>
    <xf numFmtId="0" fontId="10" fillId="0" borderId="186" xfId="0" applyFont="1" applyBorder="1" applyAlignment="1">
      <alignment/>
    </xf>
    <xf numFmtId="3" fontId="10" fillId="0" borderId="165" xfId="0" applyNumberFormat="1" applyFont="1" applyBorder="1" applyAlignment="1">
      <alignment/>
    </xf>
    <xf numFmtId="0" fontId="22" fillId="0" borderId="128" xfId="0" applyFont="1" applyFill="1" applyBorder="1" applyAlignment="1">
      <alignment horizontal="left"/>
    </xf>
    <xf numFmtId="2" fontId="4" fillId="0" borderId="0" xfId="50" applyNumberFormat="1" applyFont="1">
      <alignment/>
      <protection/>
    </xf>
    <xf numFmtId="2" fontId="15" fillId="0" borderId="0" xfId="50" applyNumberFormat="1" applyFont="1">
      <alignment/>
      <protection/>
    </xf>
    <xf numFmtId="2" fontId="46" fillId="0" borderId="0" xfId="50" applyNumberFormat="1" applyFont="1">
      <alignment/>
      <protection/>
    </xf>
    <xf numFmtId="0" fontId="0" fillId="0" borderId="3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3" fontId="58" fillId="0" borderId="21" xfId="0" applyNumberFormat="1" applyFont="1" applyFill="1" applyBorder="1" applyAlignment="1">
      <alignment/>
    </xf>
    <xf numFmtId="3" fontId="21" fillId="0" borderId="62" xfId="0" applyNumberFormat="1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11" fillId="0" borderId="1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0" fillId="0" borderId="53" xfId="0" applyNumberFormat="1" applyFont="1" applyBorder="1" applyAlignment="1">
      <alignment/>
    </xf>
    <xf numFmtId="3" fontId="10" fillId="0" borderId="168" xfId="0" applyNumberFormat="1" applyFont="1" applyBorder="1" applyAlignment="1">
      <alignment/>
    </xf>
    <xf numFmtId="3" fontId="58" fillId="0" borderId="61" xfId="0" applyNumberFormat="1" applyFont="1" applyFill="1" applyBorder="1" applyAlignment="1">
      <alignment/>
    </xf>
    <xf numFmtId="3" fontId="58" fillId="0" borderId="180" xfId="0" applyNumberFormat="1" applyFont="1" applyFill="1" applyBorder="1" applyAlignment="1">
      <alignment/>
    </xf>
    <xf numFmtId="3" fontId="58" fillId="0" borderId="103" xfId="0" applyNumberFormat="1" applyFont="1" applyFill="1" applyBorder="1" applyAlignment="1">
      <alignment/>
    </xf>
    <xf numFmtId="3" fontId="11" fillId="0" borderId="187" xfId="0" applyNumberFormat="1" applyFont="1" applyFill="1" applyBorder="1" applyAlignment="1">
      <alignment/>
    </xf>
    <xf numFmtId="3" fontId="58" fillId="0" borderId="108" xfId="0" applyNumberFormat="1" applyFont="1" applyFill="1" applyBorder="1" applyAlignment="1">
      <alignment/>
    </xf>
    <xf numFmtId="3" fontId="58" fillId="0" borderId="64" xfId="0" applyNumberFormat="1" applyFont="1" applyFill="1" applyBorder="1" applyAlignment="1">
      <alignment/>
    </xf>
    <xf numFmtId="3" fontId="21" fillId="0" borderId="141" xfId="0" applyNumberFormat="1" applyFont="1" applyBorder="1" applyAlignment="1">
      <alignment/>
    </xf>
    <xf numFmtId="3" fontId="10" fillId="17" borderId="135" xfId="0" applyNumberFormat="1" applyFont="1" applyFill="1" applyBorder="1" applyAlignment="1">
      <alignment/>
    </xf>
    <xf numFmtId="3" fontId="1" fillId="0" borderId="188" xfId="0" applyNumberFormat="1" applyFont="1" applyBorder="1" applyAlignment="1">
      <alignment/>
    </xf>
    <xf numFmtId="0" fontId="8" fillId="0" borderId="108" xfId="50" applyFont="1" applyFill="1" applyBorder="1" applyAlignment="1">
      <alignment horizontal="center"/>
      <protection/>
    </xf>
    <xf numFmtId="0" fontId="106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3" fontId="10" fillId="0" borderId="189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07" fillId="0" borderId="0" xfId="0" applyFont="1" applyAlignment="1">
      <alignment/>
    </xf>
    <xf numFmtId="3" fontId="106" fillId="0" borderId="0" xfId="0" applyNumberFormat="1" applyFont="1" applyAlignment="1">
      <alignment/>
    </xf>
    <xf numFmtId="0" fontId="106" fillId="0" borderId="0" xfId="50" applyFont="1">
      <alignment/>
      <protection/>
    </xf>
    <xf numFmtId="0" fontId="47" fillId="0" borderId="0" xfId="50" applyFont="1">
      <alignment/>
      <protection/>
    </xf>
    <xf numFmtId="0" fontId="106" fillId="0" borderId="0" xfId="50" applyFont="1" applyAlignment="1">
      <alignment horizontal="left"/>
      <protection/>
    </xf>
    <xf numFmtId="0" fontId="108" fillId="0" borderId="0" xfId="50" applyFont="1">
      <alignment/>
      <protection/>
    </xf>
    <xf numFmtId="3" fontId="4" fillId="0" borderId="114" xfId="0" applyNumberFormat="1" applyFont="1" applyFill="1" applyBorder="1" applyAlignment="1">
      <alignment/>
    </xf>
    <xf numFmtId="3" fontId="4" fillId="0" borderId="95" xfId="0" applyNumberFormat="1" applyFont="1" applyFill="1" applyBorder="1" applyAlignment="1">
      <alignment/>
    </xf>
    <xf numFmtId="3" fontId="18" fillId="28" borderId="113" xfId="0" applyNumberFormat="1" applyFont="1" applyFill="1" applyBorder="1" applyAlignment="1">
      <alignment horizontal="left"/>
    </xf>
    <xf numFmtId="3" fontId="22" fillId="0" borderId="113" xfId="0" applyNumberFormat="1" applyFont="1" applyFill="1" applyBorder="1" applyAlignment="1">
      <alignment/>
    </xf>
    <xf numFmtId="3" fontId="18" fillId="0" borderId="113" xfId="0" applyNumberFormat="1" applyFont="1" applyFill="1" applyBorder="1" applyAlignment="1">
      <alignment horizontal="left"/>
    </xf>
    <xf numFmtId="0" fontId="22" fillId="0" borderId="113" xfId="0" applyFont="1" applyFill="1" applyBorder="1" applyAlignment="1">
      <alignment/>
    </xf>
    <xf numFmtId="0" fontId="52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6" fillId="0" borderId="0" xfId="50" applyFont="1" applyFill="1">
      <alignment/>
      <protection/>
    </xf>
    <xf numFmtId="3" fontId="104" fillId="17" borderId="121" xfId="53" applyNumberFormat="1" applyFont="1" applyFill="1" applyBorder="1" applyAlignment="1">
      <alignment horizontal="right"/>
      <protection/>
    </xf>
    <xf numFmtId="3" fontId="10" fillId="17" borderId="79" xfId="0" applyNumberFormat="1" applyFont="1" applyFill="1" applyBorder="1" applyAlignment="1">
      <alignment/>
    </xf>
    <xf numFmtId="3" fontId="52" fillId="0" borderId="0" xfId="0" applyNumberFormat="1" applyFont="1" applyFill="1" applyAlignment="1">
      <alignment horizontal="left"/>
    </xf>
    <xf numFmtId="3" fontId="52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3" fontId="85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/>
    </xf>
    <xf numFmtId="3" fontId="109" fillId="0" borderId="68" xfId="0" applyNumberFormat="1" applyFont="1" applyFill="1" applyBorder="1" applyAlignment="1">
      <alignment/>
    </xf>
    <xf numFmtId="3" fontId="109" fillId="0" borderId="31" xfId="0" applyNumberFormat="1" applyFont="1" applyFill="1" applyBorder="1" applyAlignment="1">
      <alignment/>
    </xf>
    <xf numFmtId="0" fontId="110" fillId="0" borderId="0" xfId="50" applyFont="1" applyFill="1">
      <alignment/>
      <protection/>
    </xf>
    <xf numFmtId="3" fontId="111" fillId="0" borderId="121" xfId="50" applyNumberFormat="1" applyFont="1" applyFill="1" applyBorder="1">
      <alignment/>
      <protection/>
    </xf>
    <xf numFmtId="176" fontId="3" fillId="0" borderId="128" xfId="49" applyNumberFormat="1" applyFont="1" applyFill="1" applyBorder="1">
      <alignment/>
      <protection/>
    </xf>
    <xf numFmtId="4" fontId="3" fillId="0" borderId="61" xfId="48" applyNumberFormat="1" applyFont="1" applyFill="1" applyBorder="1" applyAlignment="1">
      <alignment vertical="center"/>
      <protection/>
    </xf>
    <xf numFmtId="4" fontId="3" fillId="0" borderId="37" xfId="48" applyNumberFormat="1" applyFont="1" applyFill="1" applyBorder="1" applyAlignment="1">
      <alignment vertical="center"/>
      <protection/>
    </xf>
    <xf numFmtId="4" fontId="3" fillId="0" borderId="39" xfId="49" applyNumberFormat="1" applyFont="1" applyFill="1" applyBorder="1">
      <alignment/>
      <protection/>
    </xf>
    <xf numFmtId="4" fontId="3" fillId="0" borderId="180" xfId="48" applyNumberFormat="1" applyFont="1" applyFill="1" applyBorder="1" applyAlignment="1">
      <alignment vertical="center"/>
      <protection/>
    </xf>
    <xf numFmtId="4" fontId="3" fillId="0" borderId="126" xfId="49" applyNumberFormat="1" applyFont="1" applyFill="1" applyBorder="1">
      <alignment/>
      <protection/>
    </xf>
    <xf numFmtId="4" fontId="3" fillId="0" borderId="100" xfId="49" applyNumberFormat="1" applyFont="1" applyFill="1" applyBorder="1">
      <alignment/>
      <protection/>
    </xf>
    <xf numFmtId="4" fontId="3" fillId="0" borderId="102" xfId="49" applyNumberFormat="1" applyFont="1" applyFill="1" applyBorder="1">
      <alignment/>
      <protection/>
    </xf>
    <xf numFmtId="172" fontId="3" fillId="0" borderId="160" xfId="49" applyNumberFormat="1" applyFont="1" applyFill="1" applyBorder="1">
      <alignment/>
      <protection/>
    </xf>
    <xf numFmtId="172" fontId="3" fillId="0" borderId="107" xfId="49" applyNumberFormat="1" applyFont="1" applyFill="1" applyBorder="1">
      <alignment/>
      <protection/>
    </xf>
    <xf numFmtId="172" fontId="3" fillId="0" borderId="190" xfId="49" applyNumberFormat="1" applyFont="1" applyFill="1" applyBorder="1">
      <alignment/>
      <protection/>
    </xf>
    <xf numFmtId="176" fontId="3" fillId="0" borderId="179" xfId="49" applyNumberFormat="1" applyFont="1" applyFill="1" applyBorder="1">
      <alignment/>
      <protection/>
    </xf>
    <xf numFmtId="2" fontId="49" fillId="0" borderId="0" xfId="50" applyNumberFormat="1" applyFont="1">
      <alignment/>
      <protection/>
    </xf>
    <xf numFmtId="3" fontId="18" fillId="26" borderId="56" xfId="0" applyNumberFormat="1" applyFont="1" applyFill="1" applyBorder="1" applyAlignment="1">
      <alignment/>
    </xf>
    <xf numFmtId="3" fontId="18" fillId="26" borderId="101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42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9" fontId="22" fillId="0" borderId="95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52" fillId="0" borderId="0" xfId="0" applyNumberFormat="1" applyFont="1" applyFill="1" applyAlignment="1">
      <alignment horizontal="center"/>
    </xf>
    <xf numFmtId="4" fontId="3" fillId="0" borderId="82" xfId="48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/>
    </xf>
    <xf numFmtId="0" fontId="1" fillId="0" borderId="22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5" xfId="0" applyFont="1" applyBorder="1" applyAlignment="1">
      <alignment horizontal="center"/>
    </xf>
    <xf numFmtId="0" fontId="0" fillId="0" borderId="191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1" fontId="0" fillId="0" borderId="85" xfId="49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" fontId="10" fillId="0" borderId="83" xfId="49" applyNumberFormat="1" applyFont="1" applyFill="1" applyBorder="1" applyAlignment="1">
      <alignment horizontal="center" vertical="center" wrapText="1"/>
      <protection/>
    </xf>
    <xf numFmtId="0" fontId="10" fillId="0" borderId="137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84" xfId="49" applyFont="1" applyFill="1" applyBorder="1" applyAlignment="1">
      <alignment horizontal="center" vertical="top" wrapText="1"/>
      <protection/>
    </xf>
    <xf numFmtId="0" fontId="0" fillId="0" borderId="7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28" xfId="0" applyBorder="1" applyAlignment="1">
      <alignment wrapText="1"/>
    </xf>
    <xf numFmtId="1" fontId="0" fillId="0" borderId="106" xfId="49" applyNumberFormat="1" applyFont="1" applyFill="1" applyBorder="1" applyAlignment="1">
      <alignment horizontal="center" vertical="center" wrapText="1"/>
      <protection/>
    </xf>
    <xf numFmtId="0" fontId="0" fillId="0" borderId="95" xfId="0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115" xfId="0" applyFont="1" applyFill="1" applyBorder="1" applyAlignment="1">
      <alignment horizontal="center"/>
    </xf>
    <xf numFmtId="0" fontId="10" fillId="0" borderId="191" xfId="0" applyFont="1" applyFill="1" applyBorder="1" applyAlignment="1">
      <alignment horizontal="center"/>
    </xf>
    <xf numFmtId="0" fontId="10" fillId="0" borderId="116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0" fillId="0" borderId="191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21" fillId="0" borderId="133" xfId="0" applyFont="1" applyFill="1" applyBorder="1" applyAlignment="1">
      <alignment horizontal="center"/>
    </xf>
    <xf numFmtId="0" fontId="0" fillId="0" borderId="191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0" fillId="0" borderId="191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2" xfId="0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97" fillId="28" borderId="192" xfId="53" applyNumberFormat="1" applyFont="1" applyFill="1" applyBorder="1" applyAlignment="1">
      <alignment horizontal="center"/>
      <protection/>
    </xf>
    <xf numFmtId="3" fontId="97" fillId="28" borderId="105" xfId="53" applyNumberFormat="1" applyFont="1" applyFill="1" applyBorder="1" applyAlignment="1">
      <alignment horizontal="center"/>
      <protection/>
    </xf>
    <xf numFmtId="0" fontId="94" fillId="0" borderId="38" xfId="53" applyFont="1" applyFill="1" applyBorder="1" applyAlignment="1">
      <alignment horizontal="center" vertical="center"/>
      <protection/>
    </xf>
    <xf numFmtId="0" fontId="94" fillId="0" borderId="21" xfId="53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4" fontId="97" fillId="28" borderId="172" xfId="53" applyNumberFormat="1" applyFont="1" applyFill="1" applyBorder="1" applyAlignment="1">
      <alignment horizontal="right"/>
      <protection/>
    </xf>
    <xf numFmtId="0" fontId="98" fillId="0" borderId="0" xfId="53" applyFont="1" applyAlignment="1">
      <alignment horizontal="left"/>
      <protection/>
    </xf>
    <xf numFmtId="3" fontId="103" fillId="28" borderId="68" xfId="53" applyNumberFormat="1" applyFont="1" applyFill="1" applyBorder="1" applyAlignment="1">
      <alignment horizontal="left"/>
      <protection/>
    </xf>
    <xf numFmtId="4" fontId="97" fillId="28" borderId="185" xfId="53" applyNumberFormat="1" applyFont="1" applyFill="1" applyBorder="1" applyAlignment="1">
      <alignment horizontal="right"/>
      <protection/>
    </xf>
    <xf numFmtId="4" fontId="97" fillId="28" borderId="31" xfId="53" applyNumberFormat="1" applyFont="1" applyFill="1" applyBorder="1" applyAlignment="1">
      <alignment horizontal="right"/>
      <protection/>
    </xf>
    <xf numFmtId="4" fontId="97" fillId="3" borderId="153" xfId="53" applyNumberFormat="1" applyFont="1" applyFill="1" applyBorder="1" applyAlignment="1">
      <alignment horizontal="right"/>
      <protection/>
    </xf>
    <xf numFmtId="4" fontId="97" fillId="3" borderId="68" xfId="53" applyNumberFormat="1" applyFont="1" applyFill="1" applyBorder="1" applyAlignment="1">
      <alignment horizontal="right"/>
      <protection/>
    </xf>
    <xf numFmtId="3" fontId="103" fillId="28" borderId="184" xfId="53" applyNumberFormat="1" applyFont="1" applyFill="1" applyBorder="1" applyAlignment="1">
      <alignment horizontal="right"/>
      <protection/>
    </xf>
    <xf numFmtId="3" fontId="103" fillId="28" borderId="138" xfId="53" applyNumberFormat="1" applyFont="1" applyFill="1" applyBorder="1" applyAlignment="1">
      <alignment horizontal="right"/>
      <protection/>
    </xf>
    <xf numFmtId="0" fontId="29" fillId="0" borderId="0" xfId="53" applyFont="1" applyBorder="1" applyAlignment="1">
      <alignment horizontal="left"/>
      <protection/>
    </xf>
    <xf numFmtId="0" fontId="97" fillId="0" borderId="82" xfId="53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7" fillId="0" borderId="10" xfId="53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103" fillId="0" borderId="54" xfId="53" applyNumberFormat="1" applyFont="1" applyFill="1" applyBorder="1" applyAlignment="1">
      <alignment horizontal="center"/>
      <protection/>
    </xf>
    <xf numFmtId="3" fontId="103" fillId="0" borderId="70" xfId="53" applyNumberFormat="1" applyFont="1" applyFill="1" applyBorder="1" applyAlignment="1">
      <alignment horizontal="center"/>
      <protection/>
    </xf>
    <xf numFmtId="0" fontId="94" fillId="0" borderId="126" xfId="53" applyFont="1" applyBorder="1" applyAlignment="1">
      <alignment horizontal="left"/>
      <protection/>
    </xf>
    <xf numFmtId="0" fontId="94" fillId="0" borderId="158" xfId="53" applyFont="1" applyBorder="1" applyAlignment="1">
      <alignment horizontal="left"/>
      <protection/>
    </xf>
    <xf numFmtId="0" fontId="104" fillId="11" borderId="108" xfId="53" applyFont="1" applyFill="1" applyBorder="1" applyAlignment="1">
      <alignment wrapText="1"/>
      <protection/>
    </xf>
    <xf numFmtId="0" fontId="104" fillId="11" borderId="109" xfId="53" applyFont="1" applyFill="1" applyBorder="1" applyAlignment="1">
      <alignment wrapText="1"/>
      <protection/>
    </xf>
    <xf numFmtId="0" fontId="0" fillId="0" borderId="37" xfId="0" applyFill="1" applyBorder="1" applyAlignment="1">
      <alignment horizontal="center" vertical="center"/>
    </xf>
    <xf numFmtId="0" fontId="96" fillId="0" borderId="0" xfId="53" applyFont="1" applyFill="1" applyAlignment="1">
      <alignment horizontal="left" vertical="justify"/>
      <protection/>
    </xf>
    <xf numFmtId="0" fontId="101" fillId="0" borderId="0" xfId="53" applyFont="1" applyFill="1" applyBorder="1" applyAlignment="1">
      <alignment horizontal="left" vertical="justify"/>
      <protection/>
    </xf>
    <xf numFmtId="3" fontId="103" fillId="28" borderId="192" xfId="53" applyNumberFormat="1" applyFont="1" applyFill="1" applyBorder="1" applyAlignment="1">
      <alignment horizontal="center"/>
      <protection/>
    </xf>
    <xf numFmtId="3" fontId="103" fillId="28" borderId="105" xfId="53" applyNumberFormat="1" applyFont="1" applyFill="1" applyBorder="1" applyAlignment="1">
      <alignment horizontal="center"/>
      <protection/>
    </xf>
    <xf numFmtId="0" fontId="97" fillId="0" borderId="106" xfId="53" applyFont="1" applyBorder="1" applyAlignment="1">
      <alignment horizontal="center" vertical="center" wrapText="1"/>
      <protection/>
    </xf>
    <xf numFmtId="0" fontId="0" fillId="0" borderId="9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103" fillId="28" borderId="185" xfId="53" applyNumberFormat="1" applyFont="1" applyFill="1" applyBorder="1" applyAlignment="1">
      <alignment horizontal="center"/>
      <protection/>
    </xf>
    <xf numFmtId="3" fontId="103" fillId="28" borderId="31" xfId="53" applyNumberFormat="1" applyFont="1" applyFill="1" applyBorder="1" applyAlignment="1">
      <alignment horizontal="center"/>
      <protection/>
    </xf>
    <xf numFmtId="4" fontId="103" fillId="28" borderId="184" xfId="53" applyNumberFormat="1" applyFont="1" applyFill="1" applyBorder="1" applyAlignment="1">
      <alignment horizontal="center"/>
      <protection/>
    </xf>
    <xf numFmtId="4" fontId="103" fillId="28" borderId="138" xfId="53" applyNumberFormat="1" applyFont="1" applyFill="1" applyBorder="1" applyAlignment="1">
      <alignment horizontal="center"/>
      <protection/>
    </xf>
    <xf numFmtId="4" fontId="103" fillId="28" borderId="185" xfId="53" applyNumberFormat="1" applyFont="1" applyFill="1" applyBorder="1" applyAlignment="1">
      <alignment horizontal="center"/>
      <protection/>
    </xf>
    <xf numFmtId="4" fontId="103" fillId="28" borderId="31" xfId="53" applyNumberFormat="1" applyFont="1" applyFill="1" applyBorder="1" applyAlignment="1">
      <alignment horizontal="center"/>
      <protection/>
    </xf>
    <xf numFmtId="3" fontId="103" fillId="0" borderId="185" xfId="53" applyNumberFormat="1" applyFont="1" applyBorder="1" applyAlignment="1">
      <alignment horizontal="center"/>
      <protection/>
    </xf>
    <xf numFmtId="3" fontId="103" fillId="0" borderId="31" xfId="53" applyNumberFormat="1" applyFont="1" applyBorder="1" applyAlignment="1">
      <alignment horizontal="center"/>
      <protection/>
    </xf>
    <xf numFmtId="0" fontId="19" fillId="0" borderId="11" xfId="0" applyFont="1" applyBorder="1" applyAlignment="1">
      <alignment horizontal="center" wrapText="1"/>
    </xf>
    <xf numFmtId="0" fontId="37" fillId="0" borderId="133" xfId="0" applyFont="1" applyFill="1" applyBorder="1" applyAlignment="1">
      <alignment horizontal="center"/>
    </xf>
    <xf numFmtId="0" fontId="37" fillId="0" borderId="191" xfId="0" applyFont="1" applyFill="1" applyBorder="1" applyAlignment="1">
      <alignment horizontal="center"/>
    </xf>
    <xf numFmtId="0" fontId="37" fillId="0" borderId="115" xfId="52" applyFont="1" applyFill="1" applyBorder="1" applyAlignment="1">
      <alignment horizontal="center" wrapText="1"/>
      <protection/>
    </xf>
    <xf numFmtId="0" fontId="37" fillId="0" borderId="191" xfId="52" applyFont="1" applyFill="1" applyBorder="1" applyAlignment="1">
      <alignment horizontal="center" wrapText="1"/>
      <protection/>
    </xf>
    <xf numFmtId="0" fontId="37" fillId="0" borderId="116" xfId="52" applyFont="1" applyFill="1" applyBorder="1" applyAlignment="1">
      <alignment horizont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P2010_031109-1" xfId="47"/>
    <cellStyle name="normální_List1" xfId="48"/>
    <cellStyle name="normální_model_rozpocet_23112009-1" xfId="49"/>
    <cellStyle name="normální_návrh CP k 23.11.03" xfId="50"/>
    <cellStyle name="normální_odpisy 04az07_060208" xfId="51"/>
    <cellStyle name="normální_odpisy 04az07_270906" xfId="52"/>
    <cellStyle name="normální_rozpocet model 2010 rev280110 fix full-prislib (version 1)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D25" sqref="D25"/>
    </sheetView>
  </sheetViews>
  <sheetFormatPr defaultColWidth="9.00390625" defaultRowHeight="12.75"/>
  <cols>
    <col min="1" max="1" width="5.25390625" style="671" customWidth="1"/>
    <col min="2" max="2" width="7.375" style="671" customWidth="1"/>
    <col min="3" max="3" width="11.75390625" style="671" customWidth="1"/>
    <col min="4" max="4" width="12.125" style="671" customWidth="1"/>
    <col min="5" max="8" width="11.75390625" style="671" customWidth="1"/>
    <col min="9" max="10" width="12.00390625" style="671" customWidth="1"/>
    <col min="11" max="11" width="10.875" style="671" bestFit="1" customWidth="1"/>
    <col min="12" max="12" width="11.125" style="98" customWidth="1"/>
    <col min="13" max="13" width="8.875" style="98" customWidth="1"/>
    <col min="14" max="14" width="6.00390625" style="98" bestFit="1" customWidth="1"/>
    <col min="15" max="15" width="8.375" style="671" bestFit="1" customWidth="1"/>
    <col min="16" max="16" width="5.375" style="671" bestFit="1" customWidth="1"/>
    <col min="17" max="18" width="6.00390625" style="671" bestFit="1" customWidth="1"/>
    <col min="19" max="19" width="7.125" style="671" bestFit="1" customWidth="1"/>
    <col min="20" max="16384" width="9.125" style="671" customWidth="1"/>
  </cols>
  <sheetData>
    <row r="1" spans="1:11" ht="12.75">
      <c r="A1" s="669"/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ht="26.25">
      <c r="A2" s="672" t="s">
        <v>377</v>
      </c>
      <c r="B2" s="673"/>
      <c r="C2" s="674"/>
      <c r="D2" s="674"/>
      <c r="E2" s="674"/>
      <c r="F2" s="674"/>
      <c r="G2" s="674"/>
      <c r="H2" s="674"/>
      <c r="I2" s="674"/>
      <c r="J2" s="674"/>
      <c r="K2" s="674"/>
    </row>
    <row r="3" spans="1:11" ht="6.75" customHeight="1">
      <c r="A3" s="670"/>
      <c r="B3" s="670"/>
      <c r="C3" s="670"/>
      <c r="D3" s="670"/>
      <c r="E3" s="670"/>
      <c r="F3" s="670"/>
      <c r="G3" s="670"/>
      <c r="H3" s="670"/>
      <c r="I3" s="670"/>
      <c r="J3" s="670"/>
      <c r="K3" s="670"/>
    </row>
    <row r="4" spans="1:11" ht="12.75">
      <c r="A4" s="1426" t="s">
        <v>354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</row>
    <row r="5" spans="1:11" ht="12.75">
      <c r="A5" s="1425"/>
      <c r="B5" s="1425"/>
      <c r="C5" s="1425"/>
      <c r="D5" s="1425"/>
      <c r="E5" s="1425"/>
      <c r="F5" s="1425"/>
      <c r="G5" s="1425"/>
      <c r="H5" s="1425"/>
      <c r="I5" s="1425"/>
      <c r="J5" s="1425"/>
      <c r="K5" s="1425"/>
    </row>
    <row r="6" spans="1:11" ht="12.75">
      <c r="A6" s="670"/>
      <c r="B6" s="670"/>
      <c r="C6" s="670"/>
      <c r="D6" s="670"/>
      <c r="E6" s="670"/>
      <c r="F6" s="670"/>
      <c r="G6" s="670"/>
      <c r="H6" s="670"/>
      <c r="I6" s="670"/>
      <c r="J6" s="670"/>
      <c r="K6" s="670"/>
    </row>
    <row r="7" spans="1:11" ht="12.75">
      <c r="A7" s="670"/>
      <c r="B7" s="670"/>
      <c r="C7" s="670"/>
      <c r="D7" s="670"/>
      <c r="E7" s="670"/>
      <c r="F7" s="670"/>
      <c r="G7" s="670"/>
      <c r="H7" s="670"/>
      <c r="I7" s="670"/>
      <c r="J7" s="670"/>
      <c r="K7" s="670"/>
    </row>
    <row r="8" spans="1:11" ht="16.5" thickBot="1">
      <c r="A8" s="675" t="s">
        <v>177</v>
      </c>
      <c r="B8" s="676"/>
      <c r="C8" s="676"/>
      <c r="D8" s="676"/>
      <c r="E8" s="676"/>
      <c r="F8" s="1325"/>
      <c r="G8" s="677" t="s">
        <v>3</v>
      </c>
      <c r="H8" s="676"/>
      <c r="I8" s="98"/>
      <c r="J8" s="98"/>
      <c r="K8" s="98"/>
    </row>
    <row r="9" spans="1:14" ht="12.75">
      <c r="A9" s="678"/>
      <c r="B9" s="679"/>
      <c r="C9" s="680"/>
      <c r="D9" s="681"/>
      <c r="E9" s="682"/>
      <c r="F9" s="683"/>
      <c r="G9" s="684" t="s">
        <v>4</v>
      </c>
      <c r="H9" s="670"/>
      <c r="L9" s="671"/>
      <c r="M9" s="671"/>
      <c r="N9" s="671"/>
    </row>
    <row r="10" spans="1:14" ht="13.5" thickBot="1">
      <c r="A10" s="686" t="s">
        <v>5</v>
      </c>
      <c r="B10" s="687" t="s">
        <v>6</v>
      </c>
      <c r="C10" s="688"/>
      <c r="D10" s="689"/>
      <c r="E10" s="690" t="s">
        <v>308</v>
      </c>
      <c r="F10" s="691" t="s">
        <v>355</v>
      </c>
      <c r="G10" s="692" t="s">
        <v>356</v>
      </c>
      <c r="H10" s="670"/>
      <c r="L10" s="671"/>
      <c r="M10" s="671"/>
      <c r="N10" s="671"/>
    </row>
    <row r="11" spans="1:14" ht="12.75">
      <c r="A11" s="693">
        <v>1</v>
      </c>
      <c r="B11" s="694" t="s">
        <v>178</v>
      </c>
      <c r="C11" s="695"/>
      <c r="D11" s="696"/>
      <c r="E11" s="697">
        <v>1856937</v>
      </c>
      <c r="F11" s="1378">
        <v>1860709</v>
      </c>
      <c r="G11" s="698">
        <f>F11/E11</f>
        <v>1.0020313020851004</v>
      </c>
      <c r="H11" s="1379">
        <f>F11-E11</f>
        <v>3772</v>
      </c>
      <c r="L11" s="671"/>
      <c r="M11" s="671"/>
      <c r="N11" s="671"/>
    </row>
    <row r="12" spans="1:14" ht="13.5" thickBot="1">
      <c r="A12" s="699">
        <v>2</v>
      </c>
      <c r="B12" s="700" t="s">
        <v>357</v>
      </c>
      <c r="C12" s="701"/>
      <c r="D12" s="685"/>
      <c r="E12" s="702">
        <v>123764</v>
      </c>
      <c r="F12" s="703">
        <v>148204</v>
      </c>
      <c r="G12" s="704">
        <f>F12/E12</f>
        <v>1.197472609159368</v>
      </c>
      <c r="H12" s="670"/>
      <c r="L12" s="671"/>
      <c r="M12" s="671"/>
      <c r="N12" s="671"/>
    </row>
    <row r="13" spans="1:14" ht="13.5" thickBot="1">
      <c r="A13" s="705">
        <v>3</v>
      </c>
      <c r="B13" s="706" t="s">
        <v>7</v>
      </c>
      <c r="C13" s="707"/>
      <c r="D13" s="708"/>
      <c r="E13" s="709">
        <f>SUM(E11:E12)</f>
        <v>1980701</v>
      </c>
      <c r="F13" s="710">
        <f>SUM(F11:F12)</f>
        <v>2008913</v>
      </c>
      <c r="G13" s="711">
        <f>F13/E13</f>
        <v>1.0142434420944908</v>
      </c>
      <c r="H13" s="670"/>
      <c r="L13" s="671"/>
      <c r="M13" s="671"/>
      <c r="N13" s="671"/>
    </row>
    <row r="14" spans="1:11" ht="12.75">
      <c r="A14" s="670"/>
      <c r="B14" s="670"/>
      <c r="C14" s="670"/>
      <c r="D14" s="670"/>
      <c r="E14" s="670"/>
      <c r="F14" s="670"/>
      <c r="G14" s="670"/>
      <c r="H14" s="670"/>
      <c r="I14" s="670"/>
      <c r="J14" s="670"/>
      <c r="K14" s="670"/>
    </row>
    <row r="15" spans="1:11" ht="12.75">
      <c r="A15" s="670"/>
      <c r="B15" s="670"/>
      <c r="C15" s="670"/>
      <c r="D15" s="670"/>
      <c r="E15" s="670"/>
      <c r="F15" s="670"/>
      <c r="G15" s="670"/>
      <c r="H15" s="670"/>
      <c r="I15" s="670"/>
      <c r="J15" s="670"/>
      <c r="K15" s="670"/>
    </row>
    <row r="16" spans="1:11" ht="12.75">
      <c r="A16" s="670"/>
      <c r="B16" s="670"/>
      <c r="C16" s="670"/>
      <c r="D16" s="670"/>
      <c r="E16" s="670"/>
      <c r="F16" s="670"/>
      <c r="G16" s="670"/>
      <c r="H16" s="670"/>
      <c r="I16" s="670"/>
      <c r="J16" s="670"/>
      <c r="K16" s="670"/>
    </row>
    <row r="17" spans="1:11" ht="16.5" thickBot="1">
      <c r="A17" s="675" t="s">
        <v>358</v>
      </c>
      <c r="B17" s="676"/>
      <c r="C17" s="676"/>
      <c r="D17" s="676"/>
      <c r="E17" s="676"/>
      <c r="F17" s="676"/>
      <c r="G17" s="676"/>
      <c r="H17" s="138"/>
      <c r="I17" s="670"/>
      <c r="J17" s="670"/>
      <c r="K17" s="670"/>
    </row>
    <row r="18" spans="1:12" ht="12.75">
      <c r="A18" s="678" t="s">
        <v>8</v>
      </c>
      <c r="B18" s="712"/>
      <c r="C18" s="713" t="s">
        <v>26</v>
      </c>
      <c r="D18" s="714" t="s">
        <v>26</v>
      </c>
      <c r="E18" s="713" t="s">
        <v>29</v>
      </c>
      <c r="F18" s="715" t="s">
        <v>111</v>
      </c>
      <c r="G18" s="680" t="s">
        <v>25</v>
      </c>
      <c r="H18" s="984" t="s">
        <v>25</v>
      </c>
      <c r="L18" s="671"/>
    </row>
    <row r="19" spans="1:12" ht="12.75">
      <c r="A19" s="716"/>
      <c r="B19" s="717"/>
      <c r="C19" s="718" t="s">
        <v>27</v>
      </c>
      <c r="D19" s="719" t="s">
        <v>28</v>
      </c>
      <c r="E19" s="718" t="s">
        <v>30</v>
      </c>
      <c r="F19" s="720" t="s">
        <v>112</v>
      </c>
      <c r="G19" s="718" t="s">
        <v>19</v>
      </c>
      <c r="H19" s="985" t="s">
        <v>19</v>
      </c>
      <c r="L19" s="671"/>
    </row>
    <row r="20" spans="1:12" ht="12.75">
      <c r="A20" s="721" t="s">
        <v>24</v>
      </c>
      <c r="B20" s="722"/>
      <c r="C20" s="723">
        <v>0.1</v>
      </c>
      <c r="D20" s="724">
        <v>0.1</v>
      </c>
      <c r="E20" s="723">
        <v>0.8</v>
      </c>
      <c r="F20" s="725">
        <v>1</v>
      </c>
      <c r="G20" s="596"/>
      <c r="H20" s="986" t="s">
        <v>353</v>
      </c>
      <c r="L20" s="671"/>
    </row>
    <row r="21" spans="1:12" ht="13.5" thickBot="1">
      <c r="A21" s="726"/>
      <c r="B21" s="727"/>
      <c r="C21" s="728">
        <v>1</v>
      </c>
      <c r="D21" s="729">
        <v>2</v>
      </c>
      <c r="E21" s="728">
        <v>3</v>
      </c>
      <c r="F21" s="730">
        <v>4</v>
      </c>
      <c r="G21" s="731" t="s">
        <v>360</v>
      </c>
      <c r="H21" s="987" t="s">
        <v>359</v>
      </c>
      <c r="L21" s="671"/>
    </row>
    <row r="22" spans="1:12" ht="12.75">
      <c r="A22" s="699">
        <v>11</v>
      </c>
      <c r="B22" s="712" t="s">
        <v>9</v>
      </c>
      <c r="C22" s="970">
        <v>19.322774608967755</v>
      </c>
      <c r="D22" s="971">
        <v>19.322586049023094</v>
      </c>
      <c r="E22" s="972">
        <v>19.025251407379685</v>
      </c>
      <c r="F22" s="973">
        <f>C22*$C$20+D22*$D$20+E22*$E$20</f>
        <v>19.084737191702835</v>
      </c>
      <c r="G22" s="598">
        <f>$F$11*F22/100</f>
        <v>355111.4225523619</v>
      </c>
      <c r="H22" s="988">
        <v>355111</v>
      </c>
      <c r="I22" s="1380">
        <f aca="true" t="shared" si="0" ref="I22:I31">H22-K22</f>
        <v>355111</v>
      </c>
      <c r="L22" s="671"/>
    </row>
    <row r="23" spans="1:12" ht="12.75">
      <c r="A23" s="732">
        <v>21</v>
      </c>
      <c r="B23" s="733" t="s">
        <v>10</v>
      </c>
      <c r="C23" s="974">
        <v>17.97292659799917</v>
      </c>
      <c r="D23" s="975">
        <v>18.276197725309988</v>
      </c>
      <c r="E23" s="976">
        <v>18.120488105559154</v>
      </c>
      <c r="F23" s="977">
        <f aca="true" t="shared" si="1" ref="F23:F30">C23*$C$20+D23*$D$20+E23*$E$20</f>
        <v>18.12130291677824</v>
      </c>
      <c r="G23" s="599">
        <f aca="true" t="shared" si="2" ref="G23:G30">$F$11*F23/100</f>
        <v>337184.7142897552</v>
      </c>
      <c r="H23" s="989">
        <v>337185</v>
      </c>
      <c r="I23" s="1380">
        <f t="shared" si="0"/>
        <v>337185</v>
      </c>
      <c r="L23" s="671"/>
    </row>
    <row r="24" spans="1:12" ht="12.75">
      <c r="A24" s="732">
        <v>22</v>
      </c>
      <c r="B24" s="733" t="s">
        <v>11</v>
      </c>
      <c r="C24" s="974">
        <v>6.756152343591168</v>
      </c>
      <c r="D24" s="975">
        <v>6.756086414151024</v>
      </c>
      <c r="E24" s="976">
        <v>6.804707735489382</v>
      </c>
      <c r="F24" s="977">
        <f t="shared" si="1"/>
        <v>6.7949900641657255</v>
      </c>
      <c r="G24" s="599">
        <f t="shared" si="2"/>
        <v>126434.99167303742</v>
      </c>
      <c r="H24" s="989">
        <v>126435</v>
      </c>
      <c r="I24" s="1380">
        <f t="shared" si="0"/>
        <v>126435</v>
      </c>
      <c r="L24" s="671"/>
    </row>
    <row r="25" spans="1:12" ht="12.75">
      <c r="A25" s="732">
        <v>23</v>
      </c>
      <c r="B25" s="733" t="s">
        <v>12</v>
      </c>
      <c r="C25" s="974">
        <v>7.428514736186399</v>
      </c>
      <c r="D25" s="975">
        <v>7.266858907738921</v>
      </c>
      <c r="E25" s="976">
        <v>7.586767145396035</v>
      </c>
      <c r="F25" s="977">
        <f t="shared" si="1"/>
        <v>7.53895108070936</v>
      </c>
      <c r="G25" s="599">
        <f t="shared" si="2"/>
        <v>140277.9412643563</v>
      </c>
      <c r="H25" s="989">
        <v>140278</v>
      </c>
      <c r="I25" s="1380">
        <f t="shared" si="0"/>
        <v>140278</v>
      </c>
      <c r="L25" s="671"/>
    </row>
    <row r="26" spans="1:12" ht="12.75">
      <c r="A26" s="732">
        <v>31</v>
      </c>
      <c r="B26" s="733" t="s">
        <v>13</v>
      </c>
      <c r="C26" s="974">
        <v>16.691632227204483</v>
      </c>
      <c r="D26" s="975">
        <v>16.479548770193855</v>
      </c>
      <c r="E26" s="976">
        <v>15.726151758602349</v>
      </c>
      <c r="F26" s="977">
        <f t="shared" si="1"/>
        <v>15.898039506621714</v>
      </c>
      <c r="G26" s="599">
        <f t="shared" si="2"/>
        <v>295816.2519232658</v>
      </c>
      <c r="H26" s="989">
        <v>295816</v>
      </c>
      <c r="I26" s="1380">
        <f t="shared" si="0"/>
        <v>295816</v>
      </c>
      <c r="L26" s="671"/>
    </row>
    <row r="27" spans="1:12" ht="12.75">
      <c r="A27" s="732">
        <v>33</v>
      </c>
      <c r="B27" s="733" t="s">
        <v>14</v>
      </c>
      <c r="C27" s="974">
        <v>6.455752406696297</v>
      </c>
      <c r="D27" s="975">
        <v>6.492852763180793</v>
      </c>
      <c r="E27" s="976">
        <v>6.268984552592158</v>
      </c>
      <c r="F27" s="977">
        <f t="shared" si="1"/>
        <v>6.310048159061436</v>
      </c>
      <c r="G27" s="599">
        <f t="shared" si="2"/>
        <v>117411.63399999044</v>
      </c>
      <c r="H27" s="989">
        <v>117412</v>
      </c>
      <c r="I27" s="1380">
        <f t="shared" si="0"/>
        <v>117412</v>
      </c>
      <c r="L27" s="671"/>
    </row>
    <row r="28" spans="1:12" ht="12.75">
      <c r="A28" s="732">
        <v>41</v>
      </c>
      <c r="B28" s="733" t="s">
        <v>15</v>
      </c>
      <c r="C28" s="974">
        <v>13.547435378232306</v>
      </c>
      <c r="D28" s="975">
        <v>14.221122772435033</v>
      </c>
      <c r="E28" s="976">
        <v>14.606393115694573</v>
      </c>
      <c r="F28" s="977">
        <f t="shared" si="1"/>
        <v>14.461970307622392</v>
      </c>
      <c r="G28" s="599">
        <f t="shared" si="2"/>
        <v>269095.1830912575</v>
      </c>
      <c r="H28" s="990">
        <v>269095</v>
      </c>
      <c r="I28" s="1380">
        <f t="shared" si="0"/>
        <v>269095</v>
      </c>
      <c r="L28" s="671"/>
    </row>
    <row r="29" spans="1:12" ht="12.75">
      <c r="A29" s="732">
        <v>51</v>
      </c>
      <c r="B29" s="733" t="s">
        <v>16</v>
      </c>
      <c r="C29" s="974">
        <v>4.017340899443274</v>
      </c>
      <c r="D29" s="975">
        <v>3.3622264183471486</v>
      </c>
      <c r="E29" s="976">
        <v>3.690729658704317</v>
      </c>
      <c r="F29" s="977">
        <f t="shared" si="1"/>
        <v>3.690540458742496</v>
      </c>
      <c r="G29" s="599">
        <f t="shared" si="2"/>
        <v>68670.2184644629</v>
      </c>
      <c r="H29" s="989">
        <v>68670</v>
      </c>
      <c r="I29" s="1380">
        <f t="shared" si="0"/>
        <v>68670</v>
      </c>
      <c r="L29" s="671"/>
    </row>
    <row r="30" spans="1:12" ht="13.5" thickBot="1">
      <c r="A30" s="734">
        <v>56</v>
      </c>
      <c r="B30" s="735" t="s">
        <v>17</v>
      </c>
      <c r="C30" s="978">
        <v>7.807470801679116</v>
      </c>
      <c r="D30" s="979">
        <v>7.822520179620169</v>
      </c>
      <c r="E30" s="980">
        <v>8.170526520582323</v>
      </c>
      <c r="F30" s="981">
        <f t="shared" si="1"/>
        <v>8.099420314595786</v>
      </c>
      <c r="G30" s="598">
        <f t="shared" si="2"/>
        <v>150706.6427415121</v>
      </c>
      <c r="H30" s="991">
        <v>150707</v>
      </c>
      <c r="I30" s="1380">
        <f t="shared" si="0"/>
        <v>150707</v>
      </c>
      <c r="L30" s="671"/>
    </row>
    <row r="31" spans="1:12" ht="13.5" thickBot="1">
      <c r="A31" s="736" t="s">
        <v>97</v>
      </c>
      <c r="B31" s="737"/>
      <c r="C31" s="600">
        <f aca="true" t="shared" si="3" ref="C31:H31">SUM(C22:C30)</f>
        <v>99.99999999999996</v>
      </c>
      <c r="D31" s="982">
        <f t="shared" si="3"/>
        <v>100.00000000000004</v>
      </c>
      <c r="E31" s="600">
        <f t="shared" si="3"/>
        <v>99.99999999999999</v>
      </c>
      <c r="F31" s="983">
        <f t="shared" si="3"/>
        <v>99.99999999999999</v>
      </c>
      <c r="G31" s="600">
        <f t="shared" si="3"/>
        <v>1860708.9999999995</v>
      </c>
      <c r="H31" s="992">
        <f t="shared" si="3"/>
        <v>1860709</v>
      </c>
      <c r="I31" s="1380">
        <f t="shared" si="0"/>
        <v>1860709</v>
      </c>
      <c r="L31" s="671"/>
    </row>
    <row r="32" spans="1:12" s="809" customFormat="1" ht="12">
      <c r="A32" s="806"/>
      <c r="B32" s="806"/>
      <c r="C32" s="807"/>
      <c r="D32" s="807"/>
      <c r="E32" s="807"/>
      <c r="F32" s="807"/>
      <c r="G32" s="807"/>
      <c r="H32" s="802"/>
      <c r="I32" s="519"/>
      <c r="J32" s="803"/>
      <c r="K32" s="803"/>
      <c r="L32" s="808"/>
    </row>
    <row r="33" spans="1:12" ht="12.75">
      <c r="A33" s="670"/>
      <c r="B33" s="670"/>
      <c r="C33" s="670"/>
      <c r="D33" s="670"/>
      <c r="E33" s="670"/>
      <c r="F33" s="670"/>
      <c r="G33" s="738"/>
      <c r="H33" s="670"/>
      <c r="I33" s="738"/>
      <c r="J33" s="670"/>
      <c r="K33" s="670"/>
      <c r="L33" s="454"/>
    </row>
    <row r="34" spans="1:11" ht="16.5" thickBot="1">
      <c r="A34" s="739" t="s">
        <v>383</v>
      </c>
      <c r="B34" s="676"/>
      <c r="C34" s="676"/>
      <c r="D34" s="676"/>
      <c r="E34" s="676"/>
      <c r="F34" s="676"/>
      <c r="G34" s="676"/>
      <c r="H34" s="138"/>
      <c r="I34" s="670"/>
      <c r="J34" s="670"/>
      <c r="K34" s="670"/>
    </row>
    <row r="35" spans="1:11" ht="15.75">
      <c r="A35" s="1427"/>
      <c r="B35" s="1428"/>
      <c r="C35" s="1431" t="s">
        <v>423</v>
      </c>
      <c r="D35" s="1431" t="s">
        <v>424</v>
      </c>
      <c r="E35" s="1421" t="s">
        <v>425</v>
      </c>
      <c r="F35" s="1423" t="s">
        <v>426</v>
      </c>
      <c r="G35" s="739"/>
      <c r="H35" s="676"/>
      <c r="I35" s="676"/>
      <c r="J35" s="676"/>
      <c r="K35" s="676"/>
    </row>
    <row r="36" spans="1:11" ht="22.5" customHeight="1" thickBot="1">
      <c r="A36" s="1429"/>
      <c r="B36" s="1430"/>
      <c r="C36" s="1432"/>
      <c r="D36" s="1432"/>
      <c r="E36" s="1422"/>
      <c r="F36" s="1424"/>
      <c r="G36" s="670"/>
      <c r="H36" s="670"/>
      <c r="I36" s="670"/>
      <c r="J36" s="670"/>
      <c r="K36" s="670"/>
    </row>
    <row r="37" spans="1:11" ht="12.75">
      <c r="A37" s="743">
        <v>11</v>
      </c>
      <c r="B37" s="744" t="s">
        <v>9</v>
      </c>
      <c r="C37" s="1411">
        <v>15002.55</v>
      </c>
      <c r="D37" s="1396">
        <f>C37/$C$50</f>
        <v>0.19118457581123352</v>
      </c>
      <c r="E37" s="745">
        <f>D37*$E$50</f>
        <v>28334.318873528053</v>
      </c>
      <c r="F37" s="993">
        <v>28334</v>
      </c>
      <c r="G37" s="969"/>
      <c r="H37" s="670"/>
      <c r="I37" s="670"/>
      <c r="J37" s="670"/>
      <c r="K37" s="670"/>
    </row>
    <row r="38" spans="1:11" ht="12.75">
      <c r="A38" s="746">
        <v>21</v>
      </c>
      <c r="B38" s="747" t="s">
        <v>10</v>
      </c>
      <c r="C38" s="1389">
        <v>10176.24</v>
      </c>
      <c r="D38" s="1397">
        <f aca="true" t="shared" si="4" ref="D38:D45">C38/$C$50</f>
        <v>0.1296806294765428</v>
      </c>
      <c r="E38" s="1394">
        <f aca="true" t="shared" si="5" ref="E38:E48">D38*$E$50</f>
        <v>19219.188010941547</v>
      </c>
      <c r="F38" s="994">
        <v>19219</v>
      </c>
      <c r="G38" s="969"/>
      <c r="H38" s="670"/>
      <c r="I38" s="670"/>
      <c r="J38" s="670"/>
      <c r="K38" s="670"/>
    </row>
    <row r="39" spans="1:11" ht="12.75">
      <c r="A39" s="746">
        <v>22</v>
      </c>
      <c r="B39" s="747" t="s">
        <v>11</v>
      </c>
      <c r="C39" s="1389">
        <v>2089.675</v>
      </c>
      <c r="D39" s="1397">
        <f t="shared" si="4"/>
        <v>0.02662971484569886</v>
      </c>
      <c r="E39" s="1394">
        <f t="shared" si="5"/>
        <v>3946.6302589919537</v>
      </c>
      <c r="F39" s="994">
        <v>3947</v>
      </c>
      <c r="G39" s="969"/>
      <c r="H39" s="670"/>
      <c r="I39" s="670"/>
      <c r="J39" s="670"/>
      <c r="K39" s="670"/>
    </row>
    <row r="40" spans="1:11" ht="12.75">
      <c r="A40" s="746">
        <v>23</v>
      </c>
      <c r="B40" s="747" t="s">
        <v>12</v>
      </c>
      <c r="C40" s="1389">
        <v>5475.042</v>
      </c>
      <c r="D40" s="1397">
        <f t="shared" si="4"/>
        <v>0.06977104441036275</v>
      </c>
      <c r="E40" s="1394">
        <f t="shared" si="5"/>
        <v>10340.347865793401</v>
      </c>
      <c r="F40" s="994">
        <v>10340</v>
      </c>
      <c r="G40" s="969"/>
      <c r="H40" s="670"/>
      <c r="I40" s="670"/>
      <c r="J40" s="670"/>
      <c r="K40" s="670"/>
    </row>
    <row r="41" spans="1:11" ht="12.75">
      <c r="A41" s="746">
        <v>31</v>
      </c>
      <c r="B41" s="747" t="s">
        <v>13</v>
      </c>
      <c r="C41" s="1389">
        <v>35044.67</v>
      </c>
      <c r="D41" s="1397">
        <f t="shared" si="4"/>
        <v>0.44659077079527554</v>
      </c>
      <c r="E41" s="1394">
        <f t="shared" si="5"/>
        <v>66186.53859494302</v>
      </c>
      <c r="F41" s="994">
        <v>66187</v>
      </c>
      <c r="G41" s="969"/>
      <c r="H41" s="670"/>
      <c r="I41" s="670"/>
      <c r="J41" s="670"/>
      <c r="K41" s="670"/>
    </row>
    <row r="42" spans="1:11" ht="12.75">
      <c r="A42" s="746">
        <v>33</v>
      </c>
      <c r="B42" s="747" t="s">
        <v>14</v>
      </c>
      <c r="C42" s="1389">
        <v>5438.87</v>
      </c>
      <c r="D42" s="1397">
        <f t="shared" si="4"/>
        <v>0.06931008754128089</v>
      </c>
      <c r="E42" s="1394">
        <f t="shared" si="5"/>
        <v>10272.032213967992</v>
      </c>
      <c r="F42" s="994">
        <v>10272</v>
      </c>
      <c r="G42" s="969"/>
      <c r="H42" s="670"/>
      <c r="I42" s="670"/>
      <c r="J42" s="670"/>
      <c r="K42" s="670"/>
    </row>
    <row r="43" spans="1:11" ht="12.75">
      <c r="A43" s="746">
        <v>41</v>
      </c>
      <c r="B43" s="747" t="s">
        <v>15</v>
      </c>
      <c r="C43" s="1389">
        <v>3488.634</v>
      </c>
      <c r="D43" s="1397">
        <f t="shared" si="4"/>
        <v>0.044457309687396265</v>
      </c>
      <c r="E43" s="1394">
        <f t="shared" si="5"/>
        <v>6588.751124910876</v>
      </c>
      <c r="F43" s="994">
        <v>6589</v>
      </c>
      <c r="G43" s="969"/>
      <c r="H43" s="670"/>
      <c r="I43" s="670"/>
      <c r="J43" s="670"/>
      <c r="K43" s="670"/>
    </row>
    <row r="44" spans="1:11" ht="12.75">
      <c r="A44" s="746">
        <v>51</v>
      </c>
      <c r="B44" s="747" t="s">
        <v>16</v>
      </c>
      <c r="C44" s="1389">
        <v>146.256</v>
      </c>
      <c r="D44" s="1397">
        <f t="shared" si="4"/>
        <v>0.0018638092404189802</v>
      </c>
      <c r="E44" s="1394">
        <f t="shared" si="5"/>
        <v>276.22398466705454</v>
      </c>
      <c r="F44" s="994">
        <v>276</v>
      </c>
      <c r="G44" s="969"/>
      <c r="H44" s="670"/>
      <c r="I44" s="670"/>
      <c r="J44" s="670"/>
      <c r="K44" s="670"/>
    </row>
    <row r="45" spans="1:11" ht="12.75">
      <c r="A45" s="748">
        <v>56</v>
      </c>
      <c r="B45" s="749" t="s">
        <v>17</v>
      </c>
      <c r="C45" s="1390">
        <v>1337.783</v>
      </c>
      <c r="D45" s="1398">
        <f t="shared" si="4"/>
        <v>0.017048000198798166</v>
      </c>
      <c r="E45" s="1395">
        <f t="shared" si="5"/>
        <v>2526.5818214626834</v>
      </c>
      <c r="F45" s="995">
        <v>2527</v>
      </c>
      <c r="G45" s="969"/>
      <c r="H45" s="670"/>
      <c r="I45" s="670"/>
      <c r="J45" s="670"/>
      <c r="K45" s="670"/>
    </row>
    <row r="46" spans="1:11" ht="13.5" thickBot="1">
      <c r="A46" s="597" t="s">
        <v>378</v>
      </c>
      <c r="B46" s="742"/>
      <c r="C46" s="1391">
        <f>SUM(C37:C45)</f>
        <v>78199.71999999999</v>
      </c>
      <c r="D46" s="1388">
        <f>SUM(D37:D45)</f>
        <v>0.9965359420070077</v>
      </c>
      <c r="E46" s="750">
        <f>E50-E49</f>
        <v>147690.61274920657</v>
      </c>
      <c r="F46" s="996">
        <f>SUM(F37:F45)</f>
        <v>147691</v>
      </c>
      <c r="G46" s="685"/>
      <c r="H46" s="670"/>
      <c r="I46" s="670"/>
      <c r="J46" s="670"/>
      <c r="K46" s="670"/>
    </row>
    <row r="47" spans="1:11" ht="12.75">
      <c r="A47" s="798">
        <v>92</v>
      </c>
      <c r="B47" s="799" t="s">
        <v>20</v>
      </c>
      <c r="C47" s="1389">
        <v>122.02</v>
      </c>
      <c r="D47" s="1397">
        <f>C47/$C$50</f>
        <v>0.0015549584530954214</v>
      </c>
      <c r="E47" s="745">
        <f t="shared" si="5"/>
        <v>230.45106258255382</v>
      </c>
      <c r="F47" s="994">
        <v>230</v>
      </c>
      <c r="G47" s="670"/>
      <c r="H47" s="670"/>
      <c r="I47" s="670"/>
      <c r="J47" s="670"/>
      <c r="K47" s="670"/>
    </row>
    <row r="48" spans="1:11" ht="12.75">
      <c r="A48" s="800">
        <v>99</v>
      </c>
      <c r="B48" s="801" t="s">
        <v>361</v>
      </c>
      <c r="C48" s="1392">
        <v>149.81</v>
      </c>
      <c r="D48" s="1397">
        <f>C48/$C$50</f>
        <v>0.0019090995398969438</v>
      </c>
      <c r="E48" s="1395">
        <f t="shared" si="5"/>
        <v>282.93618821088666</v>
      </c>
      <c r="F48" s="997">
        <v>283</v>
      </c>
      <c r="G48" s="670"/>
      <c r="H48" s="670"/>
      <c r="I48" s="670"/>
      <c r="J48" s="670"/>
      <c r="K48" s="670"/>
    </row>
    <row r="49" spans="1:11" ht="13.5" thickBot="1">
      <c r="A49" s="788" t="s">
        <v>103</v>
      </c>
      <c r="B49" s="789"/>
      <c r="C49" s="1393">
        <f>SUM(C47:C48)</f>
        <v>271.83</v>
      </c>
      <c r="D49" s="1399">
        <f>SUM(D47:D48)</f>
        <v>0.003464057992992365</v>
      </c>
      <c r="E49" s="790">
        <f>SUM(E47:E48)</f>
        <v>513.3872507934404</v>
      </c>
      <c r="F49" s="998">
        <f>SUM(F47:F48)</f>
        <v>513</v>
      </c>
      <c r="G49" s="685"/>
      <c r="H49" s="670"/>
      <c r="I49" s="670"/>
      <c r="J49" s="670"/>
      <c r="K49" s="670"/>
    </row>
    <row r="50" spans="1:11" ht="13.5" thickBot="1">
      <c r="A50" s="597" t="s">
        <v>97</v>
      </c>
      <c r="B50" s="742"/>
      <c r="C50" s="1391">
        <f>C49+C46</f>
        <v>78471.54999999999</v>
      </c>
      <c r="D50" s="1388">
        <f>D49+D46</f>
        <v>1</v>
      </c>
      <c r="E50" s="750">
        <v>148204</v>
      </c>
      <c r="F50" s="996">
        <f>F46+F49</f>
        <v>148204</v>
      </c>
      <c r="G50" s="685"/>
      <c r="H50" s="670"/>
      <c r="I50" s="670"/>
      <c r="J50" s="670"/>
      <c r="K50" s="670"/>
    </row>
    <row r="51" spans="1:11" s="93" customFormat="1" ht="12">
      <c r="A51" s="136"/>
      <c r="B51" s="136"/>
      <c r="C51" s="136"/>
      <c r="D51" s="136"/>
      <c r="E51" s="136"/>
      <c r="F51" s="1381">
        <v>148204</v>
      </c>
      <c r="G51" s="136"/>
      <c r="H51" s="136"/>
      <c r="I51" s="136"/>
      <c r="J51" s="136"/>
      <c r="K51" s="136"/>
    </row>
    <row r="52" spans="1:11" ht="12.75">
      <c r="A52" s="751"/>
      <c r="B52" s="751"/>
      <c r="C52" s="752"/>
      <c r="D52" s="752"/>
      <c r="E52" s="752"/>
      <c r="F52" s="752"/>
      <c r="G52" s="752"/>
      <c r="H52" s="752"/>
      <c r="I52" s="752"/>
      <c r="J52" s="752"/>
      <c r="K52" s="701"/>
    </row>
    <row r="53" spans="1:11" ht="16.5" thickBot="1">
      <c r="A53" s="675" t="s">
        <v>384</v>
      </c>
      <c r="B53" s="676"/>
      <c r="C53" s="676"/>
      <c r="D53" s="676"/>
      <c r="E53" s="676"/>
      <c r="F53" s="676"/>
      <c r="G53" s="676"/>
      <c r="H53" s="676"/>
      <c r="I53" s="676"/>
      <c r="J53" s="676"/>
      <c r="K53" s="676"/>
    </row>
    <row r="54" spans="1:11" ht="12.75">
      <c r="A54" s="678"/>
      <c r="B54" s="681"/>
      <c r="C54" s="1436" t="s">
        <v>362</v>
      </c>
      <c r="D54" s="1437"/>
      <c r="E54" s="1438"/>
      <c r="F54" s="1439" t="s">
        <v>309</v>
      </c>
      <c r="G54" s="1440"/>
      <c r="H54" s="1441"/>
      <c r="I54" s="670"/>
      <c r="J54" s="670"/>
      <c r="K54" s="670"/>
    </row>
    <row r="55" spans="1:11" ht="26.25" customHeight="1" thickBot="1">
      <c r="A55" s="597" t="s">
        <v>8</v>
      </c>
      <c r="B55" s="689"/>
      <c r="C55" s="936" t="s">
        <v>22</v>
      </c>
      <c r="D55" s="753" t="s">
        <v>363</v>
      </c>
      <c r="E55" s="937" t="s">
        <v>19</v>
      </c>
      <c r="F55" s="938" t="s">
        <v>22</v>
      </c>
      <c r="G55" s="939" t="s">
        <v>98</v>
      </c>
      <c r="H55" s="940" t="s">
        <v>19</v>
      </c>
      <c r="I55" s="670"/>
      <c r="J55" s="670"/>
      <c r="K55" s="670"/>
    </row>
    <row r="56" spans="1:11" ht="12.75">
      <c r="A56" s="966">
        <v>11</v>
      </c>
      <c r="B56" s="754" t="s">
        <v>9</v>
      </c>
      <c r="C56" s="941">
        <f aca="true" t="shared" si="6" ref="C56:C64">H22</f>
        <v>355111</v>
      </c>
      <c r="D56" s="942">
        <f aca="true" t="shared" si="7" ref="D56:D64">F37</f>
        <v>28334</v>
      </c>
      <c r="E56" s="943">
        <f aca="true" t="shared" si="8" ref="E56:E68">SUM(C56:D56)</f>
        <v>383445</v>
      </c>
      <c r="F56" s="944">
        <v>365399</v>
      </c>
      <c r="G56" s="945">
        <v>28783</v>
      </c>
      <c r="H56" s="946">
        <f>SUM(F56:G56)</f>
        <v>394182</v>
      </c>
      <c r="I56" s="670"/>
      <c r="J56" s="670"/>
      <c r="K56" s="670"/>
    </row>
    <row r="57" spans="1:11" ht="12.75">
      <c r="A57" s="967">
        <v>21</v>
      </c>
      <c r="B57" s="755" t="s">
        <v>10</v>
      </c>
      <c r="C57" s="947">
        <f t="shared" si="6"/>
        <v>337185</v>
      </c>
      <c r="D57" s="948">
        <f t="shared" si="7"/>
        <v>19219</v>
      </c>
      <c r="E57" s="949">
        <f t="shared" si="8"/>
        <v>356404</v>
      </c>
      <c r="F57" s="950">
        <v>340206</v>
      </c>
      <c r="G57" s="951">
        <v>13905</v>
      </c>
      <c r="H57" s="952">
        <f aca="true" t="shared" si="9" ref="H57:H64">SUM(F57:G57)</f>
        <v>354111</v>
      </c>
      <c r="I57" s="670"/>
      <c r="J57" s="670"/>
      <c r="K57" s="670"/>
    </row>
    <row r="58" spans="1:11" ht="12.75">
      <c r="A58" s="967">
        <v>22</v>
      </c>
      <c r="B58" s="755" t="s">
        <v>11</v>
      </c>
      <c r="C58" s="947">
        <f t="shared" si="6"/>
        <v>126435</v>
      </c>
      <c r="D58" s="948">
        <f t="shared" si="7"/>
        <v>3947</v>
      </c>
      <c r="E58" s="949">
        <f t="shared" si="8"/>
        <v>130382</v>
      </c>
      <c r="F58" s="950">
        <v>121202</v>
      </c>
      <c r="G58" s="951">
        <v>2378</v>
      </c>
      <c r="H58" s="952">
        <f t="shared" si="9"/>
        <v>123580</v>
      </c>
      <c r="I58" s="670"/>
      <c r="J58" s="670"/>
      <c r="K58" s="670"/>
    </row>
    <row r="59" spans="1:11" ht="12.75">
      <c r="A59" s="967">
        <v>23</v>
      </c>
      <c r="B59" s="755" t="s">
        <v>12</v>
      </c>
      <c r="C59" s="947">
        <f t="shared" si="6"/>
        <v>140278</v>
      </c>
      <c r="D59" s="948">
        <f t="shared" si="7"/>
        <v>10340</v>
      </c>
      <c r="E59" s="949">
        <f t="shared" si="8"/>
        <v>150618</v>
      </c>
      <c r="F59" s="950">
        <v>141087</v>
      </c>
      <c r="G59" s="951">
        <v>9191</v>
      </c>
      <c r="H59" s="952">
        <f t="shared" si="9"/>
        <v>150278</v>
      </c>
      <c r="I59" s="670"/>
      <c r="J59" s="670"/>
      <c r="K59" s="670"/>
    </row>
    <row r="60" spans="1:11" ht="12.75">
      <c r="A60" s="967">
        <v>31</v>
      </c>
      <c r="B60" s="755" t="s">
        <v>13</v>
      </c>
      <c r="C60" s="947">
        <f t="shared" si="6"/>
        <v>295816</v>
      </c>
      <c r="D60" s="948">
        <f t="shared" si="7"/>
        <v>66187</v>
      </c>
      <c r="E60" s="949">
        <f t="shared" si="8"/>
        <v>362003</v>
      </c>
      <c r="F60" s="950">
        <v>286106</v>
      </c>
      <c r="G60" s="951">
        <v>51176</v>
      </c>
      <c r="H60" s="952">
        <f t="shared" si="9"/>
        <v>337282</v>
      </c>
      <c r="I60" s="670"/>
      <c r="J60" s="670"/>
      <c r="K60" s="670"/>
    </row>
    <row r="61" spans="1:11" ht="12.75">
      <c r="A61" s="967">
        <v>33</v>
      </c>
      <c r="B61" s="755" t="s">
        <v>14</v>
      </c>
      <c r="C61" s="947">
        <f t="shared" si="6"/>
        <v>117412</v>
      </c>
      <c r="D61" s="948">
        <f t="shared" si="7"/>
        <v>10272</v>
      </c>
      <c r="E61" s="949">
        <f t="shared" si="8"/>
        <v>127684</v>
      </c>
      <c r="F61" s="950">
        <v>121201</v>
      </c>
      <c r="G61" s="951">
        <v>7320</v>
      </c>
      <c r="H61" s="952">
        <f t="shared" si="9"/>
        <v>128521</v>
      </c>
      <c r="I61" s="670"/>
      <c r="J61" s="670"/>
      <c r="K61" s="670"/>
    </row>
    <row r="62" spans="1:11" ht="12.75">
      <c r="A62" s="967">
        <v>41</v>
      </c>
      <c r="B62" s="755" t="s">
        <v>15</v>
      </c>
      <c r="C62" s="947">
        <f t="shared" si="6"/>
        <v>269095</v>
      </c>
      <c r="D62" s="948">
        <f t="shared" si="7"/>
        <v>6589</v>
      </c>
      <c r="E62" s="949">
        <f t="shared" si="8"/>
        <v>275684</v>
      </c>
      <c r="F62" s="950">
        <v>273276</v>
      </c>
      <c r="G62" s="951">
        <v>5544</v>
      </c>
      <c r="H62" s="952">
        <f t="shared" si="9"/>
        <v>278820</v>
      </c>
      <c r="I62" s="670"/>
      <c r="J62" s="670"/>
      <c r="K62" s="670"/>
    </row>
    <row r="63" spans="1:11" ht="12.75">
      <c r="A63" s="967">
        <v>51</v>
      </c>
      <c r="B63" s="755" t="s">
        <v>16</v>
      </c>
      <c r="C63" s="947">
        <f t="shared" si="6"/>
        <v>68670</v>
      </c>
      <c r="D63" s="948">
        <f t="shared" si="7"/>
        <v>276</v>
      </c>
      <c r="E63" s="949">
        <f t="shared" si="8"/>
        <v>68946</v>
      </c>
      <c r="F63" s="950">
        <v>62444</v>
      </c>
      <c r="G63" s="951">
        <v>254</v>
      </c>
      <c r="H63" s="952">
        <f t="shared" si="9"/>
        <v>62698</v>
      </c>
      <c r="I63" s="670"/>
      <c r="J63" s="670"/>
      <c r="K63" s="670"/>
    </row>
    <row r="64" spans="1:11" ht="12.75">
      <c r="A64" s="968">
        <v>56</v>
      </c>
      <c r="B64" s="795" t="s">
        <v>17</v>
      </c>
      <c r="C64" s="953">
        <f t="shared" si="6"/>
        <v>150707</v>
      </c>
      <c r="D64" s="954">
        <f t="shared" si="7"/>
        <v>2527</v>
      </c>
      <c r="E64" s="955">
        <f t="shared" si="8"/>
        <v>153234</v>
      </c>
      <c r="F64" s="956">
        <v>146016</v>
      </c>
      <c r="G64" s="957">
        <v>5213</v>
      </c>
      <c r="H64" s="958">
        <f t="shared" si="9"/>
        <v>151229</v>
      </c>
      <c r="I64" s="670"/>
      <c r="J64" s="670"/>
      <c r="K64" s="670"/>
    </row>
    <row r="65" spans="1:11" ht="13.5" thickBot="1">
      <c r="A65" s="793" t="s">
        <v>378</v>
      </c>
      <c r="B65" s="797"/>
      <c r="C65" s="959">
        <f>SUM(C56:C64)</f>
        <v>1860709</v>
      </c>
      <c r="D65" s="960">
        <f>SUM(D56:D64)</f>
        <v>147691</v>
      </c>
      <c r="E65" s="961">
        <f t="shared" si="8"/>
        <v>2008400</v>
      </c>
      <c r="F65" s="962">
        <f>SUM(F56:F64)</f>
        <v>1856937</v>
      </c>
      <c r="G65" s="963">
        <f>SUM(G56:G64)</f>
        <v>123764</v>
      </c>
      <c r="H65" s="964">
        <f>SUM(H56:H64)</f>
        <v>1980701</v>
      </c>
      <c r="I65" s="670"/>
      <c r="J65" s="670"/>
      <c r="K65" s="670"/>
    </row>
    <row r="66" spans="1:11" ht="12.75">
      <c r="A66" s="732">
        <v>92</v>
      </c>
      <c r="B66" s="755" t="s">
        <v>20</v>
      </c>
      <c r="C66" s="947"/>
      <c r="D66" s="948">
        <f>F47</f>
        <v>230</v>
      </c>
      <c r="E66" s="943">
        <f t="shared" si="8"/>
        <v>230</v>
      </c>
      <c r="F66" s="950"/>
      <c r="G66" s="951"/>
      <c r="H66" s="952"/>
      <c r="I66" s="670"/>
      <c r="J66" s="670"/>
      <c r="K66" s="670"/>
    </row>
    <row r="67" spans="1:11" ht="12.75">
      <c r="A67" s="794">
        <v>99</v>
      </c>
      <c r="B67" s="795" t="s">
        <v>361</v>
      </c>
      <c r="C67" s="953"/>
      <c r="D67" s="954">
        <f>F48</f>
        <v>283</v>
      </c>
      <c r="E67" s="949">
        <f t="shared" si="8"/>
        <v>283</v>
      </c>
      <c r="F67" s="956"/>
      <c r="G67" s="957"/>
      <c r="H67" s="965"/>
      <c r="I67" s="670"/>
      <c r="J67" s="670"/>
      <c r="K67" s="670"/>
    </row>
    <row r="68" spans="1:11" ht="13.5" thickBot="1">
      <c r="A68" s="796" t="s">
        <v>103</v>
      </c>
      <c r="B68" s="689"/>
      <c r="C68" s="959"/>
      <c r="D68" s="960">
        <f>SUM(D66:D67)</f>
        <v>513</v>
      </c>
      <c r="E68" s="961">
        <f t="shared" si="8"/>
        <v>513</v>
      </c>
      <c r="F68" s="962"/>
      <c r="G68" s="963"/>
      <c r="H68" s="964"/>
      <c r="I68" s="670"/>
      <c r="J68" s="670"/>
      <c r="K68" s="670"/>
    </row>
    <row r="69" spans="1:11" ht="13.5" thickBot="1">
      <c r="A69" s="793" t="s">
        <v>97</v>
      </c>
      <c r="B69" s="797"/>
      <c r="C69" s="959">
        <f aca="true" t="shared" si="10" ref="C69:H69">C65+C68</f>
        <v>1860709</v>
      </c>
      <c r="D69" s="960">
        <f t="shared" si="10"/>
        <v>148204</v>
      </c>
      <c r="E69" s="961">
        <f t="shared" si="10"/>
        <v>2008913</v>
      </c>
      <c r="F69" s="962">
        <f t="shared" si="10"/>
        <v>1856937</v>
      </c>
      <c r="G69" s="963">
        <f t="shared" si="10"/>
        <v>123764</v>
      </c>
      <c r="H69" s="964">
        <f t="shared" si="10"/>
        <v>1980701</v>
      </c>
      <c r="I69" s="670"/>
      <c r="J69" s="670"/>
      <c r="K69" s="670"/>
    </row>
    <row r="70" spans="3:6" s="804" customFormat="1" ht="12">
      <c r="C70" s="1382">
        <f>F11</f>
        <v>1860709</v>
      </c>
      <c r="D70" s="1382">
        <f>F12</f>
        <v>148204</v>
      </c>
      <c r="E70" s="1383">
        <f>F13</f>
        <v>2008913</v>
      </c>
      <c r="F70" s="805"/>
    </row>
    <row r="71" ht="17.25" customHeight="1"/>
    <row r="72" spans="1:11" ht="15.75">
      <c r="A72" s="756" t="s">
        <v>416</v>
      </c>
      <c r="B72" s="757"/>
      <c r="C72" s="757"/>
      <c r="D72" s="757"/>
      <c r="E72" s="757"/>
      <c r="F72" s="757"/>
      <c r="G72" s="757"/>
      <c r="H72" s="757"/>
      <c r="I72" s="757"/>
      <c r="J72" s="757"/>
      <c r="K72" s="757"/>
    </row>
    <row r="73" spans="1:11" ht="11.25" customHeight="1">
      <c r="A73" s="756"/>
      <c r="B73" s="757"/>
      <c r="C73" s="757"/>
      <c r="D73" s="757"/>
      <c r="E73" s="757"/>
      <c r="F73" s="757"/>
      <c r="G73" s="757"/>
      <c r="H73" s="757"/>
      <c r="I73" s="757"/>
      <c r="J73" s="757"/>
      <c r="K73" s="757"/>
    </row>
    <row r="74" spans="1:14" s="759" customFormat="1" ht="15.75" thickBot="1">
      <c r="A74" s="758" t="s">
        <v>427</v>
      </c>
      <c r="L74" s="98"/>
      <c r="M74" s="98"/>
      <c r="N74" s="98"/>
    </row>
    <row r="75" spans="1:10" ht="12.75">
      <c r="A75" s="760">
        <v>5</v>
      </c>
      <c r="B75" s="161" t="s">
        <v>387</v>
      </c>
      <c r="C75" s="740"/>
      <c r="D75" s="740"/>
      <c r="E75" s="740"/>
      <c r="F75" s="740"/>
      <c r="G75" s="740"/>
      <c r="H75" s="740"/>
      <c r="I75" s="761">
        <f>'příl1-přísp1-MV'!N7</f>
        <v>120000</v>
      </c>
      <c r="J75" s="741"/>
    </row>
    <row r="76" spans="1:10" ht="12.75">
      <c r="A76" s="762">
        <v>6</v>
      </c>
      <c r="B76" s="763" t="s">
        <v>149</v>
      </c>
      <c r="C76" s="763"/>
      <c r="D76" s="763"/>
      <c r="E76" s="763"/>
      <c r="F76" s="763"/>
      <c r="G76" s="763"/>
      <c r="H76" s="763"/>
      <c r="I76" s="764">
        <f>'příl1-přísp1-MV'!N12</f>
        <v>0</v>
      </c>
      <c r="J76" s="741"/>
    </row>
    <row r="77" spans="1:10" ht="12.75">
      <c r="A77" s="762">
        <v>7</v>
      </c>
      <c r="B77" s="763" t="s">
        <v>150</v>
      </c>
      <c r="C77" s="763"/>
      <c r="D77" s="763"/>
      <c r="E77" s="763"/>
      <c r="F77" s="763"/>
      <c r="G77" s="763"/>
      <c r="H77" s="763"/>
      <c r="I77" s="764">
        <f>'příl1-přísp1-MV'!N13</f>
        <v>12812</v>
      </c>
      <c r="J77" s="741"/>
    </row>
    <row r="78" spans="1:10" ht="13.5" thickBot="1">
      <c r="A78" s="765">
        <v>8</v>
      </c>
      <c r="B78" s="685" t="s">
        <v>0</v>
      </c>
      <c r="C78" s="741"/>
      <c r="D78" s="741"/>
      <c r="E78" s="741"/>
      <c r="F78" s="741"/>
      <c r="G78" s="741"/>
      <c r="H78" s="741"/>
      <c r="I78" s="766">
        <f>'příl1-přísp1-MV'!N25</f>
        <v>68241</v>
      </c>
      <c r="J78" s="741"/>
    </row>
    <row r="79" spans="1:14" s="94" customFormat="1" ht="13.5" thickBot="1">
      <c r="A79" s="159">
        <v>9</v>
      </c>
      <c r="B79" s="1433" t="s">
        <v>415</v>
      </c>
      <c r="C79" s="1434"/>
      <c r="D79" s="1434"/>
      <c r="E79" s="1434"/>
      <c r="F79" s="1434"/>
      <c r="G79" s="1434"/>
      <c r="H79" s="1435"/>
      <c r="I79" s="160">
        <f>SUM(I75:I78)</f>
        <v>201053</v>
      </c>
      <c r="J79" s="168"/>
      <c r="L79" s="105"/>
      <c r="M79" s="105"/>
      <c r="N79" s="105"/>
    </row>
    <row r="80" spans="1:14" s="93" customFormat="1" ht="13.5">
      <c r="A80" s="96"/>
      <c r="B80" s="97"/>
      <c r="I80" s="95"/>
      <c r="L80" s="98"/>
      <c r="M80" s="98"/>
      <c r="N80" s="98"/>
    </row>
    <row r="81" spans="1:14" s="759" customFormat="1" ht="15.75" thickBot="1">
      <c r="A81" s="758" t="s">
        <v>428</v>
      </c>
      <c r="L81" s="98"/>
      <c r="M81" s="98"/>
      <c r="N81" s="98"/>
    </row>
    <row r="82" spans="1:10" ht="12.75">
      <c r="A82" s="767">
        <v>10</v>
      </c>
      <c r="B82" s="768" t="s">
        <v>511</v>
      </c>
      <c r="C82" s="768"/>
      <c r="D82" s="768"/>
      <c r="E82" s="768"/>
      <c r="F82" s="768"/>
      <c r="G82" s="768"/>
      <c r="H82" s="768"/>
      <c r="I82" s="769">
        <f>'příl2-přísp2'!N7-I83</f>
        <v>148879</v>
      </c>
      <c r="J82" s="158"/>
    </row>
    <row r="83" spans="1:9" ht="13.5" thickBot="1">
      <c r="A83" s="765">
        <v>11</v>
      </c>
      <c r="B83" s="741" t="s">
        <v>512</v>
      </c>
      <c r="C83" s="741"/>
      <c r="D83" s="741"/>
      <c r="E83" s="741"/>
      <c r="F83" s="741"/>
      <c r="G83" s="741"/>
      <c r="H83" s="741"/>
      <c r="I83" s="766">
        <f>'příl2-přísp2'!N125</f>
        <v>16000</v>
      </c>
    </row>
    <row r="84" spans="1:14" s="171" customFormat="1" ht="12.75">
      <c r="A84" s="169">
        <v>12</v>
      </c>
      <c r="B84" s="1442" t="s">
        <v>490</v>
      </c>
      <c r="C84" s="1443"/>
      <c r="D84" s="1443"/>
      <c r="E84" s="1443"/>
      <c r="F84" s="1443"/>
      <c r="G84" s="1443"/>
      <c r="H84" s="1444"/>
      <c r="I84" s="170">
        <f>SUM(I82:I83)</f>
        <v>164879</v>
      </c>
      <c r="L84" s="172"/>
      <c r="M84" s="172"/>
      <c r="N84" s="172"/>
    </row>
    <row r="85" spans="1:9" ht="13.5" thickBot="1">
      <c r="A85" s="770">
        <v>13</v>
      </c>
      <c r="B85" s="771" t="s">
        <v>489</v>
      </c>
      <c r="C85" s="771"/>
      <c r="D85" s="771"/>
      <c r="E85" s="771"/>
      <c r="F85" s="771"/>
      <c r="G85" s="771"/>
      <c r="H85" s="771"/>
      <c r="I85" s="772">
        <f>'příl2-přísp2'!N130</f>
        <v>234278</v>
      </c>
    </row>
    <row r="86" spans="1:14" s="94" customFormat="1" ht="13.5" thickBot="1">
      <c r="A86" s="159">
        <v>14</v>
      </c>
      <c r="B86" s="1433" t="s">
        <v>491</v>
      </c>
      <c r="C86" s="1434"/>
      <c r="D86" s="1434"/>
      <c r="E86" s="1434"/>
      <c r="F86" s="1434"/>
      <c r="G86" s="1434"/>
      <c r="H86" s="1435"/>
      <c r="I86" s="160">
        <f>SUM(I84:I85)</f>
        <v>399157</v>
      </c>
      <c r="J86" s="162"/>
      <c r="L86" s="105"/>
      <c r="M86" s="105"/>
      <c r="N86" s="105"/>
    </row>
    <row r="87" spans="1:14" s="741" customFormat="1" ht="12.75">
      <c r="A87" s="773"/>
      <c r="I87" s="774"/>
      <c r="J87" s="774"/>
      <c r="L87" s="99"/>
      <c r="M87" s="99"/>
      <c r="N87" s="99"/>
    </row>
    <row r="88" spans="1:14" s="776" customFormat="1" ht="15.75" thickBot="1">
      <c r="A88" s="775" t="s">
        <v>258</v>
      </c>
      <c r="L88" s="454"/>
      <c r="M88" s="454"/>
      <c r="N88" s="454"/>
    </row>
    <row r="89" spans="1:14" ht="12.75" customHeight="1">
      <c r="A89" s="163">
        <v>15</v>
      </c>
      <c r="B89" s="167" t="s">
        <v>417</v>
      </c>
      <c r="C89" s="165"/>
      <c r="D89" s="165"/>
      <c r="E89" s="165"/>
      <c r="F89" s="165"/>
      <c r="G89" s="165"/>
      <c r="H89" s="166"/>
      <c r="I89" s="164">
        <f>F13</f>
        <v>2008913</v>
      </c>
      <c r="L89" s="671"/>
      <c r="M89" s="671"/>
      <c r="N89" s="671"/>
    </row>
    <row r="90" spans="1:10" s="94" customFormat="1" ht="12.75" customHeight="1">
      <c r="A90" s="777">
        <v>16</v>
      </c>
      <c r="B90" s="778" t="s">
        <v>243</v>
      </c>
      <c r="C90" s="779"/>
      <c r="D90" s="779"/>
      <c r="E90" s="779"/>
      <c r="F90" s="779"/>
      <c r="G90" s="779"/>
      <c r="H90" s="780"/>
      <c r="I90" s="781">
        <f>I79+I86</f>
        <v>600210</v>
      </c>
      <c r="J90" s="782"/>
    </row>
    <row r="91" spans="1:10" s="94" customFormat="1" ht="12.75" customHeight="1">
      <c r="A91" s="1326">
        <v>17</v>
      </c>
      <c r="B91" s="1327" t="s">
        <v>510</v>
      </c>
      <c r="C91" s="1328"/>
      <c r="D91" s="1328"/>
      <c r="E91" s="1328"/>
      <c r="F91" s="1328"/>
      <c r="G91" s="1328"/>
      <c r="H91" s="1329"/>
      <c r="I91" s="1330">
        <f>E68</f>
        <v>513</v>
      </c>
      <c r="J91" s="782"/>
    </row>
    <row r="92" spans="1:12" s="94" customFormat="1" ht="12.75" customHeight="1" thickBot="1">
      <c r="A92" s="783">
        <v>17</v>
      </c>
      <c r="B92" s="784" t="s">
        <v>244</v>
      </c>
      <c r="C92" s="785"/>
      <c r="D92" s="785"/>
      <c r="E92" s="785"/>
      <c r="F92" s="785"/>
      <c r="G92" s="785"/>
      <c r="H92" s="786"/>
      <c r="I92" s="1358">
        <f>I89-I90-I91</f>
        <v>1408190</v>
      </c>
      <c r="K92" s="1356">
        <f>I92/F13</f>
        <v>0.7009711221939426</v>
      </c>
      <c r="L92" s="1357" t="s">
        <v>513</v>
      </c>
    </row>
    <row r="93" ht="13.5" customHeight="1"/>
    <row r="94" ht="12.75">
      <c r="I94" s="787"/>
    </row>
  </sheetData>
  <mergeCells count="12">
    <mergeCell ref="B86:H86"/>
    <mergeCell ref="C54:E54"/>
    <mergeCell ref="F54:H54"/>
    <mergeCell ref="B79:H79"/>
    <mergeCell ref="B84:H84"/>
    <mergeCell ref="E35:E36"/>
    <mergeCell ref="F35:F36"/>
    <mergeCell ref="A5:K5"/>
    <mergeCell ref="A4:K4"/>
    <mergeCell ref="A35:B36"/>
    <mergeCell ref="C35:C36"/>
    <mergeCell ref="D35:D36"/>
  </mergeCells>
  <printOptions/>
  <pageMargins left="0.7" right="0.26" top="0.66" bottom="0.62" header="0.4921259845" footer="0.33"/>
  <pageSetup horizontalDpi="600" verticalDpi="600" orientation="landscape" paperSize="9" r:id="rId1"/>
  <headerFooter alignWithMargins="0">
    <oddFooter>&amp;C&amp;P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81"/>
  <sheetViews>
    <sheetView workbookViewId="0" topLeftCell="A1">
      <selection activeCell="N18" sqref="N18"/>
    </sheetView>
  </sheetViews>
  <sheetFormatPr defaultColWidth="9.00390625" defaultRowHeight="12.75"/>
  <cols>
    <col min="1" max="1" width="9.00390625" style="225" customWidth="1"/>
    <col min="2" max="2" width="7.125" style="225" customWidth="1"/>
    <col min="3" max="3" width="8.25390625" style="225" customWidth="1"/>
    <col min="4" max="4" width="7.00390625" style="225" customWidth="1"/>
    <col min="5" max="6" width="7.625" style="225" customWidth="1"/>
    <col min="7" max="7" width="7.375" style="225" customWidth="1"/>
    <col min="8" max="8" width="8.375" style="225" customWidth="1"/>
    <col min="9" max="9" width="8.125" style="225" customWidth="1"/>
    <col min="10" max="10" width="9.00390625" style="225" customWidth="1"/>
    <col min="11" max="11" width="7.875" style="225" customWidth="1"/>
    <col min="12" max="12" width="8.625" style="225" customWidth="1"/>
    <col min="13" max="13" width="6.875" style="225" customWidth="1"/>
    <col min="14" max="14" width="8.00390625" style="225" customWidth="1"/>
    <col min="15" max="15" width="8.625" style="225" customWidth="1"/>
    <col min="16" max="16" width="3.125" style="225" customWidth="1"/>
    <col min="17" max="17" width="10.00390625" style="225" customWidth="1"/>
    <col min="18" max="18" width="7.00390625" style="225" customWidth="1"/>
    <col min="19" max="19" width="7.125" style="225" customWidth="1"/>
    <col min="20" max="20" width="3.75390625" style="225" customWidth="1"/>
    <col min="21" max="21" width="8.00390625" style="225" hidden="1" customWidth="1"/>
    <col min="22" max="22" width="7.375" style="225" hidden="1" customWidth="1"/>
    <col min="23" max="24" width="6.625" style="225" hidden="1" customWidth="1"/>
    <col min="25" max="25" width="7.25390625" style="225" hidden="1" customWidth="1"/>
    <col min="26" max="26" width="8.00390625" style="225" hidden="1" customWidth="1"/>
    <col min="27" max="27" width="7.375" style="225" hidden="1" customWidth="1"/>
    <col min="28" max="28" width="6.625" style="225" hidden="1" customWidth="1"/>
    <col min="29" max="29" width="19.125" style="225" hidden="1" customWidth="1"/>
    <col min="30" max="30" width="7.25390625" style="225" hidden="1" customWidth="1"/>
    <col min="31" max="31" width="7.75390625" style="225" hidden="1" customWidth="1"/>
    <col min="32" max="32" width="14.25390625" style="225" hidden="1" customWidth="1"/>
    <col min="33" max="33" width="7.875" style="225" hidden="1" customWidth="1"/>
    <col min="34" max="34" width="9.00390625" style="225" hidden="1" customWidth="1"/>
    <col min="35" max="36" width="7.875" style="225" hidden="1" customWidth="1"/>
    <col min="37" max="37" width="6.625" style="225" hidden="1" customWidth="1"/>
    <col min="38" max="39" width="7.875" style="225" hidden="1" customWidth="1"/>
    <col min="40" max="40" width="6.625" style="225" hidden="1" customWidth="1"/>
    <col min="41" max="42" width="7.875" style="225" hidden="1" customWidth="1"/>
    <col min="43" max="43" width="6.625" style="225" hidden="1" customWidth="1"/>
    <col min="44" max="45" width="7.875" style="225" hidden="1" customWidth="1"/>
    <col min="46" max="46" width="9.25390625" style="225" hidden="1" customWidth="1"/>
    <col min="47" max="49" width="7.75390625" style="225" hidden="1" customWidth="1"/>
    <col min="50" max="50" width="6.875" style="225" hidden="1" customWidth="1"/>
    <col min="51" max="52" width="8.25390625" style="225" hidden="1" customWidth="1"/>
    <col min="53" max="53" width="6.875" style="225" hidden="1" customWidth="1"/>
    <col min="54" max="54" width="6.00390625" style="225" hidden="1" customWidth="1"/>
    <col min="55" max="55" width="7.125" style="225" hidden="1" customWidth="1"/>
    <col min="56" max="57" width="0" style="225" hidden="1" customWidth="1"/>
    <col min="58" max="16384" width="9.125" style="225" customWidth="1"/>
  </cols>
  <sheetData>
    <row r="1" spans="1:11" s="222" customFormat="1" ht="15.75">
      <c r="A1" s="137" t="s">
        <v>483</v>
      </c>
      <c r="G1" s="223"/>
      <c r="H1" s="223"/>
      <c r="I1" s="223"/>
      <c r="J1" s="223"/>
      <c r="K1" s="224"/>
    </row>
    <row r="2" spans="1:11" s="222" customFormat="1" ht="15.75">
      <c r="A2" s="137"/>
      <c r="G2" s="223"/>
      <c r="H2" s="223"/>
      <c r="I2" s="223"/>
      <c r="J2" s="223"/>
      <c r="K2" s="224"/>
    </row>
    <row r="3" spans="29:50" ht="12" thickBot="1">
      <c r="AC3" s="1359" t="s">
        <v>249</v>
      </c>
      <c r="AF3" s="1359" t="s">
        <v>250</v>
      </c>
      <c r="AT3" s="225" t="s">
        <v>506</v>
      </c>
      <c r="AX3" s="225" t="s">
        <v>507</v>
      </c>
    </row>
    <row r="4" spans="4:6" ht="12" hidden="1" thickBot="1">
      <c r="D4" s="226">
        <v>1</v>
      </c>
      <c r="E4" s="227">
        <v>1</v>
      </c>
      <c r="F4" s="1283"/>
    </row>
    <row r="5" spans="1:54" s="230" customFormat="1" ht="12" customHeight="1">
      <c r="A5" s="395"/>
      <c r="B5" s="396" t="s">
        <v>347</v>
      </c>
      <c r="C5" s="396" t="s">
        <v>31</v>
      </c>
      <c r="D5" s="427"/>
      <c r="E5" s="396" t="s">
        <v>100</v>
      </c>
      <c r="F5" s="396" t="s">
        <v>100</v>
      </c>
      <c r="G5" s="396" t="s">
        <v>100</v>
      </c>
      <c r="H5" s="396" t="s">
        <v>32</v>
      </c>
      <c r="I5" s="396" t="s">
        <v>32</v>
      </c>
      <c r="J5" s="396" t="s">
        <v>33</v>
      </c>
      <c r="K5" s="396"/>
      <c r="L5" s="396" t="s">
        <v>32</v>
      </c>
      <c r="M5" s="396" t="s">
        <v>33</v>
      </c>
      <c r="N5" s="1315" t="s">
        <v>294</v>
      </c>
      <c r="O5" s="422" t="s">
        <v>349</v>
      </c>
      <c r="P5" s="229"/>
      <c r="Q5" s="428"/>
      <c r="R5" s="228"/>
      <c r="S5" s="435"/>
      <c r="U5" s="405" t="s">
        <v>141</v>
      </c>
      <c r="V5" s="404" t="s">
        <v>143</v>
      </c>
      <c r="W5" s="404" t="s">
        <v>141</v>
      </c>
      <c r="X5" s="404" t="s">
        <v>145</v>
      </c>
      <c r="Y5" s="404" t="s">
        <v>147</v>
      </c>
      <c r="Z5" s="404" t="s">
        <v>141</v>
      </c>
      <c r="AA5" s="404" t="s">
        <v>143</v>
      </c>
      <c r="AB5" s="404" t="s">
        <v>141</v>
      </c>
      <c r="AC5" s="404" t="s">
        <v>146</v>
      </c>
      <c r="AD5" s="404" t="s">
        <v>147</v>
      </c>
      <c r="AE5" s="404" t="s">
        <v>114</v>
      </c>
      <c r="AF5" s="404" t="s">
        <v>146</v>
      </c>
      <c r="AG5" s="404" t="s">
        <v>147</v>
      </c>
      <c r="AH5" s="404" t="s">
        <v>154</v>
      </c>
      <c r="AI5" s="404" t="s">
        <v>146</v>
      </c>
      <c r="AJ5" s="404" t="s">
        <v>147</v>
      </c>
      <c r="AK5" s="404" t="s">
        <v>141</v>
      </c>
      <c r="AL5" s="404" t="s">
        <v>146</v>
      </c>
      <c r="AM5" s="404" t="s">
        <v>147</v>
      </c>
      <c r="AN5" s="404" t="s">
        <v>141</v>
      </c>
      <c r="AO5" s="404" t="s">
        <v>146</v>
      </c>
      <c r="AP5" s="480" t="s">
        <v>147</v>
      </c>
      <c r="AQ5" s="463" t="s">
        <v>141</v>
      </c>
      <c r="AR5" s="404" t="s">
        <v>146</v>
      </c>
      <c r="AS5" s="404" t="s">
        <v>147</v>
      </c>
      <c r="AT5" s="463" t="s">
        <v>141</v>
      </c>
      <c r="AU5" s="404" t="s">
        <v>146</v>
      </c>
      <c r="AV5" s="404" t="s">
        <v>147</v>
      </c>
      <c r="AW5" s="1296" t="s">
        <v>261</v>
      </c>
      <c r="AX5" s="404" t="s">
        <v>141</v>
      </c>
      <c r="AY5" s="463" t="s">
        <v>146</v>
      </c>
      <c r="AZ5" s="1296" t="s">
        <v>147</v>
      </c>
      <c r="BA5" s="1416" t="s">
        <v>498</v>
      </c>
      <c r="BB5" s="1294"/>
    </row>
    <row r="6" spans="1:54" s="230" customFormat="1" ht="12" customHeight="1">
      <c r="A6" s="368" t="s">
        <v>8</v>
      </c>
      <c r="B6" s="377" t="s">
        <v>37</v>
      </c>
      <c r="C6" s="377" t="s">
        <v>34</v>
      </c>
      <c r="D6" s="377" t="s">
        <v>35</v>
      </c>
      <c r="E6" s="377" t="s">
        <v>245</v>
      </c>
      <c r="F6" s="377" t="s">
        <v>121</v>
      </c>
      <c r="G6" s="377" t="s">
        <v>116</v>
      </c>
      <c r="H6" s="377" t="s">
        <v>113</v>
      </c>
      <c r="I6" s="377" t="s">
        <v>101</v>
      </c>
      <c r="J6" s="377" t="s">
        <v>36</v>
      </c>
      <c r="K6" s="377" t="s">
        <v>503</v>
      </c>
      <c r="L6" s="377" t="s">
        <v>487</v>
      </c>
      <c r="M6" s="377" t="s">
        <v>486</v>
      </c>
      <c r="N6" s="1316" t="s">
        <v>19</v>
      </c>
      <c r="O6" s="385" t="s">
        <v>293</v>
      </c>
      <c r="P6" s="229"/>
      <c r="Q6" s="429" t="s">
        <v>262</v>
      </c>
      <c r="R6" s="231">
        <v>2009</v>
      </c>
      <c r="S6" s="436">
        <v>2010</v>
      </c>
      <c r="U6" s="407" t="s">
        <v>144</v>
      </c>
      <c r="V6" s="383" t="s">
        <v>142</v>
      </c>
      <c r="W6" s="383" t="s">
        <v>19</v>
      </c>
      <c r="X6" s="383" t="s">
        <v>19</v>
      </c>
      <c r="Y6" s="383" t="s">
        <v>19</v>
      </c>
      <c r="Z6" s="383" t="s">
        <v>144</v>
      </c>
      <c r="AA6" s="383" t="s">
        <v>142</v>
      </c>
      <c r="AB6" s="383" t="s">
        <v>19</v>
      </c>
      <c r="AC6" s="383" t="s">
        <v>19</v>
      </c>
      <c r="AD6" s="383" t="s">
        <v>19</v>
      </c>
      <c r="AE6" s="383" t="s">
        <v>19</v>
      </c>
      <c r="AF6" s="383" t="s">
        <v>19</v>
      </c>
      <c r="AG6" s="383" t="s">
        <v>19</v>
      </c>
      <c r="AH6" s="383" t="s">
        <v>19</v>
      </c>
      <c r="AI6" s="383" t="s">
        <v>19</v>
      </c>
      <c r="AJ6" s="383" t="s">
        <v>19</v>
      </c>
      <c r="AK6" s="383" t="s">
        <v>19</v>
      </c>
      <c r="AL6" s="383" t="s">
        <v>19</v>
      </c>
      <c r="AM6" s="383" t="s">
        <v>19</v>
      </c>
      <c r="AN6" s="383" t="s">
        <v>19</v>
      </c>
      <c r="AO6" s="383" t="s">
        <v>19</v>
      </c>
      <c r="AP6" s="246" t="s">
        <v>19</v>
      </c>
      <c r="AQ6" s="384" t="s">
        <v>19</v>
      </c>
      <c r="AR6" s="383" t="s">
        <v>19</v>
      </c>
      <c r="AS6" s="383" t="s">
        <v>19</v>
      </c>
      <c r="AT6" s="384" t="s">
        <v>19</v>
      </c>
      <c r="AU6" s="383" t="s">
        <v>19</v>
      </c>
      <c r="AV6" s="383" t="s">
        <v>19</v>
      </c>
      <c r="AW6" s="1297">
        <v>2009</v>
      </c>
      <c r="AX6" s="383" t="s">
        <v>19</v>
      </c>
      <c r="AY6" s="384" t="s">
        <v>19</v>
      </c>
      <c r="AZ6" s="1297" t="s">
        <v>19</v>
      </c>
      <c r="BA6" s="1417"/>
      <c r="BB6" s="1295"/>
    </row>
    <row r="7" spans="1:52" s="230" customFormat="1" ht="12" customHeight="1" thickBot="1">
      <c r="A7" s="414"/>
      <c r="B7" s="378" t="s">
        <v>348</v>
      </c>
      <c r="C7" s="378" t="s">
        <v>485</v>
      </c>
      <c r="D7" s="378"/>
      <c r="E7" s="378">
        <v>2009</v>
      </c>
      <c r="F7" s="378">
        <v>2009</v>
      </c>
      <c r="G7" s="378">
        <v>2009</v>
      </c>
      <c r="H7" s="378" t="s">
        <v>18</v>
      </c>
      <c r="I7" s="378" t="s">
        <v>102</v>
      </c>
      <c r="J7" s="378" t="s">
        <v>39</v>
      </c>
      <c r="K7" s="378" t="s">
        <v>504</v>
      </c>
      <c r="L7" s="378" t="s">
        <v>502</v>
      </c>
      <c r="M7" s="378"/>
      <c r="N7" s="1322"/>
      <c r="O7" s="410">
        <v>2009</v>
      </c>
      <c r="P7" s="232"/>
      <c r="Q7" s="430"/>
      <c r="R7" s="441"/>
      <c r="S7" s="437"/>
      <c r="U7" s="489">
        <v>2002</v>
      </c>
      <c r="V7" s="386">
        <v>2002</v>
      </c>
      <c r="W7" s="386">
        <v>2002</v>
      </c>
      <c r="X7" s="386">
        <v>2002</v>
      </c>
      <c r="Y7" s="386">
        <v>2002</v>
      </c>
      <c r="Z7" s="406">
        <v>2003</v>
      </c>
      <c r="AA7" s="386">
        <v>2003</v>
      </c>
      <c r="AB7" s="386">
        <v>2003</v>
      </c>
      <c r="AC7" s="386">
        <v>2003</v>
      </c>
      <c r="AD7" s="386">
        <v>2003</v>
      </c>
      <c r="AE7" s="386">
        <v>2004</v>
      </c>
      <c r="AF7" s="386">
        <v>2004</v>
      </c>
      <c r="AG7" s="386">
        <v>2004</v>
      </c>
      <c r="AH7" s="386">
        <v>2005</v>
      </c>
      <c r="AI7" s="386">
        <v>2005</v>
      </c>
      <c r="AJ7" s="386">
        <v>2005</v>
      </c>
      <c r="AK7" s="386">
        <v>2006</v>
      </c>
      <c r="AL7" s="386">
        <v>2006</v>
      </c>
      <c r="AM7" s="386">
        <v>2006</v>
      </c>
      <c r="AN7" s="386">
        <v>2007</v>
      </c>
      <c r="AO7" s="386">
        <v>2007</v>
      </c>
      <c r="AP7" s="481">
        <v>2007</v>
      </c>
      <c r="AQ7" s="409">
        <v>2008</v>
      </c>
      <c r="AR7" s="386">
        <v>2008</v>
      </c>
      <c r="AS7" s="386">
        <v>2008</v>
      </c>
      <c r="AT7" s="409">
        <v>2009</v>
      </c>
      <c r="AU7" s="386">
        <v>2009</v>
      </c>
      <c r="AV7" s="386">
        <v>2009</v>
      </c>
      <c r="AW7" s="1298" t="s">
        <v>508</v>
      </c>
      <c r="AX7" s="386">
        <v>2010</v>
      </c>
      <c r="AY7" s="386">
        <v>2010</v>
      </c>
      <c r="AZ7" s="1298">
        <v>2010</v>
      </c>
    </row>
    <row r="8" spans="1:57" ht="12.75" customHeight="1">
      <c r="A8" s="368" t="s">
        <v>9</v>
      </c>
      <c r="B8" s="369">
        <v>3546</v>
      </c>
      <c r="C8" s="490">
        <v>555.64</v>
      </c>
      <c r="D8" s="369">
        <v>37623</v>
      </c>
      <c r="E8" s="369">
        <f>SUM(G8+F8)</f>
        <v>47323.781189999994</v>
      </c>
      <c r="F8" s="369">
        <v>33746.71945</v>
      </c>
      <c r="G8" s="369">
        <v>13577.06174</v>
      </c>
      <c r="H8" s="493">
        <f>D8/$D$17*100</f>
        <v>20.522009491081654</v>
      </c>
      <c r="I8" s="493">
        <f>E8/$E$17*100</f>
        <v>23.678371937626366</v>
      </c>
      <c r="J8" s="367">
        <f>'str1-3'!H22</f>
        <v>355111</v>
      </c>
      <c r="K8" s="367">
        <v>15002</v>
      </c>
      <c r="L8" s="493">
        <f>K8/$K$17*100</f>
        <v>19.184143222506396</v>
      </c>
      <c r="M8" s="367">
        <f>'str1-3'!F37</f>
        <v>28334</v>
      </c>
      <c r="N8" s="1401">
        <f>J8+M8</f>
        <v>383445</v>
      </c>
      <c r="O8" s="234">
        <v>647577</v>
      </c>
      <c r="P8" s="235"/>
      <c r="Q8" s="1287" t="s">
        <v>493</v>
      </c>
      <c r="R8" s="233">
        <v>99000</v>
      </c>
      <c r="S8" s="403">
        <f>'příl1-přísp1-MV'!N7</f>
        <v>120000</v>
      </c>
      <c r="U8" s="242">
        <v>30466.138868032474</v>
      </c>
      <c r="V8" s="233">
        <v>25993.488893479596</v>
      </c>
      <c r="W8" s="233">
        <f>U8+V8</f>
        <v>56459.62776151207</v>
      </c>
      <c r="X8" s="233">
        <v>182416.06541417688</v>
      </c>
      <c r="Y8" s="233">
        <f>X8-W8</f>
        <v>125956.43765266481</v>
      </c>
      <c r="Z8" s="233">
        <v>33752.226374240934</v>
      </c>
      <c r="AA8" s="233">
        <v>29843.98504703223</v>
      </c>
      <c r="AB8" s="233">
        <f>Z8+AA8</f>
        <v>63596.21142127317</v>
      </c>
      <c r="AC8" s="233">
        <v>210434.50101597793</v>
      </c>
      <c r="AD8" s="387">
        <f>AC8-AB8</f>
        <v>146838.28959470475</v>
      </c>
      <c r="AE8" s="233">
        <v>49017.62782983937</v>
      </c>
      <c r="AF8" s="233">
        <v>260502.95018376264</v>
      </c>
      <c r="AG8" s="387">
        <v>193123</v>
      </c>
      <c r="AH8" s="233">
        <v>86995</v>
      </c>
      <c r="AI8" s="233">
        <v>297360</v>
      </c>
      <c r="AJ8" s="387">
        <v>210365</v>
      </c>
      <c r="AK8" s="233">
        <v>92351</v>
      </c>
      <c r="AL8" s="233">
        <v>332457</v>
      </c>
      <c r="AM8" s="387">
        <v>240106</v>
      </c>
      <c r="AN8" s="233">
        <v>103018</v>
      </c>
      <c r="AO8" s="233">
        <v>373795.97243865277</v>
      </c>
      <c r="AP8" s="233">
        <f>AO8-AN8</f>
        <v>270777.97243865277</v>
      </c>
      <c r="AQ8" s="488">
        <f>AR8-AS8</f>
        <v>110398</v>
      </c>
      <c r="AR8" s="488">
        <v>385629</v>
      </c>
      <c r="AS8" s="233">
        <v>275231</v>
      </c>
      <c r="AT8" s="488">
        <f>AU8-AV8</f>
        <v>111108</v>
      </c>
      <c r="AU8" s="488">
        <v>394182</v>
      </c>
      <c r="AV8" s="233">
        <v>283074</v>
      </c>
      <c r="AW8" s="1284">
        <f>AV8+15568</f>
        <v>298642</v>
      </c>
      <c r="AX8" s="488">
        <f>G29</f>
        <v>117335.34739903525</v>
      </c>
      <c r="AY8" s="482">
        <f>N8</f>
        <v>383445</v>
      </c>
      <c r="AZ8" s="1302">
        <f>AY8-AX8</f>
        <v>266109.65260096476</v>
      </c>
      <c r="BA8" s="1312">
        <f>AZ8/AW8</f>
        <v>0.8910657328874196</v>
      </c>
      <c r="BB8" s="1312">
        <f>1-BA8</f>
        <v>0.10893426711258036</v>
      </c>
      <c r="BC8" s="245">
        <f>AZ8-AW8</f>
        <v>-32532.347399035236</v>
      </c>
      <c r="BD8" s="478">
        <v>-28859.347399035236</v>
      </c>
      <c r="BE8" s="478">
        <f>BC8-BD8</f>
        <v>-3673</v>
      </c>
    </row>
    <row r="9" spans="1:57" ht="12.75" customHeight="1">
      <c r="A9" s="375" t="s">
        <v>10</v>
      </c>
      <c r="B9" s="376">
        <v>9510</v>
      </c>
      <c r="C9" s="491">
        <v>413.83</v>
      </c>
      <c r="D9" s="376">
        <v>20094</v>
      </c>
      <c r="E9" s="376">
        <f aca="true" t="shared" si="0" ref="E9:E16">SUM(G9+F9)</f>
        <v>7110.129449999999</v>
      </c>
      <c r="F9" s="376">
        <v>4243.1648</v>
      </c>
      <c r="G9" s="376">
        <v>2866.96465</v>
      </c>
      <c r="H9" s="494">
        <f aca="true" t="shared" si="1" ref="H9:H16">D9/$D$17*100</f>
        <v>10.960562919325806</v>
      </c>
      <c r="I9" s="494">
        <f aca="true" t="shared" si="2" ref="I9:I16">E9/$E$17*100</f>
        <v>3.557540953159217</v>
      </c>
      <c r="J9" s="376">
        <f>'str1-3'!H23</f>
        <v>337185</v>
      </c>
      <c r="K9" s="376">
        <v>10176</v>
      </c>
      <c r="L9" s="494">
        <f aca="true" t="shared" si="3" ref="L9:L16">K9/$K$17*100</f>
        <v>13.012787723785166</v>
      </c>
      <c r="M9" s="376">
        <f>'str1-3'!F38</f>
        <v>19219</v>
      </c>
      <c r="N9" s="1319">
        <f aca="true" t="shared" si="4" ref="N9:N19">J9+M9</f>
        <v>356404</v>
      </c>
      <c r="O9" s="239">
        <v>414756</v>
      </c>
      <c r="P9" s="235"/>
      <c r="Q9" s="1288" t="s">
        <v>494</v>
      </c>
      <c r="R9" s="238">
        <v>28990</v>
      </c>
      <c r="S9" s="402">
        <f>'příl1-přísp1-MV'!N25</f>
        <v>68241</v>
      </c>
      <c r="U9" s="240">
        <v>24384.466507721078</v>
      </c>
      <c r="V9" s="238">
        <v>13971.768310068723</v>
      </c>
      <c r="W9" s="238">
        <f aca="true" t="shared" si="5" ref="W9:W16">U9+V9</f>
        <v>38356.2348177898</v>
      </c>
      <c r="X9" s="238">
        <v>115546.304323639</v>
      </c>
      <c r="Y9" s="238">
        <f aca="true" t="shared" si="6" ref="Y9:Y17">X9-W9</f>
        <v>77190.06950584918</v>
      </c>
      <c r="Z9" s="238">
        <v>28642.953232499814</v>
      </c>
      <c r="AA9" s="238">
        <v>20667.2700275198</v>
      </c>
      <c r="AB9" s="238">
        <f aca="true" t="shared" si="7" ref="AB9:AB16">Z9+AA9</f>
        <v>49310.223260019615</v>
      </c>
      <c r="AC9" s="238">
        <v>146623.95218527017</v>
      </c>
      <c r="AD9" s="238">
        <f aca="true" t="shared" si="8" ref="AD9:AD17">AC9-AB9</f>
        <v>97313.72892525056</v>
      </c>
      <c r="AE9" s="238">
        <v>39429.65042101713</v>
      </c>
      <c r="AF9" s="238">
        <v>202433.91341668885</v>
      </c>
      <c r="AG9" s="238">
        <v>148735.646197214</v>
      </c>
      <c r="AH9" s="238">
        <v>67705</v>
      </c>
      <c r="AI9" s="238">
        <v>233462</v>
      </c>
      <c r="AJ9" s="238">
        <v>165757</v>
      </c>
      <c r="AK9" s="238">
        <v>79160</v>
      </c>
      <c r="AL9" s="238">
        <v>282980</v>
      </c>
      <c r="AM9" s="238">
        <v>203820</v>
      </c>
      <c r="AN9" s="238">
        <v>88789</v>
      </c>
      <c r="AO9" s="238">
        <v>312204.1474498282</v>
      </c>
      <c r="AP9" s="238">
        <f aca="true" t="shared" si="9" ref="AP9:AP16">AO9-AN9</f>
        <v>223415.14744982822</v>
      </c>
      <c r="AQ9" s="238">
        <f aca="true" t="shared" si="10" ref="AQ9:AQ16">AR9-AS9</f>
        <v>86531</v>
      </c>
      <c r="AR9" s="238">
        <v>335720</v>
      </c>
      <c r="AS9" s="238">
        <v>249189</v>
      </c>
      <c r="AT9" s="238">
        <f aca="true" t="shared" si="11" ref="AT9:AT16">AU9-AV9</f>
        <v>90127</v>
      </c>
      <c r="AU9" s="238">
        <v>354111</v>
      </c>
      <c r="AV9" s="238">
        <v>263984</v>
      </c>
      <c r="AW9" s="1285">
        <f>AV9+2832</f>
        <v>266816</v>
      </c>
      <c r="AX9" s="238">
        <f aca="true" t="shared" si="12" ref="AX9:AX16">G30</f>
        <v>89579.5646452066</v>
      </c>
      <c r="AY9" s="483">
        <f aca="true" t="shared" si="13" ref="AY9:AY16">N9</f>
        <v>356404</v>
      </c>
      <c r="AZ9" s="1285">
        <f aca="true" t="shared" si="14" ref="AZ9:AZ17">AY9-AX9</f>
        <v>266824.4353547934</v>
      </c>
      <c r="BA9" s="1312">
        <f aca="true" t="shared" si="15" ref="BA9:BA16">AZ9/AW9</f>
        <v>1.0000316148761446</v>
      </c>
      <c r="BB9" s="1312">
        <f aca="true" t="shared" si="16" ref="BB9:BB17">1-BA9</f>
        <v>-3.1614876144558934E-05</v>
      </c>
      <c r="BC9" s="245">
        <f aca="true" t="shared" si="17" ref="BC9:BC17">AZ9-AW9</f>
        <v>8.435354793386068</v>
      </c>
      <c r="BD9" s="478">
        <v>-7044.564645206614</v>
      </c>
      <c r="BE9" s="245">
        <f aca="true" t="shared" si="18" ref="BE9:BE17">BC9-BD9</f>
        <v>7053</v>
      </c>
    </row>
    <row r="10" spans="1:57" ht="12.75" customHeight="1">
      <c r="A10" s="375" t="s">
        <v>11</v>
      </c>
      <c r="B10" s="376">
        <v>3977</v>
      </c>
      <c r="C10" s="491">
        <v>142.23</v>
      </c>
      <c r="D10" s="376">
        <v>13400</v>
      </c>
      <c r="E10" s="376">
        <f t="shared" si="0"/>
        <v>2830.4896</v>
      </c>
      <c r="F10" s="376">
        <v>1430.0265</v>
      </c>
      <c r="G10" s="376">
        <v>1400.4631</v>
      </c>
      <c r="H10" s="494">
        <f t="shared" si="1"/>
        <v>7.309223804069164</v>
      </c>
      <c r="I10" s="494">
        <f t="shared" si="2"/>
        <v>1.4162305679949683</v>
      </c>
      <c r="J10" s="376">
        <f>'str1-3'!H24</f>
        <v>126435</v>
      </c>
      <c r="K10" s="376">
        <v>2090</v>
      </c>
      <c r="L10" s="494">
        <f t="shared" si="3"/>
        <v>2.672634271099744</v>
      </c>
      <c r="M10" s="376">
        <f>'str1-3'!F39</f>
        <v>3947</v>
      </c>
      <c r="N10" s="1319">
        <f t="shared" si="4"/>
        <v>130382</v>
      </c>
      <c r="O10" s="239">
        <v>140359</v>
      </c>
      <c r="P10" s="235"/>
      <c r="Q10" s="1288" t="s">
        <v>495</v>
      </c>
      <c r="R10" s="238">
        <v>16143</v>
      </c>
      <c r="S10" s="402">
        <f>'příl1-přísp1-MV'!N13</f>
        <v>12812</v>
      </c>
      <c r="U10" s="240">
        <v>16620.13216399868</v>
      </c>
      <c r="V10" s="238">
        <v>11254.824496329738</v>
      </c>
      <c r="W10" s="238">
        <f t="shared" si="5"/>
        <v>27874.95666032842</v>
      </c>
      <c r="X10" s="238">
        <v>66471.25428881726</v>
      </c>
      <c r="Y10" s="238">
        <f t="shared" si="6"/>
        <v>38596.29762848884</v>
      </c>
      <c r="Z10" s="238">
        <v>18215.695394173552</v>
      </c>
      <c r="AA10" s="238">
        <v>15672.63979551748</v>
      </c>
      <c r="AB10" s="238">
        <f t="shared" si="7"/>
        <v>33888.33518969103</v>
      </c>
      <c r="AC10" s="238">
        <v>77249.99712111002</v>
      </c>
      <c r="AD10" s="238">
        <f t="shared" si="8"/>
        <v>43361.66193141899</v>
      </c>
      <c r="AE10" s="238">
        <v>25670.531407292696</v>
      </c>
      <c r="AF10" s="238">
        <v>94599.74642888148</v>
      </c>
      <c r="AG10" s="238">
        <v>62261.322729023435</v>
      </c>
      <c r="AH10" s="238">
        <v>34429</v>
      </c>
      <c r="AI10" s="238">
        <v>105262</v>
      </c>
      <c r="AJ10" s="238">
        <v>70833</v>
      </c>
      <c r="AK10" s="238">
        <v>36740</v>
      </c>
      <c r="AL10" s="238">
        <v>120537</v>
      </c>
      <c r="AM10" s="238">
        <v>83797</v>
      </c>
      <c r="AN10" s="238">
        <v>38572</v>
      </c>
      <c r="AO10" s="238">
        <v>120595.32348249879</v>
      </c>
      <c r="AP10" s="238">
        <f t="shared" si="9"/>
        <v>82023.32348249879</v>
      </c>
      <c r="AQ10" s="238">
        <f t="shared" si="10"/>
        <v>37850</v>
      </c>
      <c r="AR10" s="238">
        <v>121988</v>
      </c>
      <c r="AS10" s="238">
        <v>84138</v>
      </c>
      <c r="AT10" s="238">
        <f t="shared" si="11"/>
        <v>39008</v>
      </c>
      <c r="AU10" s="238">
        <v>123580</v>
      </c>
      <c r="AV10" s="238">
        <v>84572</v>
      </c>
      <c r="AW10" s="1285">
        <f>1399+AV10</f>
        <v>85971</v>
      </c>
      <c r="AX10" s="238">
        <f t="shared" si="12"/>
        <v>37709.26106595986</v>
      </c>
      <c r="AY10" s="483">
        <f t="shared" si="13"/>
        <v>130382</v>
      </c>
      <c r="AZ10" s="1285">
        <f t="shared" si="14"/>
        <v>92672.73893404014</v>
      </c>
      <c r="BA10" s="1312">
        <f t="shared" si="15"/>
        <v>1.0779534835472444</v>
      </c>
      <c r="BB10" s="1312">
        <f t="shared" si="16"/>
        <v>-0.0779534835472444</v>
      </c>
      <c r="BC10" s="245">
        <f t="shared" si="17"/>
        <v>6701.738934040142</v>
      </c>
      <c r="BD10" s="478">
        <v>7373.738934040142</v>
      </c>
      <c r="BE10" s="245">
        <f t="shared" si="18"/>
        <v>-672</v>
      </c>
    </row>
    <row r="11" spans="1:57" ht="12.75" customHeight="1">
      <c r="A11" s="375" t="s">
        <v>12</v>
      </c>
      <c r="B11" s="376">
        <v>4131</v>
      </c>
      <c r="C11" s="491">
        <v>199.29</v>
      </c>
      <c r="D11" s="376">
        <v>12934</v>
      </c>
      <c r="E11" s="376">
        <f t="shared" si="0"/>
        <v>6900.34583</v>
      </c>
      <c r="F11" s="376">
        <v>5385.7644</v>
      </c>
      <c r="G11" s="376">
        <v>1514.58143</v>
      </c>
      <c r="H11" s="494">
        <f t="shared" si="1"/>
        <v>7.055037364315715</v>
      </c>
      <c r="I11" s="494">
        <f t="shared" si="2"/>
        <v>3.4525760823083793</v>
      </c>
      <c r="J11" s="376">
        <f>'str1-3'!H25</f>
        <v>140278</v>
      </c>
      <c r="K11" s="376">
        <v>5475</v>
      </c>
      <c r="L11" s="494">
        <f t="shared" si="3"/>
        <v>7.001278772378516</v>
      </c>
      <c r="M11" s="376">
        <f>'str1-3'!F40</f>
        <v>10340</v>
      </c>
      <c r="N11" s="1319">
        <f t="shared" si="4"/>
        <v>150618</v>
      </c>
      <c r="O11" s="239">
        <v>201474</v>
      </c>
      <c r="P11" s="235"/>
      <c r="Q11" s="432" t="s">
        <v>496</v>
      </c>
      <c r="R11" s="238">
        <v>142636</v>
      </c>
      <c r="S11" s="402">
        <f>'příl2-přísp2'!N7-'příl2-přísp2'!N125</f>
        <v>148879</v>
      </c>
      <c r="U11" s="240">
        <v>8920.814511917933</v>
      </c>
      <c r="V11" s="238">
        <v>4806.820542686555</v>
      </c>
      <c r="W11" s="238">
        <f t="shared" si="5"/>
        <v>13727.635054604489</v>
      </c>
      <c r="X11" s="238">
        <v>55775.41107024762</v>
      </c>
      <c r="Y11" s="238">
        <f t="shared" si="6"/>
        <v>42047.77601564313</v>
      </c>
      <c r="Z11" s="238">
        <v>10580.122370113882</v>
      </c>
      <c r="AA11" s="238">
        <v>6806.154245980332</v>
      </c>
      <c r="AB11" s="238">
        <f t="shared" si="7"/>
        <v>17386.276616094216</v>
      </c>
      <c r="AC11" s="238">
        <v>56507.99155334817</v>
      </c>
      <c r="AD11" s="238">
        <f t="shared" si="8"/>
        <v>39121.71493725396</v>
      </c>
      <c r="AE11" s="238">
        <v>13614.929431360433</v>
      </c>
      <c r="AF11" s="238">
        <v>72886.95670118563</v>
      </c>
      <c r="AG11" s="238">
        <v>54134.567655366845</v>
      </c>
      <c r="AH11" s="238">
        <v>28191</v>
      </c>
      <c r="AI11" s="238">
        <v>96439</v>
      </c>
      <c r="AJ11" s="238">
        <v>68248</v>
      </c>
      <c r="AK11" s="238">
        <v>40271</v>
      </c>
      <c r="AL11" s="238">
        <v>123564</v>
      </c>
      <c r="AM11" s="238">
        <v>83293</v>
      </c>
      <c r="AN11" s="238">
        <v>44677</v>
      </c>
      <c r="AO11" s="238">
        <v>139934.9563040681</v>
      </c>
      <c r="AP11" s="238">
        <f t="shared" si="9"/>
        <v>95257.9563040681</v>
      </c>
      <c r="AQ11" s="238">
        <f t="shared" si="10"/>
        <v>43028</v>
      </c>
      <c r="AR11" s="238">
        <v>145772</v>
      </c>
      <c r="AS11" s="238">
        <v>102744</v>
      </c>
      <c r="AT11" s="238">
        <f t="shared" si="11"/>
        <v>43660</v>
      </c>
      <c r="AU11" s="238">
        <v>150278</v>
      </c>
      <c r="AV11" s="238">
        <v>106618</v>
      </c>
      <c r="AW11" s="1285">
        <f>1594+AV11</f>
        <v>108212</v>
      </c>
      <c r="AX11" s="238">
        <f t="shared" si="12"/>
        <v>45198.20709331796</v>
      </c>
      <c r="AY11" s="483">
        <f t="shared" si="13"/>
        <v>150618</v>
      </c>
      <c r="AZ11" s="1285">
        <f t="shared" si="14"/>
        <v>105419.79290668204</v>
      </c>
      <c r="BA11" s="1312">
        <f t="shared" si="15"/>
        <v>0.9741968811839911</v>
      </c>
      <c r="BB11" s="1312">
        <f t="shared" si="16"/>
        <v>0.02580311881600894</v>
      </c>
      <c r="BC11" s="245">
        <f t="shared" si="17"/>
        <v>-2792.207093317964</v>
      </c>
      <c r="BD11" s="478">
        <v>-5803.207093317964</v>
      </c>
      <c r="BE11" s="245">
        <f t="shared" si="18"/>
        <v>3011</v>
      </c>
    </row>
    <row r="12" spans="1:57" ht="12.75" customHeight="1">
      <c r="A12" s="375" t="s">
        <v>13</v>
      </c>
      <c r="B12" s="376">
        <v>3596</v>
      </c>
      <c r="C12" s="491">
        <v>668.25</v>
      </c>
      <c r="D12" s="376">
        <v>49728</v>
      </c>
      <c r="E12" s="376">
        <f t="shared" si="0"/>
        <v>101976.20449</v>
      </c>
      <c r="F12" s="376">
        <v>83081.98925</v>
      </c>
      <c r="G12" s="376">
        <v>18894.21524</v>
      </c>
      <c r="H12" s="494">
        <f t="shared" si="1"/>
        <v>27.124856815578465</v>
      </c>
      <c r="I12" s="494">
        <f t="shared" si="2"/>
        <v>51.023617259305155</v>
      </c>
      <c r="J12" s="376">
        <f>'str1-3'!H26</f>
        <v>295816</v>
      </c>
      <c r="K12" s="376">
        <v>35045</v>
      </c>
      <c r="L12" s="494">
        <f t="shared" si="3"/>
        <v>44.81457800511509</v>
      </c>
      <c r="M12" s="376">
        <f>'str1-3'!F41</f>
        <v>66187</v>
      </c>
      <c r="N12" s="1319">
        <f t="shared" si="4"/>
        <v>362003</v>
      </c>
      <c r="O12" s="239">
        <v>770744</v>
      </c>
      <c r="P12" s="235"/>
      <c r="Q12" s="432" t="s">
        <v>56</v>
      </c>
      <c r="R12" s="238">
        <v>16000</v>
      </c>
      <c r="S12" s="402">
        <f>'příl2-přísp2'!N125</f>
        <v>16000</v>
      </c>
      <c r="U12" s="240">
        <v>30124.11003790563</v>
      </c>
      <c r="V12" s="238">
        <v>41104.42494919906</v>
      </c>
      <c r="W12" s="238">
        <f t="shared" si="5"/>
        <v>71228.5349871047</v>
      </c>
      <c r="X12" s="238">
        <v>219282.83560015395</v>
      </c>
      <c r="Y12" s="238">
        <f t="shared" si="6"/>
        <v>148054.30061304924</v>
      </c>
      <c r="Z12" s="238">
        <v>34814.67684000304</v>
      </c>
      <c r="AA12" s="238">
        <v>33908.17785771076</v>
      </c>
      <c r="AB12" s="238">
        <f t="shared" si="7"/>
        <v>68722.8546977138</v>
      </c>
      <c r="AC12" s="238">
        <v>230417.99504949283</v>
      </c>
      <c r="AD12" s="238">
        <f t="shared" si="8"/>
        <v>161695.14035177903</v>
      </c>
      <c r="AE12" s="238">
        <v>57223.98915803962</v>
      </c>
      <c r="AF12" s="238">
        <v>246618.74843878503</v>
      </c>
      <c r="AG12" s="238">
        <v>172011.76076337264</v>
      </c>
      <c r="AH12" s="238">
        <v>83198</v>
      </c>
      <c r="AI12" s="238">
        <v>258544</v>
      </c>
      <c r="AJ12" s="238">
        <v>175346</v>
      </c>
      <c r="AK12" s="238">
        <v>102801</v>
      </c>
      <c r="AL12" s="238">
        <v>299885</v>
      </c>
      <c r="AM12" s="238">
        <v>197084</v>
      </c>
      <c r="AN12" s="238">
        <v>109883</v>
      </c>
      <c r="AO12" s="238">
        <v>308859.0899060897</v>
      </c>
      <c r="AP12" s="238">
        <f t="shared" si="9"/>
        <v>198976.0899060897</v>
      </c>
      <c r="AQ12" s="238">
        <f t="shared" si="10"/>
        <v>123077</v>
      </c>
      <c r="AR12" s="238">
        <v>323518</v>
      </c>
      <c r="AS12" s="238">
        <v>200441</v>
      </c>
      <c r="AT12" s="238">
        <f t="shared" si="11"/>
        <v>132648</v>
      </c>
      <c r="AU12" s="238">
        <v>337282</v>
      </c>
      <c r="AV12" s="238">
        <v>204634</v>
      </c>
      <c r="AW12" s="1285">
        <f>18006+AV12</f>
        <v>222640</v>
      </c>
      <c r="AX12" s="238">
        <f t="shared" si="12"/>
        <v>143126.0494865924</v>
      </c>
      <c r="AY12" s="483">
        <f t="shared" si="13"/>
        <v>362003</v>
      </c>
      <c r="AZ12" s="1285">
        <f t="shared" si="14"/>
        <v>218876.9505134076</v>
      </c>
      <c r="BA12" s="1312">
        <f t="shared" si="15"/>
        <v>0.9830980529707491</v>
      </c>
      <c r="BB12" s="1312">
        <f t="shared" si="16"/>
        <v>0.016901947029250852</v>
      </c>
      <c r="BC12" s="245">
        <f t="shared" si="17"/>
        <v>-3763.049486592412</v>
      </c>
      <c r="BD12" s="478">
        <v>3199.950513407588</v>
      </c>
      <c r="BE12" s="478">
        <f t="shared" si="18"/>
        <v>-6963</v>
      </c>
    </row>
    <row r="13" spans="1:57" ht="12.75" customHeight="1">
      <c r="A13" s="375" t="s">
        <v>14</v>
      </c>
      <c r="B13" s="376">
        <v>2305</v>
      </c>
      <c r="C13" s="491">
        <v>130.92799999999997</v>
      </c>
      <c r="D13" s="376">
        <v>8664</v>
      </c>
      <c r="E13" s="376">
        <f t="shared" si="0"/>
        <v>15523.67771</v>
      </c>
      <c r="F13" s="376">
        <v>14543.42502</v>
      </c>
      <c r="G13" s="376">
        <v>980.25269</v>
      </c>
      <c r="H13" s="494">
        <f t="shared" si="1"/>
        <v>4.725904107347406</v>
      </c>
      <c r="I13" s="494">
        <f t="shared" si="2"/>
        <v>7.767245249939843</v>
      </c>
      <c r="J13" s="376">
        <f>'str1-3'!H27</f>
        <v>117412</v>
      </c>
      <c r="K13" s="376">
        <v>5439</v>
      </c>
      <c r="L13" s="494">
        <f t="shared" si="3"/>
        <v>6.955242966751918</v>
      </c>
      <c r="M13" s="376">
        <f>'str1-3'!F42</f>
        <v>10272</v>
      </c>
      <c r="N13" s="1319">
        <f t="shared" si="4"/>
        <v>127684</v>
      </c>
      <c r="O13" s="239">
        <v>209820</v>
      </c>
      <c r="P13" s="235"/>
      <c r="Q13" s="432" t="s">
        <v>118</v>
      </c>
      <c r="R13" s="238">
        <v>236550</v>
      </c>
      <c r="S13" s="1408">
        <f>'příl2-přísp2'!N130</f>
        <v>234278</v>
      </c>
      <c r="U13" s="240">
        <v>10398.097679203709</v>
      </c>
      <c r="V13" s="238">
        <v>12418.427781475253</v>
      </c>
      <c r="W13" s="238">
        <f t="shared" si="5"/>
        <v>22816.52546067896</v>
      </c>
      <c r="X13" s="238">
        <v>62247.372315865934</v>
      </c>
      <c r="Y13" s="238">
        <f t="shared" si="6"/>
        <v>39430.846855186974</v>
      </c>
      <c r="Z13" s="238">
        <v>11785.076922076427</v>
      </c>
      <c r="AA13" s="238">
        <v>10852.261415793084</v>
      </c>
      <c r="AB13" s="238">
        <f t="shared" si="7"/>
        <v>22637.33833786951</v>
      </c>
      <c r="AC13" s="238">
        <v>76803.76011384015</v>
      </c>
      <c r="AD13" s="238">
        <f t="shared" si="8"/>
        <v>54166.42177597064</v>
      </c>
      <c r="AE13" s="238">
        <v>19074.859596729344</v>
      </c>
      <c r="AF13" s="238">
        <v>92308.776775473</v>
      </c>
      <c r="AG13" s="238">
        <v>66727.50458851503</v>
      </c>
      <c r="AH13" s="238">
        <v>28373.755994622974</v>
      </c>
      <c r="AI13" s="238">
        <v>97788.75599462297</v>
      </c>
      <c r="AJ13" s="238">
        <v>69415</v>
      </c>
      <c r="AK13" s="238">
        <v>29437</v>
      </c>
      <c r="AL13" s="238">
        <v>114888</v>
      </c>
      <c r="AM13" s="238">
        <v>85451</v>
      </c>
      <c r="AN13" s="238">
        <v>30989</v>
      </c>
      <c r="AO13" s="238">
        <v>113338.41442572129</v>
      </c>
      <c r="AP13" s="238">
        <f t="shared" si="9"/>
        <v>82349.41442572129</v>
      </c>
      <c r="AQ13" s="238">
        <f t="shared" si="10"/>
        <v>33018</v>
      </c>
      <c r="AR13" s="238">
        <v>126020</v>
      </c>
      <c r="AS13" s="238">
        <v>93002</v>
      </c>
      <c r="AT13" s="238">
        <f t="shared" si="11"/>
        <v>34474</v>
      </c>
      <c r="AU13" s="238">
        <v>128521</v>
      </c>
      <c r="AV13" s="238">
        <v>94047</v>
      </c>
      <c r="AW13" s="1285">
        <f>1159+AV13</f>
        <v>95206</v>
      </c>
      <c r="AX13" s="238">
        <f t="shared" si="12"/>
        <v>34339.0284149338</v>
      </c>
      <c r="AY13" s="483">
        <f t="shared" si="13"/>
        <v>127684</v>
      </c>
      <c r="AZ13" s="1285">
        <f t="shared" si="14"/>
        <v>93344.9715850662</v>
      </c>
      <c r="BA13" s="1312">
        <f t="shared" si="15"/>
        <v>0.9804526141741718</v>
      </c>
      <c r="BB13" s="1312">
        <f t="shared" si="16"/>
        <v>0.019547385825828156</v>
      </c>
      <c r="BC13" s="245">
        <f t="shared" si="17"/>
        <v>-1861.0284149337967</v>
      </c>
      <c r="BD13" s="478">
        <v>-465.02841493379674</v>
      </c>
      <c r="BE13" s="245">
        <f t="shared" si="18"/>
        <v>-1396</v>
      </c>
    </row>
    <row r="14" spans="1:57" ht="12.75" customHeight="1">
      <c r="A14" s="375" t="s">
        <v>15</v>
      </c>
      <c r="B14" s="376">
        <v>6867</v>
      </c>
      <c r="C14" s="491">
        <v>323.24</v>
      </c>
      <c r="D14" s="376">
        <v>17376</v>
      </c>
      <c r="E14" s="376">
        <f t="shared" si="0"/>
        <v>8691.77629</v>
      </c>
      <c r="F14" s="376">
        <v>7452.42654</v>
      </c>
      <c r="G14" s="376">
        <v>1239.34975</v>
      </c>
      <c r="H14" s="494">
        <f t="shared" si="1"/>
        <v>9.477990508918344</v>
      </c>
      <c r="I14" s="494">
        <f t="shared" si="2"/>
        <v>4.348915209606104</v>
      </c>
      <c r="J14" s="376">
        <f>'str1-3'!H28</f>
        <v>269095</v>
      </c>
      <c r="K14" s="376">
        <v>3489</v>
      </c>
      <c r="L14" s="494">
        <f t="shared" si="3"/>
        <v>4.461636828644501</v>
      </c>
      <c r="M14" s="376">
        <f>'str1-3'!F43</f>
        <v>6589</v>
      </c>
      <c r="N14" s="1319">
        <f t="shared" si="4"/>
        <v>275684</v>
      </c>
      <c r="O14" s="239">
        <v>291839</v>
      </c>
      <c r="P14" s="235"/>
      <c r="Q14" s="432"/>
      <c r="R14" s="238"/>
      <c r="S14" s="402"/>
      <c r="U14" s="240">
        <v>26136.84836162955</v>
      </c>
      <c r="V14" s="238">
        <v>15455.846521744312</v>
      </c>
      <c r="W14" s="238">
        <f t="shared" si="5"/>
        <v>41592.69488337386</v>
      </c>
      <c r="X14" s="238">
        <v>123954.6850479735</v>
      </c>
      <c r="Y14" s="238">
        <f t="shared" si="6"/>
        <v>82361.99016459964</v>
      </c>
      <c r="Z14" s="238">
        <v>28165.321183047992</v>
      </c>
      <c r="AA14" s="238">
        <v>21760.06946853046</v>
      </c>
      <c r="AB14" s="238">
        <f t="shared" si="7"/>
        <v>49925.39065157845</v>
      </c>
      <c r="AC14" s="238">
        <v>135360.91399379508</v>
      </c>
      <c r="AD14" s="238">
        <f t="shared" si="8"/>
        <v>85435.52334221663</v>
      </c>
      <c r="AE14" s="238">
        <v>40507.62533677509</v>
      </c>
      <c r="AF14" s="238">
        <v>179579.69795653987</v>
      </c>
      <c r="AG14" s="238">
        <v>126414.34224407267</v>
      </c>
      <c r="AH14" s="238">
        <v>62066</v>
      </c>
      <c r="AI14" s="238">
        <v>208613</v>
      </c>
      <c r="AJ14" s="238">
        <v>146547</v>
      </c>
      <c r="AK14" s="238">
        <v>62675</v>
      </c>
      <c r="AL14" s="238">
        <v>224996</v>
      </c>
      <c r="AM14" s="238">
        <v>162321</v>
      </c>
      <c r="AN14" s="238">
        <v>69308</v>
      </c>
      <c r="AO14" s="238">
        <v>247364.11479303328</v>
      </c>
      <c r="AP14" s="238">
        <f t="shared" si="9"/>
        <v>178056.11479303328</v>
      </c>
      <c r="AQ14" s="238">
        <f t="shared" si="10"/>
        <v>68002</v>
      </c>
      <c r="AR14" s="238">
        <v>267756</v>
      </c>
      <c r="AS14" s="238">
        <v>199754</v>
      </c>
      <c r="AT14" s="238">
        <f t="shared" si="11"/>
        <v>71609</v>
      </c>
      <c r="AU14" s="238">
        <v>278820</v>
      </c>
      <c r="AV14" s="238">
        <v>207211</v>
      </c>
      <c r="AW14" s="1285">
        <f>1568+AV14</f>
        <v>208779</v>
      </c>
      <c r="AX14" s="238">
        <f t="shared" si="12"/>
        <v>68106.63387917612</v>
      </c>
      <c r="AY14" s="483">
        <f t="shared" si="13"/>
        <v>275684</v>
      </c>
      <c r="AZ14" s="1285">
        <f t="shared" si="14"/>
        <v>207577.3661208239</v>
      </c>
      <c r="BA14" s="1312">
        <f t="shared" si="15"/>
        <v>0.9942444696105638</v>
      </c>
      <c r="BB14" s="1312">
        <f t="shared" si="16"/>
        <v>0.005755530389436214</v>
      </c>
      <c r="BC14" s="245">
        <f t="shared" si="17"/>
        <v>-1201.6338791761082</v>
      </c>
      <c r="BD14" s="478">
        <v>-2562.633879176108</v>
      </c>
      <c r="BE14" s="245">
        <f t="shared" si="18"/>
        <v>1361</v>
      </c>
    </row>
    <row r="15" spans="1:57" ht="12.75" customHeight="1">
      <c r="A15" s="375" t="s">
        <v>16</v>
      </c>
      <c r="B15" s="376">
        <v>1403</v>
      </c>
      <c r="C15" s="491">
        <v>97.993</v>
      </c>
      <c r="D15" s="376">
        <v>13150</v>
      </c>
      <c r="E15" s="376">
        <f t="shared" si="0"/>
        <v>2248.56234</v>
      </c>
      <c r="F15" s="376">
        <v>909.1617</v>
      </c>
      <c r="G15" s="376">
        <v>1339.40064</v>
      </c>
      <c r="H15" s="494">
        <f t="shared" si="1"/>
        <v>7.1728576883216055</v>
      </c>
      <c r="I15" s="494">
        <f t="shared" si="2"/>
        <v>1.1250642715487436</v>
      </c>
      <c r="J15" s="376">
        <f>'str1-3'!H29</f>
        <v>68670</v>
      </c>
      <c r="K15" s="376">
        <v>146</v>
      </c>
      <c r="L15" s="494">
        <f t="shared" si="3"/>
        <v>0.1867007672634271</v>
      </c>
      <c r="M15" s="376">
        <f>'str1-3'!F44</f>
        <v>276</v>
      </c>
      <c r="N15" s="1319">
        <f t="shared" si="4"/>
        <v>68946</v>
      </c>
      <c r="O15" s="239">
        <v>87966</v>
      </c>
      <c r="P15" s="235"/>
      <c r="Q15" s="432"/>
      <c r="R15" s="238"/>
      <c r="S15" s="402"/>
      <c r="U15" s="240">
        <v>3664.245052779</v>
      </c>
      <c r="V15" s="238">
        <v>891.5786669425036</v>
      </c>
      <c r="W15" s="238">
        <f t="shared" si="5"/>
        <v>4555.823719721504</v>
      </c>
      <c r="X15" s="238">
        <v>29269.344102107836</v>
      </c>
      <c r="Y15" s="238">
        <f t="shared" si="6"/>
        <v>24713.520382386334</v>
      </c>
      <c r="Z15" s="238">
        <v>5855.02509704023</v>
      </c>
      <c r="AA15" s="238">
        <v>3651.638663778179</v>
      </c>
      <c r="AB15" s="238">
        <f t="shared" si="7"/>
        <v>9506.66376081841</v>
      </c>
      <c r="AC15" s="238">
        <v>39178.775500394026</v>
      </c>
      <c r="AD15" s="238">
        <f t="shared" si="8"/>
        <v>29672.111739575616</v>
      </c>
      <c r="AE15" s="238">
        <v>9027.558068386312</v>
      </c>
      <c r="AF15" s="238">
        <v>56952.21840907884</v>
      </c>
      <c r="AG15" s="238">
        <v>43910.365667504535</v>
      </c>
      <c r="AH15" s="238">
        <v>21417</v>
      </c>
      <c r="AI15" s="238">
        <v>66563</v>
      </c>
      <c r="AJ15" s="238">
        <v>45146</v>
      </c>
      <c r="AK15" s="238">
        <v>17190</v>
      </c>
      <c r="AL15" s="238">
        <v>58492</v>
      </c>
      <c r="AM15" s="238">
        <v>41302</v>
      </c>
      <c r="AN15" s="238">
        <v>18295</v>
      </c>
      <c r="AO15" s="238">
        <v>58679.72386757594</v>
      </c>
      <c r="AP15" s="238">
        <f t="shared" si="9"/>
        <v>40384.72386757594</v>
      </c>
      <c r="AQ15" s="238">
        <f t="shared" si="10"/>
        <v>19884</v>
      </c>
      <c r="AR15" s="238">
        <v>58782</v>
      </c>
      <c r="AS15" s="238">
        <v>38898</v>
      </c>
      <c r="AT15" s="238">
        <f t="shared" si="11"/>
        <v>22495</v>
      </c>
      <c r="AU15" s="238">
        <v>62698</v>
      </c>
      <c r="AV15" s="238">
        <v>40203</v>
      </c>
      <c r="AW15" s="1285">
        <f>1913+AV15</f>
        <v>42116</v>
      </c>
      <c r="AX15" s="238">
        <f t="shared" si="12"/>
        <v>26120.122343795738</v>
      </c>
      <c r="AY15" s="483">
        <f t="shared" si="13"/>
        <v>68946</v>
      </c>
      <c r="AZ15" s="1285">
        <f t="shared" si="14"/>
        <v>42825.87765620426</v>
      </c>
      <c r="BA15" s="1312">
        <f t="shared" si="15"/>
        <v>1.0168552962343114</v>
      </c>
      <c r="BB15" s="1312">
        <f t="shared" si="16"/>
        <v>-0.016855296234311368</v>
      </c>
      <c r="BC15" s="245">
        <f t="shared" si="17"/>
        <v>709.8776562042622</v>
      </c>
      <c r="BD15" s="478">
        <v>720.8776562042622</v>
      </c>
      <c r="BE15" s="245">
        <f t="shared" si="18"/>
        <v>-11</v>
      </c>
    </row>
    <row r="16" spans="1:57" ht="12.75" customHeight="1" thickBot="1">
      <c r="A16" s="416" t="s">
        <v>17</v>
      </c>
      <c r="B16" s="397">
        <v>4601</v>
      </c>
      <c r="C16" s="492">
        <v>154.86</v>
      </c>
      <c r="D16" s="397">
        <v>10361</v>
      </c>
      <c r="E16" s="397">
        <f t="shared" si="0"/>
        <v>7255.822999999999</v>
      </c>
      <c r="F16" s="397">
        <v>4942.266</v>
      </c>
      <c r="G16" s="397">
        <v>2313.557</v>
      </c>
      <c r="H16" s="495">
        <f t="shared" si="1"/>
        <v>5.651557301041837</v>
      </c>
      <c r="I16" s="495">
        <f t="shared" si="2"/>
        <v>3.630438468511226</v>
      </c>
      <c r="J16" s="397">
        <f>'str1-3'!H30</f>
        <v>150707</v>
      </c>
      <c r="K16" s="397">
        <v>1338</v>
      </c>
      <c r="L16" s="495">
        <f t="shared" si="3"/>
        <v>1.7109974424552428</v>
      </c>
      <c r="M16" s="397">
        <f>'str1-3'!F45</f>
        <v>2527</v>
      </c>
      <c r="N16" s="1402">
        <f t="shared" si="4"/>
        <v>153234</v>
      </c>
      <c r="O16" s="421">
        <v>164178</v>
      </c>
      <c r="P16" s="235"/>
      <c r="Q16" s="433"/>
      <c r="R16" s="420"/>
      <c r="S16" s="438"/>
      <c r="U16" s="242">
        <v>16059.298376074785</v>
      </c>
      <c r="V16" s="233">
        <v>13081.27947079331</v>
      </c>
      <c r="W16" s="233">
        <f t="shared" si="5"/>
        <v>29140.577846868095</v>
      </c>
      <c r="X16" s="233">
        <v>71559.79205514488</v>
      </c>
      <c r="Y16" s="233">
        <f t="shared" si="6"/>
        <v>42419.21420827678</v>
      </c>
      <c r="Z16" s="233">
        <v>18680.20258680406</v>
      </c>
      <c r="AA16" s="233">
        <v>15580.553478137634</v>
      </c>
      <c r="AB16" s="233">
        <f t="shared" si="7"/>
        <v>34260.75606494169</v>
      </c>
      <c r="AC16" s="233">
        <v>85707.11346677151</v>
      </c>
      <c r="AD16" s="233">
        <f t="shared" si="8"/>
        <v>51446.35740182982</v>
      </c>
      <c r="AE16" s="233">
        <v>26326.89875056012</v>
      </c>
      <c r="AF16" s="233">
        <v>103325.99168960557</v>
      </c>
      <c r="AG16" s="233">
        <v>69716.12855893746</v>
      </c>
      <c r="AH16" s="237">
        <v>36569</v>
      </c>
      <c r="AI16" s="237">
        <v>114970</v>
      </c>
      <c r="AJ16" s="233">
        <v>78401</v>
      </c>
      <c r="AK16" s="237">
        <v>37169</v>
      </c>
      <c r="AL16" s="237">
        <v>125809</v>
      </c>
      <c r="AM16" s="233">
        <v>88640</v>
      </c>
      <c r="AN16" s="237">
        <v>39746</v>
      </c>
      <c r="AO16" s="237">
        <v>130044.25733253288</v>
      </c>
      <c r="AP16" s="237">
        <f t="shared" si="9"/>
        <v>90298.25733253288</v>
      </c>
      <c r="AQ16" s="237">
        <f t="shared" si="10"/>
        <v>39823</v>
      </c>
      <c r="AR16" s="237">
        <v>142964</v>
      </c>
      <c r="AS16" s="237">
        <v>103141</v>
      </c>
      <c r="AT16" s="237">
        <f t="shared" si="11"/>
        <v>40600</v>
      </c>
      <c r="AU16" s="237">
        <v>151229</v>
      </c>
      <c r="AV16" s="237">
        <v>110629</v>
      </c>
      <c r="AW16" s="1299">
        <f>2371+AV16</f>
        <v>113000</v>
      </c>
      <c r="AX16" s="237">
        <f t="shared" si="12"/>
        <v>38695.785671982245</v>
      </c>
      <c r="AY16" s="484">
        <f t="shared" si="13"/>
        <v>153234</v>
      </c>
      <c r="AZ16" s="1299">
        <f t="shared" si="14"/>
        <v>114538.21432801776</v>
      </c>
      <c r="BA16" s="1312">
        <f t="shared" si="15"/>
        <v>1.0136125161771483</v>
      </c>
      <c r="BB16" s="1312">
        <f t="shared" si="16"/>
        <v>-0.013612516177148315</v>
      </c>
      <c r="BC16" s="245">
        <f t="shared" si="17"/>
        <v>1538.2143280177552</v>
      </c>
      <c r="BD16" s="478">
        <v>495.2143280177552</v>
      </c>
      <c r="BE16" s="245">
        <f t="shared" si="18"/>
        <v>1043</v>
      </c>
    </row>
    <row r="17" spans="1:57" ht="12.75" customHeight="1" thickBot="1">
      <c r="A17" s="414" t="s">
        <v>115</v>
      </c>
      <c r="B17" s="392">
        <f aca="true" t="shared" si="19" ref="B17:O17">SUM(B8:B16)</f>
        <v>39936</v>
      </c>
      <c r="C17" s="415">
        <f t="shared" si="19"/>
        <v>2686.2610000000004</v>
      </c>
      <c r="D17" s="392">
        <f t="shared" si="19"/>
        <v>183330</v>
      </c>
      <c r="E17" s="392">
        <f t="shared" si="19"/>
        <v>199860.7899</v>
      </c>
      <c r="F17" s="392">
        <f t="shared" si="19"/>
        <v>155734.94366</v>
      </c>
      <c r="G17" s="392">
        <f t="shared" si="19"/>
        <v>44125.846240000006</v>
      </c>
      <c r="H17" s="415">
        <f t="shared" si="19"/>
        <v>99.99999999999999</v>
      </c>
      <c r="I17" s="415">
        <f t="shared" si="19"/>
        <v>100.00000000000001</v>
      </c>
      <c r="J17" s="392">
        <f t="shared" si="19"/>
        <v>1860709</v>
      </c>
      <c r="K17" s="392">
        <f t="shared" si="19"/>
        <v>78200</v>
      </c>
      <c r="L17" s="415">
        <f t="shared" si="19"/>
        <v>99.99999999999999</v>
      </c>
      <c r="M17" s="392">
        <f>SUM(M8:M16)</f>
        <v>147691</v>
      </c>
      <c r="N17" s="1323">
        <f t="shared" si="19"/>
        <v>2008400</v>
      </c>
      <c r="O17" s="497">
        <f t="shared" si="19"/>
        <v>2928713</v>
      </c>
      <c r="P17" s="235"/>
      <c r="Q17" s="434"/>
      <c r="R17" s="442">
        <f>SUM(R8:R16)</f>
        <v>539319</v>
      </c>
      <c r="S17" s="1409">
        <f>SUM(S8:S16)</f>
        <v>600210</v>
      </c>
      <c r="U17" s="400">
        <f>SUM(U8:U16)</f>
        <v>166774.15155926286</v>
      </c>
      <c r="V17" s="401">
        <f aca="true" t="shared" si="20" ref="V17:AC17">SUM(V8:V16)</f>
        <v>138978.45963271905</v>
      </c>
      <c r="W17" s="401">
        <f t="shared" si="20"/>
        <v>305752.6111919819</v>
      </c>
      <c r="X17" s="401">
        <f t="shared" si="20"/>
        <v>926523.0642181269</v>
      </c>
      <c r="Y17" s="401">
        <f t="shared" si="6"/>
        <v>620770.453026145</v>
      </c>
      <c r="Z17" s="401">
        <f t="shared" si="20"/>
        <v>190491.2999999999</v>
      </c>
      <c r="AA17" s="401">
        <f t="shared" si="20"/>
        <v>158742.74999999994</v>
      </c>
      <c r="AB17" s="401">
        <f t="shared" si="20"/>
        <v>349234.04999999993</v>
      </c>
      <c r="AC17" s="401">
        <f t="shared" si="20"/>
        <v>1058284.9999999998</v>
      </c>
      <c r="AD17" s="401">
        <f t="shared" si="8"/>
        <v>709050.9499999998</v>
      </c>
      <c r="AE17" s="401">
        <v>279893.67</v>
      </c>
      <c r="AF17" s="401">
        <v>1309209</v>
      </c>
      <c r="AG17" s="401">
        <v>937034.6384040066</v>
      </c>
      <c r="AH17" s="401">
        <f>SUM(AH8:AH16)</f>
        <v>448943.75599462294</v>
      </c>
      <c r="AI17" s="401">
        <f>SUM(AI8:AI16)</f>
        <v>1479001.755994623</v>
      </c>
      <c r="AJ17" s="401">
        <f>SUM(AJ8:AJ16)</f>
        <v>1030058</v>
      </c>
      <c r="AK17" s="401">
        <v>497794</v>
      </c>
      <c r="AL17" s="401">
        <v>1683608</v>
      </c>
      <c r="AM17" s="401">
        <v>1185814</v>
      </c>
      <c r="AN17" s="401">
        <f aca="true" t="shared" si="21" ref="AN17:AY17">SUM(AN8:AN16)</f>
        <v>543277</v>
      </c>
      <c r="AO17" s="401">
        <f t="shared" si="21"/>
        <v>1804816.000000001</v>
      </c>
      <c r="AP17" s="485">
        <f t="shared" si="21"/>
        <v>1261539.000000001</v>
      </c>
      <c r="AQ17" s="486">
        <f t="shared" si="21"/>
        <v>561611</v>
      </c>
      <c r="AR17" s="401">
        <f t="shared" si="21"/>
        <v>1908149</v>
      </c>
      <c r="AS17" s="401">
        <f t="shared" si="21"/>
        <v>1346538</v>
      </c>
      <c r="AT17" s="1308">
        <f t="shared" si="21"/>
        <v>585729</v>
      </c>
      <c r="AU17" s="1303">
        <v>1980701</v>
      </c>
      <c r="AV17" s="401">
        <f t="shared" si="21"/>
        <v>1394972</v>
      </c>
      <c r="AW17" s="1300">
        <f t="shared" si="21"/>
        <v>1441382</v>
      </c>
      <c r="AX17" s="1309">
        <f t="shared" si="21"/>
        <v>600209.9999999999</v>
      </c>
      <c r="AY17" s="1304">
        <f t="shared" si="21"/>
        <v>2008400</v>
      </c>
      <c r="AZ17" s="1300">
        <f t="shared" si="14"/>
        <v>1408190</v>
      </c>
      <c r="BA17" s="1313">
        <f>SUM(BA8:BA16)/9</f>
        <v>0.9923900735179715</v>
      </c>
      <c r="BB17" s="1312">
        <f t="shared" si="16"/>
        <v>0.007609926482028517</v>
      </c>
      <c r="BC17" s="245">
        <f t="shared" si="17"/>
        <v>-33192</v>
      </c>
      <c r="BD17" s="478">
        <v>-32945</v>
      </c>
      <c r="BE17" s="245">
        <f t="shared" si="18"/>
        <v>-247</v>
      </c>
    </row>
    <row r="18" spans="1:54" ht="12.75" customHeight="1">
      <c r="A18" s="368" t="s">
        <v>20</v>
      </c>
      <c r="B18" s="1279"/>
      <c r="C18" s="1280"/>
      <c r="D18" s="1279"/>
      <c r="E18" s="1279"/>
      <c r="F18" s="1279"/>
      <c r="G18" s="1279"/>
      <c r="H18" s="1280"/>
      <c r="I18" s="1280"/>
      <c r="J18" s="1279"/>
      <c r="K18" s="1279">
        <v>122</v>
      </c>
      <c r="L18" s="1279"/>
      <c r="M18" s="1279">
        <v>230</v>
      </c>
      <c r="N18" s="1324">
        <f t="shared" si="4"/>
        <v>230</v>
      </c>
      <c r="O18" s="234"/>
      <c r="P18" s="235"/>
      <c r="Q18" s="431"/>
      <c r="R18" s="233"/>
      <c r="S18" s="1281"/>
      <c r="U18" s="242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6"/>
      <c r="AQ18" s="1282"/>
      <c r="AR18" s="1282"/>
      <c r="AS18" s="233"/>
      <c r="AT18" s="1282"/>
      <c r="AU18" s="1282"/>
      <c r="AV18" s="233"/>
      <c r="AW18" s="1284"/>
      <c r="AX18" s="233"/>
      <c r="AY18" s="1282">
        <f>N18</f>
        <v>230</v>
      </c>
      <c r="AZ18" s="1284"/>
      <c r="BA18" s="399"/>
      <c r="BB18" s="399"/>
    </row>
    <row r="19" spans="1:54" ht="12.75" customHeight="1" thickBot="1">
      <c r="A19" s="368" t="s">
        <v>484</v>
      </c>
      <c r="B19" s="1279"/>
      <c r="C19" s="1280"/>
      <c r="D19" s="1279"/>
      <c r="E19" s="1279"/>
      <c r="F19" s="1279"/>
      <c r="G19" s="1279"/>
      <c r="H19" s="1280"/>
      <c r="I19" s="1280"/>
      <c r="J19" s="1279"/>
      <c r="K19" s="1279">
        <v>150</v>
      </c>
      <c r="L19" s="1279"/>
      <c r="M19" s="1279">
        <v>283</v>
      </c>
      <c r="N19" s="394">
        <f t="shared" si="4"/>
        <v>283</v>
      </c>
      <c r="O19" s="234"/>
      <c r="P19" s="235"/>
      <c r="Q19" s="431"/>
      <c r="R19" s="233"/>
      <c r="S19" s="1281"/>
      <c r="U19" s="242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6"/>
      <c r="AQ19" s="1282"/>
      <c r="AR19" s="1282"/>
      <c r="AS19" s="233"/>
      <c r="AT19" s="1282"/>
      <c r="AU19" s="1282"/>
      <c r="AV19" s="233"/>
      <c r="AW19" s="1284"/>
      <c r="AX19" s="233"/>
      <c r="AY19" s="1282">
        <f>N19</f>
        <v>283</v>
      </c>
      <c r="AZ19" s="1284"/>
      <c r="BA19" s="399"/>
      <c r="BB19" s="399"/>
    </row>
    <row r="20" spans="1:54" ht="12.75" customHeight="1" thickBot="1">
      <c r="A20" s="372" t="s">
        <v>103</v>
      </c>
      <c r="B20" s="373"/>
      <c r="C20" s="417"/>
      <c r="D20" s="373"/>
      <c r="E20" s="373">
        <f>'příl.5-odhad odpisu'!H27</f>
        <v>128230</v>
      </c>
      <c r="F20" s="373">
        <v>107407</v>
      </c>
      <c r="G20" s="373">
        <f>'příl.5-odhad odpisu'!G27</f>
        <v>20822</v>
      </c>
      <c r="H20" s="373"/>
      <c r="I20" s="373"/>
      <c r="J20" s="373"/>
      <c r="K20" s="373">
        <f>SUM(K18:K19)</f>
        <v>272</v>
      </c>
      <c r="L20" s="373"/>
      <c r="M20" s="373">
        <f>SUM(M18:M19)</f>
        <v>513</v>
      </c>
      <c r="N20" s="479"/>
      <c r="O20" s="390"/>
      <c r="P20" s="236"/>
      <c r="Q20" s="1286" t="s">
        <v>119</v>
      </c>
      <c r="R20" s="1366">
        <f>R8+R9+R10</f>
        <v>144133</v>
      </c>
      <c r="S20" s="439">
        <f>S8+S9+S10</f>
        <v>201053</v>
      </c>
      <c r="U20" s="242"/>
      <c r="V20" s="233"/>
      <c r="W20" s="233"/>
      <c r="X20" s="233"/>
      <c r="Y20" s="233"/>
      <c r="Z20" s="233"/>
      <c r="AA20" s="233"/>
      <c r="AB20" s="233"/>
      <c r="AC20" s="243"/>
      <c r="AD20" s="243"/>
      <c r="AE20" s="233"/>
      <c r="AF20" s="243"/>
      <c r="AG20" s="243"/>
      <c r="AH20" s="233"/>
      <c r="AI20" s="243"/>
      <c r="AJ20" s="243"/>
      <c r="AK20" s="233"/>
      <c r="AL20" s="243"/>
      <c r="AM20" s="243"/>
      <c r="AN20" s="233"/>
      <c r="AO20" s="243"/>
      <c r="AP20" s="244"/>
      <c r="AQ20" s="233"/>
      <c r="AR20" s="487"/>
      <c r="AS20" s="243"/>
      <c r="AT20" s="233"/>
      <c r="AU20" s="487"/>
      <c r="AV20" s="243"/>
      <c r="AW20" s="1301"/>
      <c r="AX20" s="233"/>
      <c r="AY20" s="487"/>
      <c r="AZ20" s="1301"/>
      <c r="BA20" s="399"/>
      <c r="BB20" s="399"/>
    </row>
    <row r="21" spans="1:54" ht="12.75" customHeight="1" thickBot="1">
      <c r="A21" s="391" t="s">
        <v>117</v>
      </c>
      <c r="B21" s="392"/>
      <c r="C21" s="392"/>
      <c r="D21" s="392"/>
      <c r="E21" s="392">
        <f>SUM(E17:E20)</f>
        <v>328090.7899</v>
      </c>
      <c r="F21" s="392">
        <f>F17+F20</f>
        <v>263141.94366</v>
      </c>
      <c r="G21" s="392">
        <f>SUM(G17:G20)</f>
        <v>64947.846240000006</v>
      </c>
      <c r="H21" s="392"/>
      <c r="I21" s="392"/>
      <c r="J21" s="392">
        <f>SUM(J17:J20)</f>
        <v>1860709</v>
      </c>
      <c r="K21" s="392">
        <f>K17+K20</f>
        <v>78472</v>
      </c>
      <c r="L21" s="392"/>
      <c r="M21" s="392">
        <f>M17+M20</f>
        <v>148204</v>
      </c>
      <c r="N21" s="393">
        <f>SUM(N17:N19)</f>
        <v>2008913</v>
      </c>
      <c r="O21" s="374"/>
      <c r="P21" s="235"/>
      <c r="Q21" s="434" t="s">
        <v>120</v>
      </c>
      <c r="R21" s="1367">
        <f>R17-R20</f>
        <v>395186</v>
      </c>
      <c r="S21" s="440">
        <f>S17-S20</f>
        <v>399157</v>
      </c>
      <c r="U21" s="400"/>
      <c r="V21" s="401"/>
      <c r="W21" s="401"/>
      <c r="X21" s="401"/>
      <c r="Y21" s="401">
        <f>X17-W17</f>
        <v>620770.453026145</v>
      </c>
      <c r="Z21" s="401"/>
      <c r="AA21" s="401"/>
      <c r="AB21" s="401"/>
      <c r="AC21" s="401"/>
      <c r="AD21" s="401">
        <f>AC17-AB17</f>
        <v>709050.9499999998</v>
      </c>
      <c r="AE21" s="401"/>
      <c r="AF21" s="401"/>
      <c r="AG21" s="401">
        <f>AF17-AE17</f>
        <v>1029315.3300000001</v>
      </c>
      <c r="AH21" s="401"/>
      <c r="AI21" s="401"/>
      <c r="AJ21" s="401"/>
      <c r="AK21" s="401"/>
      <c r="AL21" s="401"/>
      <c r="AM21" s="401">
        <v>1185814</v>
      </c>
      <c r="AN21" s="401"/>
      <c r="AO21" s="401"/>
      <c r="AP21" s="485">
        <f>AO17-AN17</f>
        <v>1261539.000000001</v>
      </c>
      <c r="AQ21" s="401"/>
      <c r="AR21" s="486"/>
      <c r="AS21" s="401">
        <f>AR17-AQ17</f>
        <v>1346538</v>
      </c>
      <c r="AT21" s="401"/>
      <c r="AU21" s="486">
        <f>SUM(AU17:AU20)</f>
        <v>1980701</v>
      </c>
      <c r="AV21" s="401">
        <f>AU17-AT17</f>
        <v>1394972</v>
      </c>
      <c r="AW21" s="401">
        <f>SUM(AW8:AW16)</f>
        <v>1441382</v>
      </c>
      <c r="AX21" s="401"/>
      <c r="AY21" s="486">
        <f>SUM(AY17:AY20)</f>
        <v>2008913</v>
      </c>
      <c r="AZ21" s="1300">
        <f>AY17-AX17</f>
        <v>1408190</v>
      </c>
      <c r="BA21" s="1314">
        <f>AZ21/AW21</f>
        <v>0.9769721003869897</v>
      </c>
      <c r="BB21" s="1314"/>
    </row>
    <row r="22" spans="1:55" ht="11.25">
      <c r="A22" s="579" t="s">
        <v>501</v>
      </c>
      <c r="B22" s="456"/>
      <c r="C22" s="457"/>
      <c r="D22" s="456"/>
      <c r="E22" s="458"/>
      <c r="F22" s="458"/>
      <c r="G22" s="456"/>
      <c r="H22" s="457"/>
      <c r="I22" s="172"/>
      <c r="J22" s="459"/>
      <c r="K22" s="460"/>
      <c r="L22" s="456"/>
      <c r="M22" s="456"/>
      <c r="N22" s="236"/>
      <c r="O22" s="244"/>
      <c r="P22" s="236"/>
      <c r="Q22" s="244"/>
      <c r="R22" s="244"/>
      <c r="AU22" s="245">
        <f>SUM(AU8:AU16)</f>
        <v>1980701</v>
      </c>
      <c r="AY22" s="1305">
        <f>AY17-AU17</f>
        <v>27699</v>
      </c>
      <c r="AZ22" s="245">
        <f>AZ21-AW21</f>
        <v>-33192</v>
      </c>
      <c r="BC22" s="245">
        <f>SUM(BC8:BC16)</f>
        <v>-33191.99999999997</v>
      </c>
    </row>
    <row r="23" spans="1:51" ht="11.25">
      <c r="A23" s="455"/>
      <c r="B23" s="172"/>
      <c r="C23" s="461"/>
      <c r="D23" s="459"/>
      <c r="E23" s="462"/>
      <c r="F23" s="462"/>
      <c r="G23" s="172"/>
      <c r="H23" s="172"/>
      <c r="I23" s="460"/>
      <c r="J23" s="460"/>
      <c r="K23" s="456"/>
      <c r="L23" s="460"/>
      <c r="M23" s="460"/>
      <c r="N23" s="244"/>
      <c r="O23" s="236"/>
      <c r="P23" s="236"/>
      <c r="Q23" s="1368" t="s">
        <v>499</v>
      </c>
      <c r="R23" s="1369">
        <v>46410</v>
      </c>
      <c r="S23" s="244"/>
      <c r="T23" s="230"/>
      <c r="AT23" s="225">
        <v>-46110</v>
      </c>
      <c r="AY23" s="225">
        <v>-46110</v>
      </c>
    </row>
    <row r="24" spans="8:55" ht="11.25">
      <c r="H24" s="248"/>
      <c r="I24" s="248"/>
      <c r="J24" s="248"/>
      <c r="K24" s="248"/>
      <c r="Q24" s="1368" t="s">
        <v>119</v>
      </c>
      <c r="R24" s="1369">
        <f>R20</f>
        <v>144133</v>
      </c>
      <c r="AT24" s="1310">
        <f>AT17+AT23</f>
        <v>539619</v>
      </c>
      <c r="AX24" s="1310">
        <f>AX17</f>
        <v>600209.9999999999</v>
      </c>
      <c r="AY24" s="245">
        <f>SUM(AY22:AY23)</f>
        <v>-18411</v>
      </c>
      <c r="BA24" s="1311">
        <f>AX24/AT24</f>
        <v>1.112284778704975</v>
      </c>
      <c r="BB24" s="1311"/>
      <c r="BC24" s="225">
        <f>1-BA24</f>
        <v>-0.112284778704975</v>
      </c>
    </row>
    <row r="25" spans="1:55" ht="12" thickBot="1">
      <c r="A25" s="370"/>
      <c r="B25" s="370"/>
      <c r="C25" s="464"/>
      <c r="D25" s="370"/>
      <c r="E25" s="370"/>
      <c r="F25" s="370"/>
      <c r="G25" s="370"/>
      <c r="H25" s="370"/>
      <c r="I25" s="371"/>
      <c r="J25" s="1410" t="s">
        <v>505</v>
      </c>
      <c r="K25" s="370"/>
      <c r="L25" s="370"/>
      <c r="M25" s="370"/>
      <c r="N25" s="248"/>
      <c r="O25" s="248"/>
      <c r="P25" s="248"/>
      <c r="Q25" s="1370" t="s">
        <v>120</v>
      </c>
      <c r="R25" s="1369">
        <f>R21</f>
        <v>395186</v>
      </c>
      <c r="AU25" s="1307">
        <f>AU17</f>
        <v>1980701</v>
      </c>
      <c r="AY25" s="1307">
        <f>AY17</f>
        <v>2008400</v>
      </c>
      <c r="BA25" s="1306">
        <f>AY25/AU25</f>
        <v>1.0139844428815858</v>
      </c>
      <c r="BB25" s="1306"/>
      <c r="BC25" s="1306">
        <f>1-BA25</f>
        <v>-0.013984442881585846</v>
      </c>
    </row>
    <row r="26" spans="1:51" ht="11.25">
      <c r="A26" s="379" t="s">
        <v>8</v>
      </c>
      <c r="B26" s="404" t="s">
        <v>155</v>
      </c>
      <c r="C26" s="404" t="s">
        <v>41</v>
      </c>
      <c r="D26" s="404" t="s">
        <v>41</v>
      </c>
      <c r="E26" s="404" t="s">
        <v>42</v>
      </c>
      <c r="F26" s="404" t="s">
        <v>156</v>
      </c>
      <c r="G26" s="404" t="s">
        <v>114</v>
      </c>
      <c r="H26" s="404" t="s">
        <v>106</v>
      </c>
      <c r="I26" s="404"/>
      <c r="J26" s="1315" t="s">
        <v>261</v>
      </c>
      <c r="K26" s="404" t="s">
        <v>114</v>
      </c>
      <c r="L26" s="1372" t="s">
        <v>246</v>
      </c>
      <c r="M26" s="1373"/>
      <c r="Q26" s="1371" t="s">
        <v>525</v>
      </c>
      <c r="R26" s="1369">
        <f>SUM(R23:R25)</f>
        <v>585729</v>
      </c>
      <c r="S26" s="245"/>
      <c r="AY26" s="225">
        <f>AY21/AU21</f>
        <v>1.0142434420944908</v>
      </c>
    </row>
    <row r="27" spans="1:13" ht="11.25">
      <c r="A27" s="381"/>
      <c r="B27" s="383"/>
      <c r="C27" s="382" t="s">
        <v>37</v>
      </c>
      <c r="D27" s="382" t="s">
        <v>38</v>
      </c>
      <c r="E27" s="382"/>
      <c r="F27" s="383"/>
      <c r="G27" s="383" t="s">
        <v>19</v>
      </c>
      <c r="H27" s="383" t="s">
        <v>247</v>
      </c>
      <c r="I27" s="383"/>
      <c r="J27" s="1316">
        <v>2010</v>
      </c>
      <c r="K27" s="384" t="s">
        <v>295</v>
      </c>
      <c r="L27" s="1372" t="s">
        <v>261</v>
      </c>
      <c r="M27" s="1373"/>
    </row>
    <row r="28" spans="1:18" ht="12" thickBot="1">
      <c r="A28" s="408" t="s">
        <v>104</v>
      </c>
      <c r="B28" s="1331"/>
      <c r="C28" s="465">
        <v>0.2</v>
      </c>
      <c r="D28" s="465">
        <v>0.4</v>
      </c>
      <c r="E28" s="465">
        <v>0.4</v>
      </c>
      <c r="F28" s="386"/>
      <c r="G28" s="386"/>
      <c r="H28" s="409" t="s">
        <v>500</v>
      </c>
      <c r="I28" s="386"/>
      <c r="J28" s="1317" t="s">
        <v>19</v>
      </c>
      <c r="K28" s="1407" t="s">
        <v>296</v>
      </c>
      <c r="L28" s="1406" t="s">
        <v>509</v>
      </c>
      <c r="M28" s="1406"/>
      <c r="N28" s="1406"/>
      <c r="O28" s="1406"/>
      <c r="P28" s="1406"/>
      <c r="Q28" s="1406"/>
      <c r="R28" s="1406"/>
    </row>
    <row r="29" spans="1:18" ht="11.25">
      <c r="A29" s="380" t="s">
        <v>9</v>
      </c>
      <c r="B29" s="233">
        <f>O8/$O$17*$B$38</f>
        <v>44455.46510736969</v>
      </c>
      <c r="C29" s="233">
        <f>B8/$B$17*$C$28*$S$21</f>
        <v>7088.395042067307</v>
      </c>
      <c r="D29" s="233">
        <f>C8/$C$17*$D$28*$S$21</f>
        <v>33025.47227987154</v>
      </c>
      <c r="E29" s="233">
        <f>D8/$D$17*$E$28*$S$21</f>
        <v>32766.014969726722</v>
      </c>
      <c r="F29" s="233">
        <f>SUM(C29:E29)</f>
        <v>72879.88229166556</v>
      </c>
      <c r="G29" s="233">
        <f>B29+F29</f>
        <v>117335.34739903525</v>
      </c>
      <c r="H29" s="233">
        <f>N8-G29</f>
        <v>266109.65260096476</v>
      </c>
      <c r="I29" s="233"/>
      <c r="J29" s="1318">
        <f>N8-G29</f>
        <v>266109.65260096476</v>
      </c>
      <c r="K29" s="423">
        <f>G29/N8*100</f>
        <v>30.600307058127047</v>
      </c>
      <c r="L29" s="1406">
        <f>J29-AW8</f>
        <v>-32532.347399035236</v>
      </c>
      <c r="M29" s="1406"/>
      <c r="N29" s="1406">
        <v>269782.65260096476</v>
      </c>
      <c r="O29" s="1406"/>
      <c r="P29" s="1406"/>
      <c r="Q29" s="1406">
        <v>-28859.347399035236</v>
      </c>
      <c r="R29" s="1406">
        <v>-3673</v>
      </c>
    </row>
    <row r="30" spans="1:18" ht="11.25">
      <c r="A30" s="388" t="s">
        <v>10</v>
      </c>
      <c r="B30" s="238">
        <f aca="true" t="shared" si="22" ref="B30:B37">O9/$O$17*$B$38</f>
        <v>28472.553667088578</v>
      </c>
      <c r="C30" s="238">
        <f aca="true" t="shared" si="23" ref="C30:C36">B9/$B$17*$C$28*$S$21</f>
        <v>19010.331881009617</v>
      </c>
      <c r="D30" s="238">
        <f aca="true" t="shared" si="24" ref="D30:D36">C9/$C$17*$D$28*$S$21</f>
        <v>24596.737444351085</v>
      </c>
      <c r="E30" s="238">
        <f aca="true" t="shared" si="25" ref="E30:E36">D9/$D$17*$E$28*$S$21</f>
        <v>17499.941652757323</v>
      </c>
      <c r="F30" s="238">
        <f aca="true" t="shared" si="26" ref="F30:F37">SUM(C30:E30)</f>
        <v>61107.01097811802</v>
      </c>
      <c r="G30" s="238">
        <f aca="true" t="shared" si="27" ref="G30:G37">B30+F30</f>
        <v>89579.5646452066</v>
      </c>
      <c r="H30" s="238">
        <f aca="true" t="shared" si="28" ref="H30:H37">N9-G30</f>
        <v>266824.4353547934</v>
      </c>
      <c r="I30" s="238"/>
      <c r="J30" s="1319">
        <f aca="true" t="shared" si="29" ref="J30:J37">N9-G30</f>
        <v>266824.4353547934</v>
      </c>
      <c r="K30" s="424">
        <f aca="true" t="shared" si="30" ref="K30:K38">G30/N9*100</f>
        <v>25.134275890620362</v>
      </c>
      <c r="L30" s="1406">
        <f aca="true" t="shared" si="31" ref="L30:L37">J30-AW9</f>
        <v>8.435354793386068</v>
      </c>
      <c r="M30" s="1406"/>
      <c r="N30" s="1406">
        <v>259771.4353547934</v>
      </c>
      <c r="O30" s="1406"/>
      <c r="P30" s="1406"/>
      <c r="Q30" s="1406">
        <v>-7044.564645206614</v>
      </c>
      <c r="R30" s="1406">
        <v>7053</v>
      </c>
    </row>
    <row r="31" spans="1:18" ht="11.25">
      <c r="A31" s="388" t="s">
        <v>11</v>
      </c>
      <c r="B31" s="238">
        <f t="shared" si="22"/>
        <v>9635.494507997199</v>
      </c>
      <c r="C31" s="238">
        <f t="shared" si="23"/>
        <v>7949.956876001604</v>
      </c>
      <c r="D31" s="238">
        <f t="shared" si="24"/>
        <v>8453.698298117717</v>
      </c>
      <c r="E31" s="238">
        <f t="shared" si="25"/>
        <v>11670.111383843343</v>
      </c>
      <c r="F31" s="238">
        <f t="shared" si="26"/>
        <v>28073.766557962663</v>
      </c>
      <c r="G31" s="238">
        <f t="shared" si="27"/>
        <v>37709.26106595986</v>
      </c>
      <c r="H31" s="238">
        <f t="shared" si="28"/>
        <v>92672.73893404014</v>
      </c>
      <c r="I31" s="238"/>
      <c r="J31" s="1319">
        <f t="shared" si="29"/>
        <v>92672.73893404014</v>
      </c>
      <c r="K31" s="424">
        <f t="shared" si="30"/>
        <v>28.922137308800185</v>
      </c>
      <c r="L31" s="1406">
        <f t="shared" si="31"/>
        <v>6701.738934040142</v>
      </c>
      <c r="M31" s="1406"/>
      <c r="N31" s="1406">
        <v>93344.73893404014</v>
      </c>
      <c r="O31" s="1406"/>
      <c r="P31" s="1406"/>
      <c r="Q31" s="1406">
        <v>7373.738934040142</v>
      </c>
      <c r="R31" s="1406">
        <v>-672</v>
      </c>
    </row>
    <row r="32" spans="1:18" ht="11.25">
      <c r="A32" s="388" t="s">
        <v>12</v>
      </c>
      <c r="B32" s="238">
        <f t="shared" si="22"/>
        <v>13830.973578496765</v>
      </c>
      <c r="C32" s="238">
        <f t="shared" si="23"/>
        <v>8257.800315504808</v>
      </c>
      <c r="D32" s="238">
        <f t="shared" si="24"/>
        <v>11845.16300240371</v>
      </c>
      <c r="E32" s="238">
        <f t="shared" si="25"/>
        <v>11264.270196912672</v>
      </c>
      <c r="F32" s="238">
        <f t="shared" si="26"/>
        <v>31367.23351482119</v>
      </c>
      <c r="G32" s="238">
        <f t="shared" si="27"/>
        <v>45198.20709331796</v>
      </c>
      <c r="H32" s="238">
        <f t="shared" si="28"/>
        <v>105419.79290668204</v>
      </c>
      <c r="I32" s="238"/>
      <c r="J32" s="1319">
        <f t="shared" si="29"/>
        <v>105419.79290668204</v>
      </c>
      <c r="K32" s="424">
        <f t="shared" si="30"/>
        <v>30.008503029729482</v>
      </c>
      <c r="L32" s="1406">
        <f t="shared" si="31"/>
        <v>-2792.207093317964</v>
      </c>
      <c r="M32" s="1406"/>
      <c r="N32" s="1406">
        <v>102408.79290668204</v>
      </c>
      <c r="O32" s="1406"/>
      <c r="P32" s="1406"/>
      <c r="Q32" s="1406">
        <v>-5803.207093317964</v>
      </c>
      <c r="R32" s="1406">
        <v>3294</v>
      </c>
    </row>
    <row r="33" spans="1:18" ht="11.25">
      <c r="A33" s="388" t="s">
        <v>13</v>
      </c>
      <c r="B33" s="238">
        <f t="shared" si="22"/>
        <v>52910.747291387044</v>
      </c>
      <c r="C33" s="238">
        <f t="shared" si="23"/>
        <v>7188.34421073718</v>
      </c>
      <c r="D33" s="238">
        <f t="shared" si="24"/>
        <v>39718.65209672477</v>
      </c>
      <c r="E33" s="238">
        <f t="shared" si="25"/>
        <v>43308.305887743416</v>
      </c>
      <c r="F33" s="238">
        <f t="shared" si="26"/>
        <v>90215.30219520537</v>
      </c>
      <c r="G33" s="238">
        <f t="shared" si="27"/>
        <v>143126.0494865924</v>
      </c>
      <c r="H33" s="238">
        <f t="shared" si="28"/>
        <v>218876.9505134076</v>
      </c>
      <c r="I33" s="238"/>
      <c r="J33" s="1319">
        <f t="shared" si="29"/>
        <v>218876.9505134076</v>
      </c>
      <c r="K33" s="424">
        <f t="shared" si="30"/>
        <v>39.53725507429287</v>
      </c>
      <c r="L33" s="1406">
        <f t="shared" si="31"/>
        <v>-3763.049486592412</v>
      </c>
      <c r="M33" s="1406"/>
      <c r="N33" s="1406">
        <v>225839.9505134076</v>
      </c>
      <c r="O33" s="1406"/>
      <c r="P33" s="1406"/>
      <c r="Q33" s="1406">
        <v>3199.950513407588</v>
      </c>
      <c r="R33" s="1406">
        <v>-6963</v>
      </c>
    </row>
    <row r="34" spans="1:18" ht="11.25">
      <c r="A34" s="388" t="s">
        <v>14</v>
      </c>
      <c r="B34" s="238">
        <f t="shared" si="22"/>
        <v>14403.91750915846</v>
      </c>
      <c r="C34" s="238">
        <f t="shared" si="23"/>
        <v>4607.65667568109</v>
      </c>
      <c r="D34" s="238">
        <f t="shared" si="24"/>
        <v>7781.943406988374</v>
      </c>
      <c r="E34" s="238">
        <f t="shared" si="25"/>
        <v>7545.510823105875</v>
      </c>
      <c r="F34" s="238">
        <f t="shared" si="26"/>
        <v>19935.11090577534</v>
      </c>
      <c r="G34" s="238">
        <f t="shared" si="27"/>
        <v>34339.0284149338</v>
      </c>
      <c r="H34" s="238">
        <f t="shared" si="28"/>
        <v>93344.9715850662</v>
      </c>
      <c r="I34" s="238"/>
      <c r="J34" s="1319">
        <f t="shared" si="29"/>
        <v>93344.9715850662</v>
      </c>
      <c r="K34" s="424">
        <f t="shared" si="30"/>
        <v>26.893759918966982</v>
      </c>
      <c r="L34" s="1406">
        <f t="shared" si="31"/>
        <v>-1861.0284149337967</v>
      </c>
      <c r="M34" s="1406"/>
      <c r="N34" s="1406">
        <v>94740.9715850662</v>
      </c>
      <c r="O34" s="1406"/>
      <c r="P34" s="1406"/>
      <c r="Q34" s="1406">
        <v>-465.02841493379674</v>
      </c>
      <c r="R34" s="1406">
        <v>-1166</v>
      </c>
    </row>
    <row r="35" spans="1:18" ht="11.25">
      <c r="A35" s="388" t="s">
        <v>15</v>
      </c>
      <c r="B35" s="238">
        <f t="shared" si="22"/>
        <v>20034.433714399463</v>
      </c>
      <c r="C35" s="238">
        <f t="shared" si="23"/>
        <v>13727.018825120193</v>
      </c>
      <c r="D35" s="238">
        <f t="shared" si="24"/>
        <v>19212.356309383187</v>
      </c>
      <c r="E35" s="238">
        <f t="shared" si="25"/>
        <v>15132.825030273278</v>
      </c>
      <c r="F35" s="238">
        <f t="shared" si="26"/>
        <v>48072.20016477666</v>
      </c>
      <c r="G35" s="238">
        <f t="shared" si="27"/>
        <v>68106.63387917612</v>
      </c>
      <c r="H35" s="238">
        <f t="shared" si="28"/>
        <v>207577.3661208239</v>
      </c>
      <c r="I35" s="238"/>
      <c r="J35" s="1319">
        <f t="shared" si="29"/>
        <v>207577.3661208239</v>
      </c>
      <c r="K35" s="424">
        <f t="shared" si="30"/>
        <v>24.70460160153514</v>
      </c>
      <c r="L35" s="1406">
        <f t="shared" si="31"/>
        <v>-1201.6338791761082</v>
      </c>
      <c r="M35" s="1406"/>
      <c r="N35" s="1406">
        <v>206216.3661208239</v>
      </c>
      <c r="O35" s="1406"/>
      <c r="P35" s="1406"/>
      <c r="Q35" s="1406">
        <v>-2562.633879176108</v>
      </c>
      <c r="R35" s="1406">
        <v>1361</v>
      </c>
    </row>
    <row r="36" spans="1:18" ht="11.25">
      <c r="A36" s="388" t="s">
        <v>16</v>
      </c>
      <c r="B36" s="238">
        <f t="shared" si="22"/>
        <v>6038.771364076985</v>
      </c>
      <c r="C36" s="238">
        <f t="shared" si="23"/>
        <v>2804.5736728766024</v>
      </c>
      <c r="D36" s="238">
        <f t="shared" si="24"/>
        <v>5824.391881652602</v>
      </c>
      <c r="E36" s="238">
        <f t="shared" si="25"/>
        <v>11452.385425189548</v>
      </c>
      <c r="F36" s="238">
        <f t="shared" si="26"/>
        <v>20081.35097971875</v>
      </c>
      <c r="G36" s="238">
        <f t="shared" si="27"/>
        <v>26120.122343795738</v>
      </c>
      <c r="H36" s="238">
        <f t="shared" si="28"/>
        <v>42825.87765620426</v>
      </c>
      <c r="I36" s="238"/>
      <c r="J36" s="1319">
        <f t="shared" si="29"/>
        <v>42825.87765620426</v>
      </c>
      <c r="K36" s="424">
        <f t="shared" si="30"/>
        <v>37.88489882487126</v>
      </c>
      <c r="L36" s="1406">
        <f t="shared" si="31"/>
        <v>709.8776562042622</v>
      </c>
      <c r="M36" s="1406"/>
      <c r="N36" s="1406">
        <v>42836.87765620426</v>
      </c>
      <c r="O36" s="1406"/>
      <c r="P36" s="1406"/>
      <c r="Q36" s="1406">
        <v>720.8776562042622</v>
      </c>
      <c r="R36" s="1406">
        <v>-11</v>
      </c>
    </row>
    <row r="37" spans="1:18" ht="11.25">
      <c r="A37" s="419" t="s">
        <v>17</v>
      </c>
      <c r="B37" s="420">
        <f t="shared" si="22"/>
        <v>11270.643260025821</v>
      </c>
      <c r="C37" s="420">
        <f>B16/$B$17*$C$28*$S$21</f>
        <v>9197.322501001603</v>
      </c>
      <c r="D37" s="420">
        <f>C16/$C$17*$D$28*$S$21</f>
        <v>9204.385280506995</v>
      </c>
      <c r="E37" s="420">
        <f>D16/$D$17*$E$28*$S$21</f>
        <v>9023.434630447828</v>
      </c>
      <c r="F37" s="420">
        <f t="shared" si="26"/>
        <v>27425.142411956425</v>
      </c>
      <c r="G37" s="420">
        <f t="shared" si="27"/>
        <v>38695.785671982245</v>
      </c>
      <c r="H37" s="420">
        <f t="shared" si="28"/>
        <v>114538.21432801776</v>
      </c>
      <c r="I37" s="420"/>
      <c r="J37" s="1320">
        <f t="shared" si="29"/>
        <v>114538.21432801776</v>
      </c>
      <c r="K37" s="425">
        <f t="shared" si="30"/>
        <v>25.25274134459862</v>
      </c>
      <c r="L37" s="1406">
        <f t="shared" si="31"/>
        <v>1538.2143280177552</v>
      </c>
      <c r="M37" s="1406"/>
      <c r="N37" s="1406">
        <v>113495.21432801776</v>
      </c>
      <c r="O37" s="1406"/>
      <c r="P37" s="1406"/>
      <c r="Q37" s="1406">
        <v>495.2143280177552</v>
      </c>
      <c r="R37" s="1406">
        <v>1043</v>
      </c>
    </row>
    <row r="38" spans="1:18" ht="12" thickBot="1">
      <c r="A38" s="414" t="s">
        <v>115</v>
      </c>
      <c r="B38" s="418">
        <f>S20</f>
        <v>201053</v>
      </c>
      <c r="C38" s="418">
        <f aca="true" t="shared" si="32" ref="C38:L38">SUM(C29:C37)</f>
        <v>79831.40000000001</v>
      </c>
      <c r="D38" s="418">
        <f t="shared" si="32"/>
        <v>159662.8</v>
      </c>
      <c r="E38" s="418">
        <f t="shared" si="32"/>
        <v>159662.80000000002</v>
      </c>
      <c r="F38" s="418">
        <f t="shared" si="32"/>
        <v>399156.99999999994</v>
      </c>
      <c r="G38" s="418">
        <f t="shared" si="32"/>
        <v>600209.9999999999</v>
      </c>
      <c r="H38" s="418">
        <f t="shared" si="32"/>
        <v>1408190</v>
      </c>
      <c r="I38" s="418"/>
      <c r="J38" s="1321">
        <f t="shared" si="32"/>
        <v>1408190</v>
      </c>
      <c r="K38" s="426">
        <f t="shared" si="30"/>
        <v>29.884983071101367</v>
      </c>
      <c r="L38" s="1406">
        <f t="shared" si="32"/>
        <v>-33191.99999999997</v>
      </c>
      <c r="M38" s="1406"/>
      <c r="N38" s="1406">
        <v>1408437</v>
      </c>
      <c r="O38" s="1406"/>
      <c r="P38" s="1406"/>
      <c r="Q38" s="1406">
        <v>-32945</v>
      </c>
      <c r="R38" s="1406">
        <v>266</v>
      </c>
    </row>
    <row r="39" spans="1:18" ht="11.25">
      <c r="A39" s="388" t="s">
        <v>141</v>
      </c>
      <c r="B39" s="254"/>
      <c r="C39" s="238"/>
      <c r="D39" s="238"/>
      <c r="E39" s="238"/>
      <c r="F39" s="238"/>
      <c r="G39" s="238"/>
      <c r="H39" s="238"/>
      <c r="I39" s="238"/>
      <c r="J39" s="389">
        <f>S17</f>
        <v>600210</v>
      </c>
      <c r="K39" s="255"/>
      <c r="L39" s="1405"/>
      <c r="M39" s="1404"/>
      <c r="N39" s="1406"/>
      <c r="O39" s="1403"/>
      <c r="P39" s="1406"/>
      <c r="Q39" s="1406"/>
      <c r="R39" s="1406"/>
    </row>
    <row r="40" spans="1:15" ht="11.25">
      <c r="A40" s="1289" t="s">
        <v>497</v>
      </c>
      <c r="B40" s="1290"/>
      <c r="C40" s="1291"/>
      <c r="D40" s="1291"/>
      <c r="E40" s="1291"/>
      <c r="F40" s="1291"/>
      <c r="G40" s="1291"/>
      <c r="H40" s="1291"/>
      <c r="I40" s="1291"/>
      <c r="J40" s="1292">
        <f>N18+N19</f>
        <v>513</v>
      </c>
      <c r="K40" s="1293"/>
      <c r="L40" s="1374"/>
      <c r="M40" s="1375"/>
      <c r="O40" s="245"/>
    </row>
    <row r="41" spans="1:15" ht="12" thickBot="1">
      <c r="A41" s="411" t="s">
        <v>248</v>
      </c>
      <c r="B41" s="412"/>
      <c r="C41" s="241"/>
      <c r="D41" s="241"/>
      <c r="E41" s="241"/>
      <c r="F41" s="241"/>
      <c r="G41" s="477"/>
      <c r="H41" s="477"/>
      <c r="I41" s="477"/>
      <c r="J41" s="496">
        <f>SUM(J38:J40)</f>
        <v>2008913</v>
      </c>
      <c r="K41" s="413"/>
      <c r="L41" s="1374"/>
      <c r="M41" s="1375"/>
      <c r="O41" s="245"/>
    </row>
    <row r="42" spans="2:10" ht="11.25">
      <c r="B42" s="245"/>
      <c r="D42" s="249"/>
      <c r="G42" s="478"/>
      <c r="H42" s="478"/>
      <c r="I42" s="478"/>
      <c r="J42" s="478"/>
    </row>
    <row r="43" spans="4:10" ht="11.25">
      <c r="D43" s="249"/>
      <c r="J43" s="245"/>
    </row>
    <row r="44" ht="11.25">
      <c r="D44" s="249"/>
    </row>
    <row r="45" ht="11.25">
      <c r="D45" s="249"/>
    </row>
    <row r="46" ht="11.25">
      <c r="D46" s="249"/>
    </row>
    <row r="47" ht="11.25">
      <c r="D47" s="249"/>
    </row>
    <row r="48" ht="11.25">
      <c r="D48" s="249"/>
    </row>
    <row r="49" spans="1:21" ht="15.75">
      <c r="A49" s="250"/>
      <c r="B49" s="222"/>
      <c r="C49" s="222"/>
      <c r="D49" s="223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</row>
    <row r="50" ht="11.25">
      <c r="D50" s="249"/>
    </row>
    <row r="51" ht="11.25">
      <c r="D51" s="249"/>
    </row>
    <row r="52" ht="11.25">
      <c r="D52" s="249"/>
    </row>
    <row r="53" ht="11.25">
      <c r="D53" s="249"/>
    </row>
    <row r="54" ht="11.25">
      <c r="D54" s="249"/>
    </row>
    <row r="55" ht="11.25">
      <c r="D55" s="249"/>
    </row>
    <row r="56" ht="11.25">
      <c r="D56" s="249"/>
    </row>
    <row r="57" ht="11.25">
      <c r="D57" s="249"/>
    </row>
    <row r="58" ht="11.25">
      <c r="D58" s="249"/>
    </row>
    <row r="59" ht="11.25">
      <c r="D59" s="249"/>
    </row>
    <row r="60" ht="11.25">
      <c r="D60" s="249"/>
    </row>
    <row r="61" ht="11.25">
      <c r="D61" s="249"/>
    </row>
    <row r="62" ht="11.25">
      <c r="D62" s="249"/>
    </row>
    <row r="63" ht="11.25">
      <c r="D63" s="249"/>
    </row>
    <row r="64" ht="11.25">
      <c r="D64" s="249"/>
    </row>
    <row r="65" ht="11.25">
      <c r="D65" s="249"/>
    </row>
    <row r="66" ht="11.25">
      <c r="D66" s="249"/>
    </row>
    <row r="67" ht="11.25">
      <c r="D67" s="249"/>
    </row>
    <row r="68" ht="11.25">
      <c r="D68" s="249"/>
    </row>
    <row r="69" ht="11.25">
      <c r="D69" s="249"/>
    </row>
    <row r="70" spans="1:4" ht="12.75">
      <c r="A70" s="251"/>
      <c r="B70" s="246"/>
      <c r="C70" s="246"/>
      <c r="D70" s="249"/>
    </row>
    <row r="71" spans="1:11" ht="11.25">
      <c r="A71" s="244"/>
      <c r="B71" s="252"/>
      <c r="C71" s="252"/>
      <c r="D71" s="249"/>
      <c r="K71" s="249"/>
    </row>
    <row r="72" spans="1:4" ht="11.25">
      <c r="A72" s="244"/>
      <c r="B72" s="252"/>
      <c r="D72" s="249"/>
    </row>
    <row r="73" spans="1:4" ht="11.25">
      <c r="A73" s="246"/>
      <c r="B73" s="252"/>
      <c r="D73" s="249"/>
    </row>
    <row r="74" spans="1:10" ht="11.25">
      <c r="A74" s="253"/>
      <c r="B74" s="247"/>
      <c r="C74" s="247"/>
      <c r="D74" s="249"/>
      <c r="H74" s="245"/>
      <c r="I74" s="247"/>
      <c r="J74" s="247"/>
    </row>
    <row r="75" spans="1:10" ht="11.25">
      <c r="A75" s="253"/>
      <c r="B75" s="247"/>
      <c r="C75" s="247"/>
      <c r="D75" s="249"/>
      <c r="H75" s="245"/>
      <c r="I75" s="247"/>
      <c r="J75" s="247"/>
    </row>
    <row r="76" spans="1:10" ht="11.25">
      <c r="A76" s="253"/>
      <c r="B76" s="247"/>
      <c r="C76" s="247"/>
      <c r="D76" s="249"/>
      <c r="H76" s="245"/>
      <c r="I76" s="247"/>
      <c r="J76" s="247"/>
    </row>
    <row r="77" spans="1:10" ht="11.25">
      <c r="A77" s="253"/>
      <c r="B77" s="247"/>
      <c r="C77" s="247"/>
      <c r="D77" s="249"/>
      <c r="H77" s="245"/>
      <c r="I77" s="247"/>
      <c r="J77" s="247"/>
    </row>
    <row r="78" spans="1:10" ht="11.25">
      <c r="A78" s="253"/>
      <c r="B78" s="247"/>
      <c r="C78" s="247"/>
      <c r="D78" s="249"/>
      <c r="H78" s="245"/>
      <c r="I78" s="247"/>
      <c r="J78" s="247"/>
    </row>
    <row r="79" spans="1:10" ht="11.25">
      <c r="A79" s="253"/>
      <c r="B79" s="247"/>
      <c r="C79" s="247"/>
      <c r="D79" s="249"/>
      <c r="H79" s="245"/>
      <c r="I79" s="247"/>
      <c r="J79" s="247"/>
    </row>
    <row r="80" spans="1:10" ht="11.25">
      <c r="A80" s="253"/>
      <c r="B80" s="247"/>
      <c r="C80" s="247"/>
      <c r="D80" s="249"/>
      <c r="H80" s="245"/>
      <c r="I80" s="247"/>
      <c r="J80" s="247"/>
    </row>
    <row r="81" spans="1:10" ht="11.25">
      <c r="A81" s="253"/>
      <c r="B81" s="247"/>
      <c r="C81" s="247"/>
      <c r="D81" s="249"/>
      <c r="E81" s="244"/>
      <c r="F81" s="244"/>
      <c r="G81" s="244"/>
      <c r="H81" s="245"/>
      <c r="I81" s="247"/>
      <c r="J81" s="247"/>
    </row>
    <row r="82" spans="1:10" ht="11.25">
      <c r="A82" s="253"/>
      <c r="B82" s="247"/>
      <c r="C82" s="247"/>
      <c r="D82" s="249"/>
      <c r="H82" s="245"/>
      <c r="I82" s="247"/>
      <c r="J82" s="247"/>
    </row>
    <row r="83" spans="1:10" ht="11.25">
      <c r="A83" s="253"/>
      <c r="B83" s="247"/>
      <c r="C83" s="247"/>
      <c r="D83" s="249"/>
      <c r="H83" s="245"/>
      <c r="I83" s="247"/>
      <c r="J83" s="247"/>
    </row>
    <row r="84" spans="2:4" ht="11.25">
      <c r="B84" s="247"/>
      <c r="C84" s="247"/>
      <c r="D84" s="249"/>
    </row>
    <row r="85" ht="11.25">
      <c r="D85" s="249"/>
    </row>
    <row r="86" ht="11.25">
      <c r="D86" s="249"/>
    </row>
    <row r="87" ht="11.25">
      <c r="D87" s="249"/>
    </row>
    <row r="88" ht="11.25">
      <c r="D88" s="249"/>
    </row>
    <row r="89" ht="11.25">
      <c r="D89" s="249"/>
    </row>
    <row r="90" ht="11.25">
      <c r="D90" s="249"/>
    </row>
    <row r="91" ht="11.25">
      <c r="D91" s="249"/>
    </row>
    <row r="92" ht="11.25">
      <c r="D92" s="249"/>
    </row>
    <row r="93" ht="11.25">
      <c r="D93" s="249"/>
    </row>
    <row r="94" ht="11.25">
      <c r="D94" s="249"/>
    </row>
    <row r="95" ht="11.25">
      <c r="D95" s="249"/>
    </row>
    <row r="96" ht="11.25">
      <c r="D96" s="249"/>
    </row>
    <row r="97" ht="11.25">
      <c r="D97" s="249"/>
    </row>
    <row r="98" ht="11.25">
      <c r="D98" s="249"/>
    </row>
    <row r="99" ht="11.25">
      <c r="D99" s="249"/>
    </row>
    <row r="100" ht="11.25">
      <c r="D100" s="249"/>
    </row>
    <row r="101" ht="11.25">
      <c r="D101" s="249"/>
    </row>
    <row r="102" ht="11.25">
      <c r="D102" s="249"/>
    </row>
    <row r="103" ht="11.25">
      <c r="D103" s="249"/>
    </row>
    <row r="104" ht="11.25">
      <c r="D104" s="249"/>
    </row>
    <row r="105" ht="11.25">
      <c r="D105" s="249"/>
    </row>
    <row r="106" ht="11.25">
      <c r="D106" s="249"/>
    </row>
    <row r="107" ht="11.25">
      <c r="D107" s="249"/>
    </row>
    <row r="108" ht="11.25">
      <c r="D108" s="249"/>
    </row>
    <row r="109" ht="11.25">
      <c r="D109" s="249"/>
    </row>
    <row r="110" ht="11.25">
      <c r="D110" s="249"/>
    </row>
    <row r="111" ht="11.25">
      <c r="D111" s="249"/>
    </row>
    <row r="112" ht="11.25">
      <c r="D112" s="249"/>
    </row>
    <row r="113" ht="11.25">
      <c r="D113" s="249"/>
    </row>
    <row r="114" ht="11.25">
      <c r="D114" s="249"/>
    </row>
    <row r="115" ht="11.25">
      <c r="D115" s="249"/>
    </row>
    <row r="116" ht="11.25">
      <c r="D116" s="249"/>
    </row>
    <row r="117" ht="11.25">
      <c r="D117" s="249"/>
    </row>
    <row r="118" ht="11.25">
      <c r="D118" s="249"/>
    </row>
    <row r="119" ht="11.25">
      <c r="D119" s="249"/>
    </row>
    <row r="120" ht="11.25">
      <c r="D120" s="249"/>
    </row>
    <row r="121" ht="11.25">
      <c r="D121" s="249"/>
    </row>
    <row r="122" ht="11.25">
      <c r="D122" s="249"/>
    </row>
    <row r="123" ht="11.25">
      <c r="D123" s="249"/>
    </row>
    <row r="124" ht="11.25">
      <c r="D124" s="249"/>
    </row>
    <row r="125" ht="11.25">
      <c r="D125" s="249"/>
    </row>
    <row r="126" ht="11.25">
      <c r="D126" s="249"/>
    </row>
    <row r="127" ht="11.25">
      <c r="D127" s="249"/>
    </row>
    <row r="128" ht="11.25">
      <c r="D128" s="249"/>
    </row>
    <row r="129" ht="11.25">
      <c r="D129" s="249"/>
    </row>
    <row r="130" ht="11.25">
      <c r="D130" s="249"/>
    </row>
    <row r="131" ht="11.25">
      <c r="D131" s="249"/>
    </row>
    <row r="132" ht="11.25">
      <c r="D132" s="249"/>
    </row>
    <row r="133" ht="11.25">
      <c r="D133" s="249"/>
    </row>
    <row r="134" ht="11.25">
      <c r="D134" s="249"/>
    </row>
    <row r="135" ht="11.25">
      <c r="D135" s="249"/>
    </row>
    <row r="136" ht="11.25">
      <c r="D136" s="249"/>
    </row>
    <row r="137" ht="11.25">
      <c r="D137" s="249"/>
    </row>
    <row r="138" ht="11.25">
      <c r="D138" s="249"/>
    </row>
    <row r="139" ht="11.25">
      <c r="D139" s="249"/>
    </row>
    <row r="140" ht="11.25">
      <c r="D140" s="249"/>
    </row>
    <row r="141" ht="11.25">
      <c r="D141" s="249"/>
    </row>
    <row r="142" ht="11.25">
      <c r="D142" s="249"/>
    </row>
    <row r="143" ht="11.25">
      <c r="D143" s="249"/>
    </row>
    <row r="144" ht="11.25">
      <c r="D144" s="249"/>
    </row>
    <row r="145" ht="11.25">
      <c r="D145" s="249"/>
    </row>
    <row r="146" ht="11.25">
      <c r="D146" s="249"/>
    </row>
    <row r="147" ht="11.25">
      <c r="D147" s="249"/>
    </row>
    <row r="148" ht="11.25">
      <c r="D148" s="249"/>
    </row>
    <row r="149" ht="11.25">
      <c r="D149" s="249"/>
    </row>
    <row r="150" ht="11.25">
      <c r="D150" s="249"/>
    </row>
    <row r="151" ht="11.25">
      <c r="D151" s="249"/>
    </row>
    <row r="152" ht="11.25">
      <c r="D152" s="249"/>
    </row>
    <row r="153" ht="11.25">
      <c r="D153" s="249"/>
    </row>
    <row r="154" ht="11.25">
      <c r="D154" s="249"/>
    </row>
    <row r="155" ht="11.25">
      <c r="D155" s="249"/>
    </row>
    <row r="156" ht="11.25">
      <c r="D156" s="249"/>
    </row>
    <row r="157" ht="11.25">
      <c r="D157" s="249"/>
    </row>
    <row r="158" ht="11.25">
      <c r="D158" s="249"/>
    </row>
    <row r="159" ht="11.25">
      <c r="D159" s="249"/>
    </row>
    <row r="160" ht="11.25">
      <c r="D160" s="249"/>
    </row>
    <row r="161" ht="11.25">
      <c r="D161" s="249"/>
    </row>
    <row r="162" ht="11.25">
      <c r="D162" s="249"/>
    </row>
    <row r="163" ht="11.25">
      <c r="D163" s="249"/>
    </row>
    <row r="164" ht="11.25">
      <c r="D164" s="249"/>
    </row>
    <row r="165" ht="11.25">
      <c r="D165" s="249"/>
    </row>
    <row r="166" ht="11.25">
      <c r="D166" s="249"/>
    </row>
    <row r="167" ht="11.25">
      <c r="D167" s="249"/>
    </row>
    <row r="168" ht="11.25">
      <c r="D168" s="249"/>
    </row>
    <row r="169" ht="11.25">
      <c r="D169" s="249"/>
    </row>
    <row r="170" ht="11.25">
      <c r="D170" s="249"/>
    </row>
    <row r="171" ht="11.25">
      <c r="D171" s="249"/>
    </row>
    <row r="172" ht="11.25">
      <c r="D172" s="249"/>
    </row>
    <row r="173" ht="11.25">
      <c r="D173" s="249"/>
    </row>
    <row r="174" ht="11.25">
      <c r="D174" s="249"/>
    </row>
    <row r="175" ht="11.25">
      <c r="D175" s="249"/>
    </row>
    <row r="176" ht="11.25">
      <c r="D176" s="249"/>
    </row>
    <row r="177" ht="11.25">
      <c r="D177" s="249"/>
    </row>
    <row r="178" ht="11.25">
      <c r="D178" s="249"/>
    </row>
    <row r="179" ht="11.25">
      <c r="D179" s="249"/>
    </row>
    <row r="180" ht="11.25">
      <c r="D180" s="249"/>
    </row>
    <row r="181" ht="11.25">
      <c r="D181" s="249"/>
    </row>
  </sheetData>
  <mergeCells count="1">
    <mergeCell ref="BA5:BA6"/>
  </mergeCells>
  <printOptions horizontalCentered="1" verticalCentered="1"/>
  <pageMargins left="0.27" right="0.15748031496062992" top="0.5905511811023623" bottom="0.6692913385826772" header="0.3937007874015748" footer="0.35433070866141736"/>
  <pageSetup horizontalDpi="600" verticalDpi="600" orientation="landscape" paperSize="9" scale="85" r:id="rId1"/>
  <headerFooter alignWithMargins="0">
    <oddHeader>&amp;R
</oddHeader>
    <oddFooter>&amp;C&amp;8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43">
      <selection activeCell="E65" sqref="E65"/>
    </sheetView>
  </sheetViews>
  <sheetFormatPr defaultColWidth="9.00390625" defaultRowHeight="12.75"/>
  <cols>
    <col min="1" max="1" width="4.625" style="1" customWidth="1"/>
    <col min="2" max="2" width="5.00390625" style="1" customWidth="1"/>
    <col min="3" max="3" width="15.25390625" style="1" customWidth="1"/>
    <col min="4" max="4" width="11.25390625" style="1" customWidth="1"/>
    <col min="5" max="6" width="10.75390625" style="1" customWidth="1"/>
    <col min="7" max="7" width="10.00390625" style="1" customWidth="1"/>
    <col min="8" max="8" width="9.875" style="1" customWidth="1"/>
    <col min="9" max="9" width="9.25390625" style="1" customWidth="1"/>
    <col min="10" max="10" width="10.375" style="1" customWidth="1"/>
    <col min="11" max="11" width="9.625" style="1" customWidth="1"/>
    <col min="12" max="12" width="9.875" style="1" customWidth="1"/>
    <col min="13" max="13" width="4.75390625" style="506" customWidth="1"/>
    <col min="14" max="16384" width="9.125" style="1" customWidth="1"/>
  </cols>
  <sheetData>
    <row r="1" spans="1:2" ht="12.75">
      <c r="A1" s="11" t="s">
        <v>530</v>
      </c>
      <c r="B1" s="11"/>
    </row>
    <row r="2" spans="1:3" ht="12.75">
      <c r="A2" s="11"/>
      <c r="B2" s="11"/>
      <c r="C2" s="173"/>
    </row>
    <row r="3" spans="1:2" ht="13.5" thickBot="1">
      <c r="A3" s="11" t="s">
        <v>529</v>
      </c>
      <c r="B3" s="11"/>
    </row>
    <row r="4" spans="1:9" ht="12.75">
      <c r="A4" s="174"/>
      <c r="B4" s="175"/>
      <c r="C4" s="2"/>
      <c r="D4" s="1447">
        <v>2010</v>
      </c>
      <c r="E4" s="1448"/>
      <c r="F4" s="1448"/>
      <c r="G4" s="1418">
        <v>2009</v>
      </c>
      <c r="H4" s="1419"/>
      <c r="I4" s="1420"/>
    </row>
    <row r="5" spans="1:9" ht="12.75">
      <c r="A5" s="176"/>
      <c r="B5" s="177"/>
      <c r="C5" s="5"/>
      <c r="D5" s="58"/>
      <c r="E5" s="1449" t="s">
        <v>54</v>
      </c>
      <c r="F5" s="1414"/>
      <c r="G5" s="1335"/>
      <c r="H5" s="1450" t="s">
        <v>54</v>
      </c>
      <c r="I5" s="1451"/>
    </row>
    <row r="6" spans="1:9" ht="12.75">
      <c r="A6" s="176"/>
      <c r="B6" s="177" t="s">
        <v>60</v>
      </c>
      <c r="C6" s="5"/>
      <c r="D6" s="59" t="s">
        <v>251</v>
      </c>
      <c r="E6" s="100" t="s">
        <v>527</v>
      </c>
      <c r="F6" s="178" t="s">
        <v>93</v>
      </c>
      <c r="G6" s="1336" t="s">
        <v>251</v>
      </c>
      <c r="H6" s="100" t="s">
        <v>99</v>
      </c>
      <c r="I6" s="179" t="s">
        <v>93</v>
      </c>
    </row>
    <row r="7" spans="1:9" ht="13.5" thickBot="1">
      <c r="A7" s="180" t="s">
        <v>57</v>
      </c>
      <c r="B7" s="181" t="s">
        <v>61</v>
      </c>
      <c r="C7" s="3"/>
      <c r="D7" s="60" t="s">
        <v>19</v>
      </c>
      <c r="E7" s="182" t="s">
        <v>526</v>
      </c>
      <c r="F7" s="183" t="s">
        <v>19</v>
      </c>
      <c r="G7" s="1337" t="s">
        <v>19</v>
      </c>
      <c r="H7" s="182" t="s">
        <v>40</v>
      </c>
      <c r="I7" s="184" t="s">
        <v>19</v>
      </c>
    </row>
    <row r="8" spans="1:12" ht="12.75">
      <c r="A8" s="185">
        <v>16</v>
      </c>
      <c r="B8" s="186">
        <v>11</v>
      </c>
      <c r="C8" s="5" t="s">
        <v>9</v>
      </c>
      <c r="D8" s="516">
        <f>str4!J29</f>
        <v>266109.65260096476</v>
      </c>
      <c r="E8" s="4">
        <f>'str1-3'!D56</f>
        <v>28334</v>
      </c>
      <c r="F8" s="81">
        <f>D8-E8</f>
        <v>237775.65260096476</v>
      </c>
      <c r="G8" s="1338">
        <f>SUM(H8:I8)</f>
        <v>283074</v>
      </c>
      <c r="H8" s="4">
        <v>28783</v>
      </c>
      <c r="I8" s="50">
        <v>254291</v>
      </c>
      <c r="J8" s="220"/>
      <c r="K8" s="221"/>
      <c r="L8" s="256"/>
    </row>
    <row r="9" spans="1:12" ht="12.75">
      <c r="A9" s="188">
        <v>17</v>
      </c>
      <c r="B9" s="189">
        <v>21</v>
      </c>
      <c r="C9" s="85" t="s">
        <v>10</v>
      </c>
      <c r="D9" s="517">
        <f>str4!J30</f>
        <v>266824.4353547934</v>
      </c>
      <c r="E9" s="115">
        <f>'str1-3'!D57</f>
        <v>19219</v>
      </c>
      <c r="F9" s="116">
        <f aca="true" t="shared" si="0" ref="F9:F16">D9-E9</f>
        <v>247605.4353547934</v>
      </c>
      <c r="G9" s="1345">
        <f>SUM(H9:I9)</f>
        <v>263984</v>
      </c>
      <c r="H9" s="115">
        <v>13905</v>
      </c>
      <c r="I9" s="118">
        <v>250079</v>
      </c>
      <c r="J9" s="220"/>
      <c r="K9" s="221"/>
      <c r="L9" s="256"/>
    </row>
    <row r="10" spans="1:12" ht="12.75">
      <c r="A10" s="188">
        <v>18</v>
      </c>
      <c r="B10" s="189">
        <v>22</v>
      </c>
      <c r="C10" s="85" t="s">
        <v>11</v>
      </c>
      <c r="D10" s="517">
        <f>str4!J31</f>
        <v>92672.73893404014</v>
      </c>
      <c r="E10" s="115">
        <f>'str1-3'!D58</f>
        <v>3947</v>
      </c>
      <c r="F10" s="116">
        <f t="shared" si="0"/>
        <v>88725.73893404014</v>
      </c>
      <c r="G10" s="1345">
        <f aca="true" t="shared" si="1" ref="G10:G30">SUM(H10:I10)</f>
        <v>84572</v>
      </c>
      <c r="H10" s="115">
        <v>2378</v>
      </c>
      <c r="I10" s="118">
        <v>82194</v>
      </c>
      <c r="J10" s="220"/>
      <c r="K10" s="221"/>
      <c r="L10" s="256"/>
    </row>
    <row r="11" spans="1:12" ht="12.75">
      <c r="A11" s="188">
        <v>19</v>
      </c>
      <c r="B11" s="189">
        <v>23</v>
      </c>
      <c r="C11" s="85" t="s">
        <v>12</v>
      </c>
      <c r="D11" s="517">
        <f>str4!J32</f>
        <v>105419.79290668204</v>
      </c>
      <c r="E11" s="115">
        <f>'str1-3'!D59</f>
        <v>10340</v>
      </c>
      <c r="F11" s="116">
        <f t="shared" si="0"/>
        <v>95079.79290668204</v>
      </c>
      <c r="G11" s="1345">
        <f t="shared" si="1"/>
        <v>106618</v>
      </c>
      <c r="H11" s="115">
        <v>9191</v>
      </c>
      <c r="I11" s="118">
        <v>97427</v>
      </c>
      <c r="J11" s="220"/>
      <c r="K11" s="256"/>
      <c r="L11" s="256"/>
    </row>
    <row r="12" spans="1:12" ht="12.75">
      <c r="A12" s="188">
        <v>20</v>
      </c>
      <c r="B12" s="189">
        <v>31</v>
      </c>
      <c r="C12" s="85" t="s">
        <v>13</v>
      </c>
      <c r="D12" s="517">
        <f>str4!J33</f>
        <v>218876.9505134076</v>
      </c>
      <c r="E12" s="115">
        <f>'str1-3'!D60</f>
        <v>66187</v>
      </c>
      <c r="F12" s="116">
        <f t="shared" si="0"/>
        <v>152689.9505134076</v>
      </c>
      <c r="G12" s="1345">
        <f t="shared" si="1"/>
        <v>204634</v>
      </c>
      <c r="H12" s="115">
        <v>51176</v>
      </c>
      <c r="I12" s="118">
        <v>153458</v>
      </c>
      <c r="J12" s="220"/>
      <c r="K12" s="256"/>
      <c r="L12" s="256"/>
    </row>
    <row r="13" spans="1:12" ht="12.75">
      <c r="A13" s="188">
        <v>21</v>
      </c>
      <c r="B13" s="189">
        <v>33</v>
      </c>
      <c r="C13" s="85" t="s">
        <v>14</v>
      </c>
      <c r="D13" s="517">
        <f>str4!J34</f>
        <v>93344.9715850662</v>
      </c>
      <c r="E13" s="115">
        <f>'str1-3'!D61</f>
        <v>10272</v>
      </c>
      <c r="F13" s="116">
        <f t="shared" si="0"/>
        <v>83072.9715850662</v>
      </c>
      <c r="G13" s="1345">
        <f t="shared" si="1"/>
        <v>94047</v>
      </c>
      <c r="H13" s="115">
        <v>7320</v>
      </c>
      <c r="I13" s="118">
        <v>86727</v>
      </c>
      <c r="J13" s="220"/>
      <c r="K13" s="221"/>
      <c r="L13" s="256"/>
    </row>
    <row r="14" spans="1:12" ht="12.75">
      <c r="A14" s="188">
        <v>22</v>
      </c>
      <c r="B14" s="189">
        <v>41</v>
      </c>
      <c r="C14" s="85" t="s">
        <v>15</v>
      </c>
      <c r="D14" s="517">
        <f>str4!J35</f>
        <v>207577.3661208239</v>
      </c>
      <c r="E14" s="115">
        <f>'str1-3'!D62</f>
        <v>6589</v>
      </c>
      <c r="F14" s="116">
        <f t="shared" si="0"/>
        <v>200988.3661208239</v>
      </c>
      <c r="G14" s="1345">
        <f t="shared" si="1"/>
        <v>207211</v>
      </c>
      <c r="H14" s="115">
        <v>5544</v>
      </c>
      <c r="I14" s="118">
        <v>201667</v>
      </c>
      <c r="J14" s="220"/>
      <c r="K14" s="221"/>
      <c r="L14" s="256"/>
    </row>
    <row r="15" spans="1:12" ht="12.75">
      <c r="A15" s="188">
        <v>23</v>
      </c>
      <c r="B15" s="189">
        <v>51</v>
      </c>
      <c r="C15" s="85" t="s">
        <v>16</v>
      </c>
      <c r="D15" s="517">
        <f>str4!J36</f>
        <v>42825.87765620426</v>
      </c>
      <c r="E15" s="115">
        <f>'str1-3'!D63</f>
        <v>276</v>
      </c>
      <c r="F15" s="116">
        <f t="shared" si="0"/>
        <v>42549.87765620426</v>
      </c>
      <c r="G15" s="1345">
        <f t="shared" si="1"/>
        <v>40203</v>
      </c>
      <c r="H15" s="115">
        <v>254</v>
      </c>
      <c r="I15" s="118">
        <v>39949</v>
      </c>
      <c r="J15" s="220"/>
      <c r="K15" s="221"/>
      <c r="L15" s="256"/>
    </row>
    <row r="16" spans="1:12" ht="12.75">
      <c r="A16" s="190">
        <v>24</v>
      </c>
      <c r="B16" s="191">
        <v>56</v>
      </c>
      <c r="C16" s="103" t="s">
        <v>17</v>
      </c>
      <c r="D16" s="516">
        <f>str4!J37</f>
        <v>114538.21432801776</v>
      </c>
      <c r="E16" s="120">
        <f>'str1-3'!D64</f>
        <v>2527</v>
      </c>
      <c r="F16" s="121">
        <f t="shared" si="0"/>
        <v>112011.21432801776</v>
      </c>
      <c r="G16" s="1346">
        <f t="shared" si="1"/>
        <v>110629</v>
      </c>
      <c r="H16" s="120">
        <v>5213</v>
      </c>
      <c r="I16" s="1340">
        <v>105416</v>
      </c>
      <c r="J16" s="220"/>
      <c r="K16" s="221"/>
      <c r="L16" s="256"/>
    </row>
    <row r="17" spans="1:13" s="11" customFormat="1" ht="12.75">
      <c r="A17" s="257">
        <v>25</v>
      </c>
      <c r="B17" s="258" t="s">
        <v>62</v>
      </c>
      <c r="C17" s="259"/>
      <c r="D17" s="260">
        <f aca="true" t="shared" si="2" ref="D17:I17">SUM(D8:D16)</f>
        <v>1408190</v>
      </c>
      <c r="E17" s="261">
        <f t="shared" si="2"/>
        <v>147691</v>
      </c>
      <c r="F17" s="262">
        <f t="shared" si="2"/>
        <v>1260498.9999999998</v>
      </c>
      <c r="G17" s="1348">
        <f t="shared" si="2"/>
        <v>1394972</v>
      </c>
      <c r="H17" s="262">
        <f t="shared" si="2"/>
        <v>123764</v>
      </c>
      <c r="I17" s="1341">
        <f t="shared" si="2"/>
        <v>1271208</v>
      </c>
      <c r="J17" s="263"/>
      <c r="K17" s="264"/>
      <c r="L17" s="264"/>
      <c r="M17" s="507"/>
    </row>
    <row r="18" spans="1:12" ht="12.75">
      <c r="A18" s="185">
        <v>26</v>
      </c>
      <c r="B18" s="186">
        <v>81</v>
      </c>
      <c r="C18" s="5" t="s">
        <v>105</v>
      </c>
      <c r="D18" s="1352">
        <f>SUM(E18:F18)</f>
        <v>0</v>
      </c>
      <c r="E18" s="4"/>
      <c r="F18" s="116">
        <v>0</v>
      </c>
      <c r="G18" s="1347">
        <f t="shared" si="1"/>
        <v>0</v>
      </c>
      <c r="H18" s="4"/>
      <c r="I18" s="118">
        <v>0</v>
      </c>
      <c r="J18" s="187"/>
      <c r="K18" s="187"/>
      <c r="L18" s="187"/>
    </row>
    <row r="19" spans="1:9" ht="12.75">
      <c r="A19" s="188">
        <v>27</v>
      </c>
      <c r="B19" s="189">
        <v>82</v>
      </c>
      <c r="C19" s="85" t="s">
        <v>2</v>
      </c>
      <c r="D19" s="209">
        <f aca="true" t="shared" si="3" ref="D19:D26">SUM(E19:F19)</f>
        <v>0</v>
      </c>
      <c r="E19" s="115"/>
      <c r="F19" s="116">
        <v>0</v>
      </c>
      <c r="G19" s="1345">
        <f t="shared" si="1"/>
        <v>0</v>
      </c>
      <c r="H19" s="115"/>
      <c r="I19" s="118">
        <v>0</v>
      </c>
    </row>
    <row r="20" spans="1:9" ht="12.75">
      <c r="A20" s="188">
        <f>A19+1</f>
        <v>28</v>
      </c>
      <c r="B20" s="189">
        <v>83</v>
      </c>
      <c r="C20" s="85" t="s">
        <v>140</v>
      </c>
      <c r="D20" s="209">
        <f t="shared" si="3"/>
        <v>2900</v>
      </c>
      <c r="E20" s="115"/>
      <c r="F20" s="1339">
        <f>'příl2-přísp2'!N133</f>
        <v>2900</v>
      </c>
      <c r="G20" s="1345">
        <f t="shared" si="1"/>
        <v>4372</v>
      </c>
      <c r="H20" s="115"/>
      <c r="I20" s="518">
        <v>4372</v>
      </c>
    </row>
    <row r="21" spans="1:9" ht="12.75">
      <c r="A21" s="188">
        <f>A20+1</f>
        <v>29</v>
      </c>
      <c r="B21" s="189">
        <v>84</v>
      </c>
      <c r="C21" s="85" t="s">
        <v>139</v>
      </c>
      <c r="D21" s="209">
        <f t="shared" si="3"/>
        <v>1963</v>
      </c>
      <c r="E21" s="115"/>
      <c r="F21" s="1339">
        <f>'příl2-přísp2'!N134</f>
        <v>1963</v>
      </c>
      <c r="G21" s="1345">
        <f t="shared" si="1"/>
        <v>1979</v>
      </c>
      <c r="H21" s="115"/>
      <c r="I21" s="518">
        <v>1979</v>
      </c>
    </row>
    <row r="22" spans="1:9" ht="12.75">
      <c r="A22" s="188">
        <f>A21+1</f>
        <v>30</v>
      </c>
      <c r="B22" s="189">
        <v>85</v>
      </c>
      <c r="C22" s="85" t="s">
        <v>209</v>
      </c>
      <c r="D22" s="209">
        <f t="shared" si="3"/>
        <v>0</v>
      </c>
      <c r="E22" s="115"/>
      <c r="F22" s="1339">
        <f>'příl2-přísp2'!N135</f>
        <v>0</v>
      </c>
      <c r="G22" s="1345">
        <f t="shared" si="1"/>
        <v>0</v>
      </c>
      <c r="H22" s="115"/>
      <c r="I22" s="518">
        <v>0</v>
      </c>
    </row>
    <row r="23" spans="1:9" ht="12.75">
      <c r="A23" s="188">
        <v>31</v>
      </c>
      <c r="B23" s="189">
        <v>92</v>
      </c>
      <c r="C23" s="85" t="s">
        <v>20</v>
      </c>
      <c r="D23" s="209">
        <f t="shared" si="3"/>
        <v>107076</v>
      </c>
      <c r="E23" s="115">
        <f>'str1-3'!F47</f>
        <v>230</v>
      </c>
      <c r="F23" s="518">
        <f>'příl2-přísp2'!N137</f>
        <v>106846</v>
      </c>
      <c r="G23" s="1345">
        <f t="shared" si="1"/>
        <v>106629</v>
      </c>
      <c r="H23" s="115"/>
      <c r="I23" s="118">
        <v>106629</v>
      </c>
    </row>
    <row r="24" spans="1:9" ht="12.75">
      <c r="A24" s="188">
        <v>32</v>
      </c>
      <c r="B24" s="189">
        <v>96</v>
      </c>
      <c r="C24" s="85" t="s">
        <v>44</v>
      </c>
      <c r="D24" s="209">
        <f t="shared" si="3"/>
        <v>29293</v>
      </c>
      <c r="E24" s="115"/>
      <c r="F24" s="518">
        <f>'příl2-přísp2'!N138</f>
        <v>29293</v>
      </c>
      <c r="G24" s="1345">
        <f t="shared" si="1"/>
        <v>29532</v>
      </c>
      <c r="H24" s="115"/>
      <c r="I24" s="118">
        <v>29532</v>
      </c>
    </row>
    <row r="25" spans="1:9" ht="12.75">
      <c r="A25" s="188">
        <v>33</v>
      </c>
      <c r="B25" s="189">
        <v>97</v>
      </c>
      <c r="C25" s="85" t="s">
        <v>45</v>
      </c>
      <c r="D25" s="209">
        <f t="shared" si="3"/>
        <v>8471</v>
      </c>
      <c r="E25" s="115"/>
      <c r="F25" s="518">
        <f>'příl2-přísp2'!N139</f>
        <v>8471</v>
      </c>
      <c r="G25" s="1345">
        <f t="shared" si="1"/>
        <v>8540</v>
      </c>
      <c r="H25" s="115"/>
      <c r="I25" s="118">
        <v>8540</v>
      </c>
    </row>
    <row r="26" spans="1:9" ht="12.75">
      <c r="A26" s="190">
        <v>34</v>
      </c>
      <c r="B26" s="191">
        <v>99</v>
      </c>
      <c r="C26" s="103" t="s">
        <v>152</v>
      </c>
      <c r="D26" s="56">
        <f t="shared" si="3"/>
        <v>85088</v>
      </c>
      <c r="E26" s="120">
        <f>'str1-3'!F48</f>
        <v>283</v>
      </c>
      <c r="F26" s="1351">
        <f>'příl2-přísp2'!N140</f>
        <v>84805</v>
      </c>
      <c r="G26" s="1346">
        <f t="shared" si="1"/>
        <v>85498</v>
      </c>
      <c r="H26" s="120"/>
      <c r="I26" s="593">
        <v>85498</v>
      </c>
    </row>
    <row r="27" spans="1:13" s="11" customFormat="1" ht="12.75">
      <c r="A27" s="265">
        <v>35</v>
      </c>
      <c r="B27" s="266" t="s">
        <v>518</v>
      </c>
      <c r="C27" s="266"/>
      <c r="D27" s="267">
        <f>SUM(D18:D26)</f>
        <v>234791</v>
      </c>
      <c r="E27" s="268">
        <f>SUM(E18:E26)</f>
        <v>513</v>
      </c>
      <c r="F27" s="269">
        <f>SUM(F18:F26)</f>
        <v>234278</v>
      </c>
      <c r="G27" s="1349">
        <f t="shared" si="1"/>
        <v>236550</v>
      </c>
      <c r="H27" s="268"/>
      <c r="I27" s="270">
        <f>SUM(I18:I26)</f>
        <v>236550</v>
      </c>
      <c r="J27" s="263"/>
      <c r="K27" s="264"/>
      <c r="L27" s="1"/>
      <c r="M27" s="507"/>
    </row>
    <row r="28" spans="1:9" ht="12.75">
      <c r="A28" s="210">
        <v>36</v>
      </c>
      <c r="B28" s="211" t="s">
        <v>514</v>
      </c>
      <c r="C28" s="211"/>
      <c r="D28" s="209">
        <f>SUM(E28:F28)</f>
        <v>201053</v>
      </c>
      <c r="E28" s="212"/>
      <c r="F28" s="213">
        <f>'příl1-přísp1-MV'!N6</f>
        <v>201053</v>
      </c>
      <c r="G28" s="1347">
        <f t="shared" si="1"/>
        <v>190543</v>
      </c>
      <c r="H28" s="212"/>
      <c r="I28" s="214">
        <v>190543</v>
      </c>
    </row>
    <row r="29" spans="1:9" ht="12.75">
      <c r="A29" s="113">
        <v>37</v>
      </c>
      <c r="B29" s="215" t="s">
        <v>515</v>
      </c>
      <c r="C29" s="215"/>
      <c r="D29" s="114">
        <f>SUM(E29:F29)</f>
        <v>148879</v>
      </c>
      <c r="E29" s="115"/>
      <c r="F29" s="116">
        <f>'příl2-přísp2'!N7-F30</f>
        <v>148879</v>
      </c>
      <c r="G29" s="1345">
        <f t="shared" si="1"/>
        <v>142636</v>
      </c>
      <c r="H29" s="115"/>
      <c r="I29" s="118">
        <v>142636</v>
      </c>
    </row>
    <row r="30" spans="1:10" ht="12.75">
      <c r="A30" s="192">
        <v>38</v>
      </c>
      <c r="B30" s="193" t="s">
        <v>56</v>
      </c>
      <c r="C30" s="193"/>
      <c r="D30" s="56">
        <f>SUM(E30:F30)</f>
        <v>16000</v>
      </c>
      <c r="E30" s="12"/>
      <c r="F30" s="82">
        <f>'příl2-přísp2'!N125</f>
        <v>16000</v>
      </c>
      <c r="G30" s="1350">
        <f t="shared" si="1"/>
        <v>16000</v>
      </c>
      <c r="H30" s="12"/>
      <c r="I30" s="51">
        <v>16000</v>
      </c>
      <c r="J30" s="80"/>
    </row>
    <row r="31" spans="1:11" ht="13.5" thickBot="1">
      <c r="A31" s="22">
        <v>39</v>
      </c>
      <c r="B31" s="23" t="s">
        <v>1</v>
      </c>
      <c r="C31" s="23"/>
      <c r="D31" s="57">
        <f>SUM(D27:D30)</f>
        <v>600723</v>
      </c>
      <c r="E31" s="24">
        <f>SUM(E28:E30)</f>
        <v>0</v>
      </c>
      <c r="F31" s="83">
        <f>SUM(F27:F30)</f>
        <v>600210</v>
      </c>
      <c r="G31" s="1342">
        <f>SUM(G27:G30)</f>
        <v>585729</v>
      </c>
      <c r="H31" s="83">
        <f>SUM(H27:H30)</f>
        <v>0</v>
      </c>
      <c r="I31" s="52">
        <f>SUM(I27:I30)</f>
        <v>585729</v>
      </c>
      <c r="K31" s="187"/>
    </row>
    <row r="32" spans="1:11" ht="13.5" thickBot="1">
      <c r="A32" s="14">
        <f>A31+1</f>
        <v>40</v>
      </c>
      <c r="B32" s="15" t="s">
        <v>58</v>
      </c>
      <c r="C32" s="15"/>
      <c r="D32" s="65">
        <f>D17+D31</f>
        <v>2008913</v>
      </c>
      <c r="E32" s="13">
        <f>E17+E27+E31</f>
        <v>148204</v>
      </c>
      <c r="F32" s="194">
        <f>F17+F31</f>
        <v>1860708.9999999998</v>
      </c>
      <c r="G32" s="1343">
        <f>G17+G31</f>
        <v>1980701</v>
      </c>
      <c r="H32" s="194">
        <f>H17+H31</f>
        <v>123764</v>
      </c>
      <c r="I32" s="1344">
        <f>I17+I31</f>
        <v>1856937</v>
      </c>
      <c r="K32" s="187"/>
    </row>
    <row r="33" spans="4:10" ht="12.75">
      <c r="D33" s="220"/>
      <c r="E33" s="220"/>
      <c r="F33" s="220"/>
      <c r="G33" s="220"/>
      <c r="H33" s="220"/>
      <c r="I33" s="220"/>
      <c r="J33" s="187"/>
    </row>
    <row r="34" spans="1:9" ht="14.25">
      <c r="A34" s="195"/>
      <c r="D34" s="187"/>
      <c r="E34" s="187"/>
      <c r="F34" s="187"/>
      <c r="G34" s="187"/>
      <c r="H34" s="187"/>
      <c r="I34" s="187"/>
    </row>
    <row r="35" spans="1:9" ht="14.25">
      <c r="A35" s="195"/>
      <c r="D35" s="187"/>
      <c r="E35" s="187"/>
      <c r="G35" s="187"/>
      <c r="H35" s="187"/>
      <c r="I35" s="187"/>
    </row>
    <row r="36" spans="1:9" ht="14.25">
      <c r="A36" s="195"/>
      <c r="D36" s="187"/>
      <c r="E36" s="187"/>
      <c r="G36" s="187"/>
      <c r="H36" s="187"/>
      <c r="I36" s="187"/>
    </row>
    <row r="38" ht="11.25" customHeight="1"/>
    <row r="39" ht="17.25" customHeight="1" thickBot="1">
      <c r="A39" s="11" t="s">
        <v>528</v>
      </c>
    </row>
    <row r="40" spans="1:12" ht="12.75" customHeight="1">
      <c r="A40" s="174"/>
      <c r="B40" s="175"/>
      <c r="C40" s="2"/>
      <c r="D40" s="1447" t="s">
        <v>355</v>
      </c>
      <c r="E40" s="1448"/>
      <c r="F40" s="1448"/>
      <c r="G40" s="175"/>
      <c r="H40" s="2"/>
      <c r="I40" s="19"/>
      <c r="J40" s="1418" t="s">
        <v>308</v>
      </c>
      <c r="K40" s="1419"/>
      <c r="L40" s="1420"/>
    </row>
    <row r="41" spans="1:12" ht="13.5" customHeight="1">
      <c r="A41" s="176"/>
      <c r="B41" s="177"/>
      <c r="C41" s="5"/>
      <c r="D41" s="58" t="s">
        <v>306</v>
      </c>
      <c r="E41" s="1414" t="s">
        <v>54</v>
      </c>
      <c r="F41" s="1414"/>
      <c r="G41" s="177"/>
      <c r="H41" s="5"/>
      <c r="I41" s="157"/>
      <c r="J41" s="61" t="s">
        <v>306</v>
      </c>
      <c r="K41" s="1414" t="s">
        <v>54</v>
      </c>
      <c r="L41" s="1415"/>
    </row>
    <row r="42" spans="1:12" ht="13.5" customHeight="1">
      <c r="A42" s="176"/>
      <c r="B42" s="177" t="s">
        <v>60</v>
      </c>
      <c r="C42" s="5"/>
      <c r="D42" s="59" t="s">
        <v>307</v>
      </c>
      <c r="E42" s="100" t="s">
        <v>527</v>
      </c>
      <c r="F42" s="196" t="s">
        <v>93</v>
      </c>
      <c r="G42" s="1413" t="s">
        <v>94</v>
      </c>
      <c r="H42" s="1445"/>
      <c r="I42" s="1446"/>
      <c r="J42" s="62" t="s">
        <v>307</v>
      </c>
      <c r="K42" s="100" t="s">
        <v>96</v>
      </c>
      <c r="L42" s="197" t="s">
        <v>93</v>
      </c>
    </row>
    <row r="43" spans="1:12" ht="15" customHeight="1" thickBot="1">
      <c r="A43" s="180" t="s">
        <v>57</v>
      </c>
      <c r="B43" s="181" t="s">
        <v>61</v>
      </c>
      <c r="C43" s="3"/>
      <c r="D43" s="60" t="s">
        <v>19</v>
      </c>
      <c r="E43" s="182" t="s">
        <v>526</v>
      </c>
      <c r="F43" s="198" t="s">
        <v>19</v>
      </c>
      <c r="G43" s="7" t="s">
        <v>55</v>
      </c>
      <c r="H43" s="71" t="s">
        <v>297</v>
      </c>
      <c r="I43" s="6" t="s">
        <v>56</v>
      </c>
      <c r="J43" s="63" t="s">
        <v>19</v>
      </c>
      <c r="K43" s="182" t="s">
        <v>40</v>
      </c>
      <c r="L43" s="199" t="s">
        <v>19</v>
      </c>
    </row>
    <row r="44" spans="1:13" ht="12.75">
      <c r="A44" s="20">
        <v>42</v>
      </c>
      <c r="B44" s="100">
        <v>11</v>
      </c>
      <c r="C44" s="5" t="s">
        <v>9</v>
      </c>
      <c r="D44" s="55">
        <f>SUM(E44:F44)</f>
        <v>266109.65260096476</v>
      </c>
      <c r="E44" s="4">
        <f aca="true" t="shared" si="4" ref="E44:E52">E8</f>
        <v>28334</v>
      </c>
      <c r="F44" s="200">
        <f>SUM(G44:I44)</f>
        <v>237775.65260096476</v>
      </c>
      <c r="G44" s="68">
        <f>F8</f>
        <v>237775.65260096476</v>
      </c>
      <c r="H44" s="580">
        <f>'příl.5-odhad odpisu'!J6</f>
        <v>0</v>
      </c>
      <c r="I44" s="67">
        <v>0</v>
      </c>
      <c r="J44" s="53">
        <f>SUM(K44:L44)</f>
        <v>298642</v>
      </c>
      <c r="K44" s="4">
        <f>H8</f>
        <v>28783</v>
      </c>
      <c r="L44" s="201">
        <v>269859</v>
      </c>
      <c r="M44" s="508">
        <f>D44/J44</f>
        <v>0.8910657328874196</v>
      </c>
    </row>
    <row r="45" spans="1:13" ht="12.75">
      <c r="A45" s="113">
        <v>43</v>
      </c>
      <c r="B45" s="101">
        <v>21</v>
      </c>
      <c r="C45" s="85" t="s">
        <v>10</v>
      </c>
      <c r="D45" s="114">
        <f aca="true" t="shared" si="5" ref="D45:D52">SUM(E45:F45)</f>
        <v>266824.4353547934</v>
      </c>
      <c r="E45" s="115">
        <f t="shared" si="4"/>
        <v>19219</v>
      </c>
      <c r="F45" s="202">
        <f aca="true" t="shared" si="6" ref="F45:F52">SUM(G45:I45)</f>
        <v>247605.4353547934</v>
      </c>
      <c r="G45" s="446">
        <f aca="true" t="shared" si="7" ref="G45:G52">F9</f>
        <v>247605.4353547934</v>
      </c>
      <c r="H45" s="127">
        <f>'příl.5-odhad odpisu'!J7</f>
        <v>0</v>
      </c>
      <c r="I45" s="128">
        <v>0</v>
      </c>
      <c r="J45" s="117">
        <f aca="true" t="shared" si="8" ref="J45:J52">SUM(K45:L45)</f>
        <v>266816</v>
      </c>
      <c r="K45" s="444">
        <f aca="true" t="shared" si="9" ref="K45:K52">H9</f>
        <v>13905</v>
      </c>
      <c r="L45" s="203">
        <v>252911</v>
      </c>
      <c r="M45" s="508">
        <f aca="true" t="shared" si="10" ref="M45:M65">D45/J45</f>
        <v>1.0000316148761446</v>
      </c>
    </row>
    <row r="46" spans="1:13" ht="12.75">
      <c r="A46" s="113">
        <v>44</v>
      </c>
      <c r="B46" s="101">
        <v>22</v>
      </c>
      <c r="C46" s="85" t="s">
        <v>11</v>
      </c>
      <c r="D46" s="114">
        <f t="shared" si="5"/>
        <v>92672.73893404014</v>
      </c>
      <c r="E46" s="115">
        <f t="shared" si="4"/>
        <v>3947</v>
      </c>
      <c r="F46" s="202">
        <f t="shared" si="6"/>
        <v>88725.73893404014</v>
      </c>
      <c r="G46" s="446">
        <f t="shared" si="7"/>
        <v>88725.73893404014</v>
      </c>
      <c r="H46" s="127">
        <f>'příl.5-odhad odpisu'!J8</f>
        <v>0</v>
      </c>
      <c r="I46" s="128">
        <v>0</v>
      </c>
      <c r="J46" s="117">
        <f t="shared" si="8"/>
        <v>85971</v>
      </c>
      <c r="K46" s="444">
        <f t="shared" si="9"/>
        <v>2378</v>
      </c>
      <c r="L46" s="203">
        <v>83593</v>
      </c>
      <c r="M46" s="508">
        <f t="shared" si="10"/>
        <v>1.0779534835472444</v>
      </c>
    </row>
    <row r="47" spans="1:13" ht="12.75">
      <c r="A47" s="113">
        <v>45</v>
      </c>
      <c r="B47" s="101">
        <v>23</v>
      </c>
      <c r="C47" s="85" t="s">
        <v>12</v>
      </c>
      <c r="D47" s="114">
        <f t="shared" si="5"/>
        <v>105419.79290668204</v>
      </c>
      <c r="E47" s="115">
        <f t="shared" si="4"/>
        <v>10340</v>
      </c>
      <c r="F47" s="202">
        <f t="shared" si="6"/>
        <v>95079.79290668204</v>
      </c>
      <c r="G47" s="446">
        <f t="shared" si="7"/>
        <v>95079.79290668204</v>
      </c>
      <c r="H47" s="127">
        <f>'příl.5-odhad odpisu'!J9</f>
        <v>0</v>
      </c>
      <c r="I47" s="128">
        <v>0</v>
      </c>
      <c r="J47" s="117">
        <f t="shared" si="8"/>
        <v>108212</v>
      </c>
      <c r="K47" s="444">
        <f t="shared" si="9"/>
        <v>9191</v>
      </c>
      <c r="L47" s="203">
        <v>99021</v>
      </c>
      <c r="M47" s="508">
        <f t="shared" si="10"/>
        <v>0.9741968811839911</v>
      </c>
    </row>
    <row r="48" spans="1:13" ht="12.75">
      <c r="A48" s="113">
        <v>46</v>
      </c>
      <c r="B48" s="101">
        <v>31</v>
      </c>
      <c r="C48" s="85" t="s">
        <v>13</v>
      </c>
      <c r="D48" s="114">
        <f t="shared" si="5"/>
        <v>221876.9505134076</v>
      </c>
      <c r="E48" s="115">
        <f t="shared" si="4"/>
        <v>66187</v>
      </c>
      <c r="F48" s="202">
        <f t="shared" si="6"/>
        <v>155689.9505134076</v>
      </c>
      <c r="G48" s="446">
        <f t="shared" si="7"/>
        <v>152689.9505134076</v>
      </c>
      <c r="H48" s="1384">
        <f>'příl2-přísp2'!N82</f>
        <v>3000</v>
      </c>
      <c r="I48" s="128">
        <v>0</v>
      </c>
      <c r="J48" s="117">
        <f t="shared" si="8"/>
        <v>222640</v>
      </c>
      <c r="K48" s="444">
        <f t="shared" si="9"/>
        <v>51176</v>
      </c>
      <c r="L48" s="203">
        <v>171464</v>
      </c>
      <c r="M48" s="508">
        <f t="shared" si="10"/>
        <v>0.9965727205956144</v>
      </c>
    </row>
    <row r="49" spans="1:13" ht="12.75">
      <c r="A49" s="113">
        <v>47</v>
      </c>
      <c r="B49" s="101">
        <v>33</v>
      </c>
      <c r="C49" s="85" t="s">
        <v>14</v>
      </c>
      <c r="D49" s="114">
        <f t="shared" si="5"/>
        <v>101904.9715850662</v>
      </c>
      <c r="E49" s="115">
        <f t="shared" si="4"/>
        <v>10272</v>
      </c>
      <c r="F49" s="202">
        <f t="shared" si="6"/>
        <v>91632.9715850662</v>
      </c>
      <c r="G49" s="446">
        <f t="shared" si="7"/>
        <v>83072.9715850662</v>
      </c>
      <c r="H49" s="127">
        <f>'příl2-přísp2'!N85</f>
        <v>8560</v>
      </c>
      <c r="I49" s="128">
        <v>0</v>
      </c>
      <c r="J49" s="117">
        <f t="shared" si="8"/>
        <v>103766</v>
      </c>
      <c r="K49" s="444">
        <f t="shared" si="9"/>
        <v>7320</v>
      </c>
      <c r="L49" s="203">
        <v>96446</v>
      </c>
      <c r="M49" s="508">
        <f t="shared" si="10"/>
        <v>0.9820651425810594</v>
      </c>
    </row>
    <row r="50" spans="1:13" ht="12.75">
      <c r="A50" s="113">
        <v>48</v>
      </c>
      <c r="B50" s="101">
        <v>41</v>
      </c>
      <c r="C50" s="85" t="s">
        <v>15</v>
      </c>
      <c r="D50" s="114">
        <f t="shared" si="5"/>
        <v>207827.3661208239</v>
      </c>
      <c r="E50" s="115">
        <f t="shared" si="4"/>
        <v>6589</v>
      </c>
      <c r="F50" s="202">
        <f t="shared" si="6"/>
        <v>201238.3661208239</v>
      </c>
      <c r="G50" s="446">
        <f t="shared" si="7"/>
        <v>200988.3661208239</v>
      </c>
      <c r="H50" s="1384">
        <f>'příl2-přísp2'!N80</f>
        <v>250</v>
      </c>
      <c r="I50" s="128">
        <v>0</v>
      </c>
      <c r="J50" s="117">
        <f t="shared" si="8"/>
        <v>208779</v>
      </c>
      <c r="K50" s="444">
        <f t="shared" si="9"/>
        <v>5544</v>
      </c>
      <c r="L50" s="203">
        <v>203235</v>
      </c>
      <c r="M50" s="508">
        <f t="shared" si="10"/>
        <v>0.9954419080502536</v>
      </c>
    </row>
    <row r="51" spans="1:13" ht="12.75">
      <c r="A51" s="113">
        <v>49</v>
      </c>
      <c r="B51" s="101">
        <v>51</v>
      </c>
      <c r="C51" s="85" t="s">
        <v>16</v>
      </c>
      <c r="D51" s="114">
        <f t="shared" si="5"/>
        <v>60825.87765620426</v>
      </c>
      <c r="E51" s="115">
        <f t="shared" si="4"/>
        <v>276</v>
      </c>
      <c r="F51" s="202">
        <f t="shared" si="6"/>
        <v>60549.87765620426</v>
      </c>
      <c r="G51" s="446">
        <f t="shared" si="7"/>
        <v>42549.87765620426</v>
      </c>
      <c r="H51" s="127">
        <f>'příl2-přísp2'!N122</f>
        <v>18000</v>
      </c>
      <c r="I51" s="128">
        <v>0</v>
      </c>
      <c r="J51" s="117">
        <f t="shared" si="8"/>
        <v>65416</v>
      </c>
      <c r="K51" s="444">
        <f t="shared" si="9"/>
        <v>254</v>
      </c>
      <c r="L51" s="203">
        <v>65162</v>
      </c>
      <c r="M51" s="508">
        <f t="shared" si="10"/>
        <v>0.9298318095909909</v>
      </c>
    </row>
    <row r="52" spans="1:13" ht="12.75">
      <c r="A52" s="204">
        <v>50</v>
      </c>
      <c r="B52" s="102">
        <v>56</v>
      </c>
      <c r="C52" s="103" t="s">
        <v>17</v>
      </c>
      <c r="D52" s="119">
        <f t="shared" si="5"/>
        <v>114538.21432801776</v>
      </c>
      <c r="E52" s="120">
        <f t="shared" si="4"/>
        <v>2527</v>
      </c>
      <c r="F52" s="205">
        <f t="shared" si="6"/>
        <v>112011.21432801776</v>
      </c>
      <c r="G52" s="1353">
        <f t="shared" si="7"/>
        <v>112011.21432801776</v>
      </c>
      <c r="H52" s="129">
        <f>'příl.5-odhad odpisu'!J14</f>
        <v>0</v>
      </c>
      <c r="I52" s="130">
        <v>0</v>
      </c>
      <c r="J52" s="122">
        <f t="shared" si="8"/>
        <v>113000</v>
      </c>
      <c r="K52" s="445">
        <f t="shared" si="9"/>
        <v>5213</v>
      </c>
      <c r="L52" s="206">
        <v>107787</v>
      </c>
      <c r="M52" s="508">
        <f t="shared" si="10"/>
        <v>1.0136125161771483</v>
      </c>
    </row>
    <row r="53" spans="1:13" ht="12.75">
      <c r="A53" s="192">
        <v>51</v>
      </c>
      <c r="B53" s="25" t="s">
        <v>62</v>
      </c>
      <c r="C53" s="26"/>
      <c r="D53" s="64">
        <f aca="true" t="shared" si="11" ref="D53:I53">SUM(D44:D52)</f>
        <v>1438000</v>
      </c>
      <c r="E53" s="27">
        <f t="shared" si="11"/>
        <v>147691</v>
      </c>
      <c r="F53" s="77">
        <f t="shared" si="11"/>
        <v>1290308.9999999998</v>
      </c>
      <c r="G53" s="28">
        <f t="shared" si="11"/>
        <v>1260498.9999999998</v>
      </c>
      <c r="H53" s="29">
        <f t="shared" si="11"/>
        <v>29810</v>
      </c>
      <c r="I53" s="30">
        <f t="shared" si="11"/>
        <v>0</v>
      </c>
      <c r="J53" s="75">
        <f>SUM(J44:J52)</f>
        <v>1473242</v>
      </c>
      <c r="K53" s="27">
        <f>SUM(K44:K52)</f>
        <v>123764</v>
      </c>
      <c r="L53" s="78">
        <f>SUM(L44:L52)</f>
        <v>1349478</v>
      </c>
      <c r="M53" s="508">
        <f t="shared" si="10"/>
        <v>0.9760786075878912</v>
      </c>
    </row>
    <row r="54" spans="1:13" ht="12.75">
      <c r="A54" s="185">
        <v>52</v>
      </c>
      <c r="B54" s="186">
        <v>81</v>
      </c>
      <c r="C54" s="5" t="s">
        <v>105</v>
      </c>
      <c r="D54" s="55">
        <f aca="true" t="shared" si="12" ref="D54:D62">SUM(E54:F54)</f>
        <v>0</v>
      </c>
      <c r="E54" s="24">
        <v>0</v>
      </c>
      <c r="F54" s="107">
        <f>SUM(G54:I54)</f>
        <v>0</v>
      </c>
      <c r="G54" s="68"/>
      <c r="H54" s="66">
        <v>0</v>
      </c>
      <c r="I54" s="67">
        <v>0</v>
      </c>
      <c r="J54" s="53">
        <f aca="true" t="shared" si="13" ref="J54:J62">SUM(K54:L54)</f>
        <v>0</v>
      </c>
      <c r="K54" s="24"/>
      <c r="L54" s="207">
        <f>I18</f>
        <v>0</v>
      </c>
      <c r="M54" s="508"/>
    </row>
    <row r="55" spans="1:13" ht="12.75">
      <c r="A55" s="188">
        <v>53</v>
      </c>
      <c r="B55" s="189">
        <v>82</v>
      </c>
      <c r="C55" s="85" t="s">
        <v>2</v>
      </c>
      <c r="D55" s="114">
        <f t="shared" si="12"/>
        <v>0</v>
      </c>
      <c r="E55" s="217"/>
      <c r="F55" s="219">
        <f aca="true" t="shared" si="14" ref="F55:F62">SUM(G55:I55)</f>
        <v>0</v>
      </c>
      <c r="G55" s="446"/>
      <c r="H55" s="127">
        <v>0</v>
      </c>
      <c r="I55" s="128"/>
      <c r="J55" s="117">
        <f t="shared" si="13"/>
        <v>0</v>
      </c>
      <c r="K55" s="217"/>
      <c r="L55" s="218">
        <f>I19</f>
        <v>0</v>
      </c>
      <c r="M55" s="508"/>
    </row>
    <row r="56" spans="1:13" ht="12.75">
      <c r="A56" s="188">
        <v>54</v>
      </c>
      <c r="B56" s="189">
        <v>83</v>
      </c>
      <c r="C56" s="85" t="s">
        <v>140</v>
      </c>
      <c r="D56" s="114">
        <f t="shared" si="12"/>
        <v>3161</v>
      </c>
      <c r="E56" s="217"/>
      <c r="F56" s="219">
        <f t="shared" si="14"/>
        <v>3161</v>
      </c>
      <c r="G56" s="446">
        <f>F20</f>
        <v>2900</v>
      </c>
      <c r="H56" s="127">
        <f>'příl1-přísp1-MV'!N16</f>
        <v>261</v>
      </c>
      <c r="I56" s="128"/>
      <c r="J56" s="117">
        <f t="shared" si="13"/>
        <v>4831</v>
      </c>
      <c r="K56" s="217"/>
      <c r="L56" s="218">
        <v>4831</v>
      </c>
      <c r="M56" s="508">
        <f t="shared" si="10"/>
        <v>0.6543158766300973</v>
      </c>
    </row>
    <row r="57" spans="1:13" ht="12.75">
      <c r="A57" s="188">
        <v>55</v>
      </c>
      <c r="B57" s="189">
        <v>84</v>
      </c>
      <c r="C57" s="85" t="s">
        <v>139</v>
      </c>
      <c r="D57" s="114">
        <f t="shared" si="12"/>
        <v>3337</v>
      </c>
      <c r="E57" s="217"/>
      <c r="F57" s="219">
        <f t="shared" si="14"/>
        <v>3337</v>
      </c>
      <c r="G57" s="446">
        <f>F21</f>
        <v>1963</v>
      </c>
      <c r="H57" s="127">
        <f>'příl2-přísp2'!N124+'příl1-přísp1-MV'!N17</f>
        <v>1374</v>
      </c>
      <c r="I57" s="128"/>
      <c r="J57" s="117">
        <f t="shared" si="13"/>
        <v>3352</v>
      </c>
      <c r="K57" s="217"/>
      <c r="L57" s="218">
        <v>3352</v>
      </c>
      <c r="M57" s="508">
        <f t="shared" si="10"/>
        <v>0.9955250596658711</v>
      </c>
    </row>
    <row r="58" spans="1:13" ht="12.75">
      <c r="A58" s="188">
        <v>56</v>
      </c>
      <c r="B58" s="189">
        <v>85</v>
      </c>
      <c r="C58" s="85" t="s">
        <v>209</v>
      </c>
      <c r="D58" s="114">
        <f t="shared" si="12"/>
        <v>0</v>
      </c>
      <c r="E58" s="115">
        <f>E22</f>
        <v>0</v>
      </c>
      <c r="F58" s="202">
        <f t="shared" si="14"/>
        <v>0</v>
      </c>
      <c r="G58" s="446"/>
      <c r="H58" s="127"/>
      <c r="I58" s="128">
        <v>0</v>
      </c>
      <c r="J58" s="117">
        <f t="shared" si="13"/>
        <v>0</v>
      </c>
      <c r="K58" s="115"/>
      <c r="L58" s="218">
        <v>0</v>
      </c>
      <c r="M58" s="508"/>
    </row>
    <row r="59" spans="1:13" ht="12.75">
      <c r="A59" s="188">
        <v>57</v>
      </c>
      <c r="B59" s="189">
        <v>92</v>
      </c>
      <c r="C59" s="85" t="s">
        <v>20</v>
      </c>
      <c r="D59" s="114">
        <f t="shared" si="12"/>
        <v>139266</v>
      </c>
      <c r="E59" s="115">
        <f>E23</f>
        <v>230</v>
      </c>
      <c r="F59" s="202">
        <f t="shared" si="14"/>
        <v>139036</v>
      </c>
      <c r="G59" s="446">
        <f>F23</f>
        <v>106846</v>
      </c>
      <c r="H59" s="127">
        <f>'příl2-přísp2'!N118+'příl1-přísp1-MV'!N20</f>
        <v>32190</v>
      </c>
      <c r="I59" s="128">
        <v>0</v>
      </c>
      <c r="J59" s="117">
        <f t="shared" si="13"/>
        <v>138449</v>
      </c>
      <c r="K59" s="115"/>
      <c r="L59" s="218">
        <v>138449</v>
      </c>
      <c r="M59" s="508">
        <f t="shared" si="10"/>
        <v>1.0059010899320326</v>
      </c>
    </row>
    <row r="60" spans="1:13" ht="12.75">
      <c r="A60" s="188">
        <v>58</v>
      </c>
      <c r="B60" s="189">
        <v>96</v>
      </c>
      <c r="C60" s="85" t="s">
        <v>44</v>
      </c>
      <c r="D60" s="114">
        <f t="shared" si="12"/>
        <v>29452</v>
      </c>
      <c r="E60" s="115">
        <f>E24</f>
        <v>0</v>
      </c>
      <c r="F60" s="202">
        <f t="shared" si="14"/>
        <v>29452</v>
      </c>
      <c r="G60" s="446">
        <f>F24</f>
        <v>29293</v>
      </c>
      <c r="H60" s="127">
        <f>'příl1-přísp1-MV'!N22</f>
        <v>159</v>
      </c>
      <c r="I60" s="128">
        <v>0</v>
      </c>
      <c r="J60" s="117">
        <f t="shared" si="13"/>
        <v>29689</v>
      </c>
      <c r="K60" s="115"/>
      <c r="L60" s="218">
        <v>29689</v>
      </c>
      <c r="M60" s="508">
        <f t="shared" si="10"/>
        <v>0.9920172454444407</v>
      </c>
    </row>
    <row r="61" spans="1:13" ht="12.75">
      <c r="A61" s="188">
        <v>59</v>
      </c>
      <c r="B61" s="189">
        <v>97</v>
      </c>
      <c r="C61" s="85" t="s">
        <v>45</v>
      </c>
      <c r="D61" s="114">
        <f t="shared" si="12"/>
        <v>8561</v>
      </c>
      <c r="E61" s="115">
        <f>E25</f>
        <v>0</v>
      </c>
      <c r="F61" s="202">
        <f t="shared" si="14"/>
        <v>8561</v>
      </c>
      <c r="G61" s="446">
        <f>F25</f>
        <v>8471</v>
      </c>
      <c r="H61" s="127">
        <f>'příl1-přísp1-MV'!N23</f>
        <v>90</v>
      </c>
      <c r="I61" s="128">
        <v>0</v>
      </c>
      <c r="J61" s="117">
        <f t="shared" si="13"/>
        <v>8630</v>
      </c>
      <c r="K61" s="115"/>
      <c r="L61" s="218">
        <v>8630</v>
      </c>
      <c r="M61" s="508">
        <f t="shared" si="10"/>
        <v>0.9920046349942062</v>
      </c>
    </row>
    <row r="62" spans="1:13" ht="12.75">
      <c r="A62" s="190">
        <v>60</v>
      </c>
      <c r="B62" s="191">
        <v>99</v>
      </c>
      <c r="C62" s="103" t="s">
        <v>152</v>
      </c>
      <c r="D62" s="56">
        <f t="shared" si="12"/>
        <v>267136</v>
      </c>
      <c r="E62" s="12">
        <f>E26</f>
        <v>283</v>
      </c>
      <c r="F62" s="216">
        <f t="shared" si="14"/>
        <v>266853</v>
      </c>
      <c r="G62" s="594">
        <f>F26</f>
        <v>84805</v>
      </c>
      <c r="H62" s="1385">
        <f>'příl2-přísp2'!N74-'příl2-přísp2'!N71-'příl2-přísp2'!N47+'příl1-přísp1-MV'!N25+'příl1-přísp1-MV'!N24</f>
        <v>166048</v>
      </c>
      <c r="I62" s="30">
        <f>'příl2-přísp2'!N125</f>
        <v>16000</v>
      </c>
      <c r="J62" s="54">
        <f t="shared" si="13"/>
        <v>223508</v>
      </c>
      <c r="K62" s="12"/>
      <c r="L62" s="218">
        <v>223508</v>
      </c>
      <c r="M62" s="508">
        <f t="shared" si="10"/>
        <v>1.1951965925157042</v>
      </c>
    </row>
    <row r="63" spans="1:13" ht="12.75">
      <c r="A63" s="20">
        <v>61</v>
      </c>
      <c r="B63" s="23" t="s">
        <v>153</v>
      </c>
      <c r="C63" s="23"/>
      <c r="D63" s="57">
        <f aca="true" t="shared" si="15" ref="D63:I63">SUM(D54:D62)</f>
        <v>450913</v>
      </c>
      <c r="E63" s="106">
        <f t="shared" si="15"/>
        <v>513</v>
      </c>
      <c r="F63" s="107">
        <f>SUM(F54:F62)</f>
        <v>450400</v>
      </c>
      <c r="G63" s="106">
        <f t="shared" si="15"/>
        <v>234278</v>
      </c>
      <c r="H63" s="108">
        <f t="shared" si="15"/>
        <v>200122</v>
      </c>
      <c r="I63" s="109">
        <f t="shared" si="15"/>
        <v>16000</v>
      </c>
      <c r="J63" s="110">
        <f>SUM(J54:J62)</f>
        <v>408459</v>
      </c>
      <c r="K63" s="111">
        <f>SUM(K58:K62)</f>
        <v>0</v>
      </c>
      <c r="L63" s="112">
        <f>SUM(L54:L62)</f>
        <v>408459</v>
      </c>
      <c r="M63" s="508">
        <f t="shared" si="10"/>
        <v>1.1039369924521187</v>
      </c>
    </row>
    <row r="64" spans="1:13" ht="13.5" thickBot="1">
      <c r="A64" s="208">
        <v>62</v>
      </c>
      <c r="B64" s="123" t="s">
        <v>151</v>
      </c>
      <c r="C64" s="123"/>
      <c r="D64" s="124">
        <f>SUM(E64:F64)</f>
        <v>120000</v>
      </c>
      <c r="E64" s="125">
        <v>0</v>
      </c>
      <c r="F64" s="131">
        <f>SUM(G64:I64)</f>
        <v>120000</v>
      </c>
      <c r="G64" s="132"/>
      <c r="H64" s="133">
        <f>'příl1-přísp1-MV'!N7</f>
        <v>120000</v>
      </c>
      <c r="I64" s="134">
        <v>0</v>
      </c>
      <c r="J64" s="126">
        <f>SUM(K64:L64)</f>
        <v>99000</v>
      </c>
      <c r="K64" s="125">
        <v>0</v>
      </c>
      <c r="L64" s="135">
        <v>99000</v>
      </c>
      <c r="M64" s="508">
        <f t="shared" si="10"/>
        <v>1.2121212121212122</v>
      </c>
    </row>
    <row r="65" spans="1:13" ht="14.25" customHeight="1" thickBot="1">
      <c r="A65" s="73">
        <v>63</v>
      </c>
      <c r="B65" s="15" t="s">
        <v>58</v>
      </c>
      <c r="C65" s="16"/>
      <c r="D65" s="65">
        <f>D53+D63+D64</f>
        <v>2008913</v>
      </c>
      <c r="E65" s="13">
        <f>E53+E63</f>
        <v>148204</v>
      </c>
      <c r="F65" s="17">
        <f>F53+F63+F64</f>
        <v>1860708.9999999998</v>
      </c>
      <c r="G65" s="69">
        <f>G53+G63+G64</f>
        <v>1494776.9999999998</v>
      </c>
      <c r="H65" s="72">
        <f>H53+H63+H64</f>
        <v>349932</v>
      </c>
      <c r="I65" s="70">
        <f>I53+I63+G64</f>
        <v>16000</v>
      </c>
      <c r="J65" s="76">
        <f>J53+SUM(J63:J64)</f>
        <v>1980701</v>
      </c>
      <c r="K65" s="74">
        <f>SUM(K63:K64)+K53</f>
        <v>123764</v>
      </c>
      <c r="L65" s="79">
        <f>SUM(L63:L64)+L53</f>
        <v>1856937</v>
      </c>
      <c r="M65" s="508">
        <f t="shared" si="10"/>
        <v>1.0142434420944908</v>
      </c>
    </row>
    <row r="66" spans="1:13" s="448" customFormat="1" ht="13.5">
      <c r="A66" s="447"/>
      <c r="D66" s="449"/>
      <c r="E66" s="449"/>
      <c r="G66" s="449"/>
      <c r="H66" s="449"/>
      <c r="I66" s="449"/>
      <c r="L66" s="449"/>
      <c r="M66" s="509"/>
    </row>
    <row r="67" spans="1:9" s="1355" customFormat="1" ht="11.25">
      <c r="A67" s="1360"/>
      <c r="D67" s="1361">
        <f>'str1-3'!F13</f>
        <v>2008913</v>
      </c>
      <c r="E67" s="1361"/>
      <c r="G67" s="1361">
        <v>601957</v>
      </c>
      <c r="H67" s="1361"/>
      <c r="I67" s="1361">
        <f>G63+H65+I65</f>
        <v>600210</v>
      </c>
    </row>
    <row r="68" spans="1:13" s="8" customFormat="1" ht="11.25">
      <c r="A68" s="498" t="s">
        <v>63</v>
      </c>
      <c r="D68" s="499"/>
      <c r="H68" s="499"/>
      <c r="I68" s="476"/>
      <c r="M68" s="510"/>
    </row>
    <row r="69" spans="1:13" s="8" customFormat="1" ht="11.25">
      <c r="A69" s="8" t="s">
        <v>64</v>
      </c>
      <c r="C69" s="8" t="s">
        <v>411</v>
      </c>
      <c r="M69" s="510"/>
    </row>
    <row r="70" spans="1:13" s="8" customFormat="1" ht="11.25">
      <c r="A70" s="8" t="s">
        <v>64</v>
      </c>
      <c r="C70" s="8" t="s">
        <v>412</v>
      </c>
      <c r="M70" s="510"/>
    </row>
    <row r="71" spans="1:13" s="8" customFormat="1" ht="11.25">
      <c r="A71" s="8" t="s">
        <v>110</v>
      </c>
      <c r="C71" s="8" t="s">
        <v>517</v>
      </c>
      <c r="M71" s="510"/>
    </row>
    <row r="72" spans="1:13" s="8" customFormat="1" ht="11.25">
      <c r="A72" s="8" t="s">
        <v>256</v>
      </c>
      <c r="C72" s="8" t="s">
        <v>516</v>
      </c>
      <c r="M72" s="510"/>
    </row>
    <row r="73" spans="1:13" s="8" customFormat="1" ht="11.25">
      <c r="A73" s="8" t="s">
        <v>256</v>
      </c>
      <c r="C73" s="500" t="s">
        <v>350</v>
      </c>
      <c r="M73" s="510"/>
    </row>
    <row r="74" spans="3:13" s="8" customFormat="1" ht="11.25">
      <c r="C74" s="398"/>
      <c r="M74" s="510"/>
    </row>
    <row r="75" spans="1:13" s="8" customFormat="1" ht="11.25">
      <c r="A75" s="501" t="s">
        <v>531</v>
      </c>
      <c r="B75" s="501"/>
      <c r="C75" s="501"/>
      <c r="D75" s="8" t="s">
        <v>299</v>
      </c>
      <c r="E75" s="8" t="s">
        <v>300</v>
      </c>
      <c r="H75" s="502"/>
      <c r="I75" s="502"/>
      <c r="J75" s="502"/>
      <c r="K75" s="502"/>
      <c r="L75" s="502"/>
      <c r="M75" s="510"/>
    </row>
    <row r="76" spans="1:13" s="8" customFormat="1" ht="11.25">
      <c r="A76" s="501"/>
      <c r="E76" s="370" t="s">
        <v>301</v>
      </c>
      <c r="G76" s="370"/>
      <c r="J76" s="8" t="s">
        <v>303</v>
      </c>
      <c r="M76" s="510"/>
    </row>
    <row r="77" spans="5:7" ht="12.75">
      <c r="E77" s="505"/>
      <c r="G77" s="505"/>
    </row>
    <row r="78" spans="5:13" s="8" customFormat="1" ht="11.25">
      <c r="E78" s="370" t="s">
        <v>302</v>
      </c>
      <c r="G78" s="370"/>
      <c r="H78" s="502"/>
      <c r="I78" s="502"/>
      <c r="J78" s="502"/>
      <c r="K78" s="502"/>
      <c r="L78" s="502"/>
      <c r="M78" s="510"/>
    </row>
    <row r="79" spans="5:13" s="8" customFormat="1" ht="11.25">
      <c r="E79" s="370" t="s">
        <v>305</v>
      </c>
      <c r="G79" s="370"/>
      <c r="J79" s="8" t="s">
        <v>303</v>
      </c>
      <c r="M79" s="510"/>
    </row>
    <row r="80" spans="6:7" ht="12.75">
      <c r="F80" s="505"/>
      <c r="G80" s="505"/>
    </row>
    <row r="81" spans="6:7" ht="12.75">
      <c r="F81" s="505"/>
      <c r="G81" s="505"/>
    </row>
  </sheetData>
  <mergeCells count="9">
    <mergeCell ref="D4:F4"/>
    <mergeCell ref="E5:F5"/>
    <mergeCell ref="G4:I4"/>
    <mergeCell ref="H5:I5"/>
    <mergeCell ref="J40:L40"/>
    <mergeCell ref="E41:F41"/>
    <mergeCell ref="K41:L41"/>
    <mergeCell ref="G42:I42"/>
    <mergeCell ref="D40:F40"/>
  </mergeCells>
  <printOptions/>
  <pageMargins left="0.57" right="0.3" top="0.68" bottom="0.34" header="0.4921259845" footer="0.19"/>
  <pageSetup horizontalDpi="1200" verticalDpi="1200" orientation="landscape" paperSize="9" r:id="rId1"/>
  <headerFooter alignWithMargins="0">
    <oddFooter>&amp;C&amp;P+4
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showGridLines="0" workbookViewId="0" topLeftCell="A19">
      <selection activeCell="N4" sqref="N4"/>
    </sheetView>
  </sheetViews>
  <sheetFormatPr defaultColWidth="9.00390625" defaultRowHeight="12.75"/>
  <cols>
    <col min="1" max="1" width="4.125" style="146" customWidth="1"/>
    <col min="2" max="2" width="4.875" style="145" customWidth="1"/>
    <col min="3" max="3" width="52.625" style="146" bestFit="1" customWidth="1"/>
    <col min="4" max="6" width="6.625" style="147" hidden="1" customWidth="1"/>
    <col min="7" max="7" width="6.625" style="150" hidden="1" customWidth="1"/>
    <col min="8" max="8" width="7.375" style="150" hidden="1" customWidth="1"/>
    <col min="9" max="9" width="8.00390625" style="147" hidden="1" customWidth="1"/>
    <col min="10" max="10" width="9.375" style="150" hidden="1" customWidth="1"/>
    <col min="11" max="11" width="10.75390625" style="147" hidden="1" customWidth="1"/>
    <col min="12" max="12" width="9.125" style="146" hidden="1" customWidth="1"/>
    <col min="13" max="13" width="10.875" style="151" customWidth="1"/>
    <col min="14" max="14" width="10.875" style="146" customWidth="1"/>
    <col min="15" max="15" width="6.75390625" style="280" customWidth="1"/>
    <col min="16" max="16" width="7.125" style="146" customWidth="1"/>
    <col min="17" max="17" width="16.125" style="146" customWidth="1"/>
    <col min="18" max="19" width="6.625" style="146" bestFit="1" customWidth="1"/>
    <col min="20" max="16384" width="9.125" style="146" customWidth="1"/>
  </cols>
  <sheetData>
    <row r="1" ht="15.75">
      <c r="B1" s="810" t="s">
        <v>385</v>
      </c>
    </row>
    <row r="2" spans="1:15" s="148" customFormat="1" ht="12.75">
      <c r="A2" s="811"/>
      <c r="B2" s="811" t="s">
        <v>386</v>
      </c>
      <c r="J2" s="812"/>
      <c r="K2" s="812"/>
      <c r="O2" s="813"/>
    </row>
    <row r="3" spans="1:14" ht="12.75" customHeight="1" thickBot="1">
      <c r="A3" s="148"/>
      <c r="B3" s="149"/>
      <c r="C3" s="148"/>
      <c r="G3" s="147"/>
      <c r="H3" s="148"/>
      <c r="I3" s="151"/>
      <c r="J3" s="273"/>
      <c r="K3" s="470"/>
      <c r="L3" s="574"/>
      <c r="M3" s="150"/>
      <c r="N3" s="601"/>
    </row>
    <row r="4" spans="1:14" ht="12.75" customHeight="1">
      <c r="A4" s="602"/>
      <c r="B4" s="603"/>
      <c r="C4" s="604"/>
      <c r="D4" s="282" t="s">
        <v>46</v>
      </c>
      <c r="E4" s="282" t="s">
        <v>46</v>
      </c>
      <c r="F4" s="282" t="s">
        <v>46</v>
      </c>
      <c r="G4" s="282" t="s">
        <v>46</v>
      </c>
      <c r="H4" s="281" t="s">
        <v>46</v>
      </c>
      <c r="I4" s="605" t="s">
        <v>179</v>
      </c>
      <c r="J4" s="281" t="s">
        <v>180</v>
      </c>
      <c r="K4" s="281" t="s">
        <v>46</v>
      </c>
      <c r="L4" s="606" t="s">
        <v>316</v>
      </c>
      <c r="M4" s="605" t="s">
        <v>46</v>
      </c>
      <c r="N4" s="814" t="s">
        <v>46</v>
      </c>
    </row>
    <row r="5" spans="1:14" ht="12.75" customHeight="1">
      <c r="A5" s="602"/>
      <c r="B5" s="607" t="s">
        <v>47</v>
      </c>
      <c r="C5" s="608" t="s">
        <v>48</v>
      </c>
      <c r="D5" s="609">
        <v>2002</v>
      </c>
      <c r="E5" s="609">
        <v>2003</v>
      </c>
      <c r="F5" s="609">
        <v>2004</v>
      </c>
      <c r="G5" s="609">
        <v>2005</v>
      </c>
      <c r="H5" s="610">
        <v>2006</v>
      </c>
      <c r="I5" s="611" t="s">
        <v>181</v>
      </c>
      <c r="J5" s="610">
        <v>2007</v>
      </c>
      <c r="K5" s="610">
        <v>2008</v>
      </c>
      <c r="L5" s="612">
        <v>2009</v>
      </c>
      <c r="M5" s="611">
        <v>2009</v>
      </c>
      <c r="N5" s="815">
        <v>2010</v>
      </c>
    </row>
    <row r="6" spans="1:15" s="577" customFormat="1" ht="12.75" customHeight="1">
      <c r="A6" s="613"/>
      <c r="B6" s="614"/>
      <c r="C6" s="615" t="s">
        <v>492</v>
      </c>
      <c r="D6" s="616">
        <f>D7+D12+D13+D25</f>
        <v>88000</v>
      </c>
      <c r="E6" s="616">
        <f>E7+E12+E13+E25</f>
        <v>115000</v>
      </c>
      <c r="F6" s="616">
        <f>F7+F12+F13+F25</f>
        <v>139827</v>
      </c>
      <c r="G6" s="616">
        <f>G7+G12+G13+G25</f>
        <v>170145</v>
      </c>
      <c r="H6" s="617">
        <f>H7+H12+H13+H25</f>
        <v>159696</v>
      </c>
      <c r="I6" s="617">
        <f>I7+SUM(I12:I13)+I25</f>
        <v>0</v>
      </c>
      <c r="J6" s="617">
        <v>185234</v>
      </c>
      <c r="K6" s="617">
        <f>K7+K12+K13+K25</f>
        <v>183265</v>
      </c>
      <c r="L6" s="617">
        <f>L7+L12+L13+L25</f>
        <v>206686.90933333331</v>
      </c>
      <c r="M6" s="617">
        <f>M7+M12+M13+M25</f>
        <v>190543.27466666666</v>
      </c>
      <c r="N6" s="618">
        <f>N7+N12+N13+N25</f>
        <v>201053</v>
      </c>
      <c r="O6" s="619"/>
    </row>
    <row r="7" spans="1:16" s="151" customFormat="1" ht="12.75" customHeight="1">
      <c r="A7" s="602"/>
      <c r="B7" s="620">
        <v>1</v>
      </c>
      <c r="C7" s="621" t="s">
        <v>364</v>
      </c>
      <c r="D7" s="274">
        <v>88000</v>
      </c>
      <c r="E7" s="274">
        <v>89000</v>
      </c>
      <c r="F7" s="622"/>
      <c r="G7" s="622">
        <v>88000</v>
      </c>
      <c r="H7" s="623">
        <v>99000</v>
      </c>
      <c r="I7" s="624">
        <f>SUM(I8:I11)</f>
        <v>0</v>
      </c>
      <c r="J7" s="624">
        <v>99000</v>
      </c>
      <c r="K7" s="624">
        <f>SUM(K8:K11)</f>
        <v>99000</v>
      </c>
      <c r="L7" s="625">
        <f>SUM(L8:L11)</f>
        <v>99000</v>
      </c>
      <c r="M7" s="624">
        <f>SUM(M8:M11)</f>
        <v>99000</v>
      </c>
      <c r="N7" s="626">
        <f>SUM(N8:N11)</f>
        <v>120000</v>
      </c>
      <c r="O7" s="1362" t="s">
        <v>365</v>
      </c>
      <c r="P7" s="1363"/>
    </row>
    <row r="8" spans="1:16" s="151" customFormat="1" ht="12.75" customHeight="1">
      <c r="A8" s="602"/>
      <c r="B8" s="627" t="s">
        <v>325</v>
      </c>
      <c r="C8" s="628" t="s">
        <v>182</v>
      </c>
      <c r="D8" s="629"/>
      <c r="E8" s="629"/>
      <c r="F8" s="630"/>
      <c r="G8" s="630"/>
      <c r="H8" s="631"/>
      <c r="I8" s="632"/>
      <c r="J8" s="632">
        <v>23960</v>
      </c>
      <c r="K8" s="632">
        <v>40093</v>
      </c>
      <c r="L8" s="633">
        <v>0</v>
      </c>
      <c r="M8" s="632">
        <v>40093</v>
      </c>
      <c r="N8" s="634">
        <v>26000</v>
      </c>
      <c r="O8" s="1362" t="s">
        <v>366</v>
      </c>
      <c r="P8" s="1363"/>
    </row>
    <row r="9" spans="1:16" s="151" customFormat="1" ht="12.75" customHeight="1">
      <c r="A9" s="602"/>
      <c r="B9" s="627" t="s">
        <v>326</v>
      </c>
      <c r="C9" s="628" t="s">
        <v>367</v>
      </c>
      <c r="D9" s="629"/>
      <c r="E9" s="629"/>
      <c r="F9" s="630"/>
      <c r="G9" s="630"/>
      <c r="H9" s="631"/>
      <c r="I9" s="632"/>
      <c r="J9" s="632"/>
      <c r="K9" s="632"/>
      <c r="L9" s="633"/>
      <c r="M9" s="632"/>
      <c r="N9" s="634">
        <v>35000</v>
      </c>
      <c r="O9" s="1362"/>
      <c r="P9" s="1363"/>
    </row>
    <row r="10" spans="1:16" s="151" customFormat="1" ht="12.75" customHeight="1">
      <c r="A10" s="602"/>
      <c r="B10" s="627" t="s">
        <v>368</v>
      </c>
      <c r="C10" s="628" t="s">
        <v>369</v>
      </c>
      <c r="D10" s="629"/>
      <c r="E10" s="629"/>
      <c r="F10" s="630"/>
      <c r="G10" s="630"/>
      <c r="H10" s="631"/>
      <c r="I10" s="632"/>
      <c r="J10" s="632"/>
      <c r="K10" s="632"/>
      <c r="L10" s="633"/>
      <c r="M10" s="632"/>
      <c r="N10" s="634">
        <v>0</v>
      </c>
      <c r="O10" s="1362" t="s">
        <v>370</v>
      </c>
      <c r="P10" s="1363"/>
    </row>
    <row r="11" spans="1:16" s="151" customFormat="1" ht="12.75" customHeight="1">
      <c r="A11" s="602"/>
      <c r="B11" s="627" t="s">
        <v>371</v>
      </c>
      <c r="C11" s="628" t="s">
        <v>183</v>
      </c>
      <c r="D11" s="629"/>
      <c r="E11" s="629"/>
      <c r="F11" s="630"/>
      <c r="G11" s="630"/>
      <c r="H11" s="631"/>
      <c r="I11" s="632"/>
      <c r="J11" s="632">
        <v>75040</v>
      </c>
      <c r="K11" s="632">
        <v>58907</v>
      </c>
      <c r="L11" s="633">
        <v>99000</v>
      </c>
      <c r="M11" s="632">
        <v>58907</v>
      </c>
      <c r="N11" s="634">
        <v>59000</v>
      </c>
      <c r="O11" s="1364">
        <f>31.646+3+3.75</f>
        <v>38.396</v>
      </c>
      <c r="P11" s="635" t="s">
        <v>372</v>
      </c>
    </row>
    <row r="12" spans="1:16" s="152" customFormat="1" ht="12.75" customHeight="1">
      <c r="A12" s="602"/>
      <c r="B12" s="620">
        <v>2</v>
      </c>
      <c r="C12" s="621" t="s">
        <v>184</v>
      </c>
      <c r="D12" s="274"/>
      <c r="E12" s="274"/>
      <c r="F12" s="622">
        <v>92280</v>
      </c>
      <c r="G12" s="622">
        <v>21517</v>
      </c>
      <c r="H12" s="623">
        <v>38176</v>
      </c>
      <c r="I12" s="624">
        <v>0</v>
      </c>
      <c r="J12" s="624">
        <v>41148</v>
      </c>
      <c r="K12" s="624">
        <v>48601</v>
      </c>
      <c r="L12" s="636"/>
      <c r="M12" s="624">
        <v>46410</v>
      </c>
      <c r="N12" s="626"/>
      <c r="O12" s="1362" t="s">
        <v>373</v>
      </c>
      <c r="P12" s="1362"/>
    </row>
    <row r="13" spans="1:16" s="152" customFormat="1" ht="12.75" customHeight="1">
      <c r="A13" s="602"/>
      <c r="B13" s="620">
        <v>3</v>
      </c>
      <c r="C13" s="621" t="s">
        <v>158</v>
      </c>
      <c r="D13" s="274">
        <f aca="true" t="shared" si="0" ref="D13:I13">SUM(D14:D24)</f>
        <v>0</v>
      </c>
      <c r="E13" s="274">
        <f t="shared" si="0"/>
        <v>13000</v>
      </c>
      <c r="F13" s="274">
        <f t="shared" si="0"/>
        <v>37547</v>
      </c>
      <c r="G13" s="274">
        <f t="shared" si="0"/>
        <v>19628</v>
      </c>
      <c r="H13" s="637">
        <f t="shared" si="0"/>
        <v>22520</v>
      </c>
      <c r="I13" s="638">
        <f t="shared" si="0"/>
        <v>0</v>
      </c>
      <c r="J13" s="638">
        <v>21905</v>
      </c>
      <c r="K13" s="638">
        <f>SUM(K14:K24)</f>
        <v>17164</v>
      </c>
      <c r="L13" s="639">
        <f>SUM(L14:L24)</f>
        <v>78696.54933333334</v>
      </c>
      <c r="M13" s="638">
        <f>SUM(M14:M24)</f>
        <v>16143.274666666666</v>
      </c>
      <c r="N13" s="640">
        <f>SUM(N14:N24)</f>
        <v>12812</v>
      </c>
      <c r="O13" s="1362"/>
      <c r="P13" s="1362"/>
    </row>
    <row r="14" spans="1:16" s="152" customFormat="1" ht="12.75" customHeight="1">
      <c r="A14" s="641"/>
      <c r="B14" s="642"/>
      <c r="C14" s="643" t="s">
        <v>51</v>
      </c>
      <c r="D14" s="644"/>
      <c r="E14" s="645"/>
      <c r="F14" s="645">
        <v>7078</v>
      </c>
      <c r="G14" s="645"/>
      <c r="H14" s="646">
        <v>0</v>
      </c>
      <c r="I14" s="647"/>
      <c r="J14" s="647">
        <v>0</v>
      </c>
      <c r="K14" s="648">
        <v>0</v>
      </c>
      <c r="L14" s="649">
        <v>0</v>
      </c>
      <c r="M14" s="648">
        <v>0</v>
      </c>
      <c r="N14" s="650">
        <v>0</v>
      </c>
      <c r="O14" s="1362"/>
      <c r="P14" s="1362"/>
    </row>
    <row r="15" spans="1:16" s="152" customFormat="1" ht="12.75" customHeight="1">
      <c r="A15" s="641"/>
      <c r="B15" s="642"/>
      <c r="C15" s="643" t="s">
        <v>125</v>
      </c>
      <c r="D15" s="644"/>
      <c r="E15" s="645"/>
      <c r="F15" s="645"/>
      <c r="G15" s="645"/>
      <c r="H15" s="646">
        <v>0</v>
      </c>
      <c r="I15" s="647"/>
      <c r="J15" s="647">
        <v>0</v>
      </c>
      <c r="K15" s="648">
        <v>0</v>
      </c>
      <c r="L15" s="649">
        <v>0</v>
      </c>
      <c r="M15" s="648">
        <v>0</v>
      </c>
      <c r="N15" s="650">
        <v>0</v>
      </c>
      <c r="O15" s="1362"/>
      <c r="P15" s="1362"/>
    </row>
    <row r="16" spans="1:16" s="152" customFormat="1" ht="12.75" customHeight="1">
      <c r="A16" s="641"/>
      <c r="B16" s="642"/>
      <c r="C16" s="643" t="s">
        <v>148</v>
      </c>
      <c r="D16" s="644"/>
      <c r="E16" s="645"/>
      <c r="F16" s="645"/>
      <c r="G16" s="645">
        <v>300</v>
      </c>
      <c r="H16" s="646">
        <v>395</v>
      </c>
      <c r="I16" s="647"/>
      <c r="J16" s="647">
        <v>396</v>
      </c>
      <c r="K16" s="648">
        <v>440</v>
      </c>
      <c r="L16" s="649">
        <v>459.228</v>
      </c>
      <c r="M16" s="648">
        <v>459.228</v>
      </c>
      <c r="N16" s="650">
        <v>261</v>
      </c>
      <c r="O16" s="1364">
        <v>300</v>
      </c>
      <c r="P16" s="1362"/>
    </row>
    <row r="17" spans="1:16" s="152" customFormat="1" ht="12.75" customHeight="1">
      <c r="A17" s="641"/>
      <c r="B17" s="642"/>
      <c r="C17" s="643" t="s">
        <v>136</v>
      </c>
      <c r="D17" s="644"/>
      <c r="E17" s="645"/>
      <c r="F17" s="645"/>
      <c r="G17" s="645">
        <v>114</v>
      </c>
      <c r="H17" s="646">
        <v>30</v>
      </c>
      <c r="I17" s="647"/>
      <c r="J17" s="647">
        <v>64</v>
      </c>
      <c r="K17" s="648">
        <v>123</v>
      </c>
      <c r="L17" s="649">
        <v>123.04666666666665</v>
      </c>
      <c r="M17" s="648">
        <v>123.04666666666665</v>
      </c>
      <c r="N17" s="650">
        <v>124</v>
      </c>
      <c r="O17" s="1362"/>
      <c r="P17" s="1362"/>
    </row>
    <row r="18" spans="1:16" s="152" customFormat="1" ht="12.75" customHeight="1">
      <c r="A18" s="641"/>
      <c r="B18" s="642"/>
      <c r="C18" s="643" t="s">
        <v>185</v>
      </c>
      <c r="D18" s="644"/>
      <c r="E18" s="645"/>
      <c r="F18" s="645"/>
      <c r="G18" s="645"/>
      <c r="H18" s="646">
        <v>0</v>
      </c>
      <c r="I18" s="647"/>
      <c r="J18" s="647">
        <v>0</v>
      </c>
      <c r="K18" s="648">
        <v>0</v>
      </c>
      <c r="L18" s="649">
        <v>0</v>
      </c>
      <c r="M18" s="648">
        <v>0</v>
      </c>
      <c r="N18" s="650">
        <v>0</v>
      </c>
      <c r="O18" s="1362"/>
      <c r="P18" s="1362"/>
    </row>
    <row r="19" spans="1:16" s="152" customFormat="1" ht="12.75" customHeight="1">
      <c r="A19" s="641"/>
      <c r="B19" s="642"/>
      <c r="C19" s="643" t="s">
        <v>317</v>
      </c>
      <c r="D19" s="644"/>
      <c r="E19" s="645"/>
      <c r="F19" s="645">
        <v>381</v>
      </c>
      <c r="G19" s="645"/>
      <c r="H19" s="646"/>
      <c r="I19" s="647"/>
      <c r="J19" s="647">
        <v>0</v>
      </c>
      <c r="K19" s="648">
        <v>0</v>
      </c>
      <c r="L19" s="649">
        <v>0</v>
      </c>
      <c r="M19" s="648">
        <v>0</v>
      </c>
      <c r="N19" s="650">
        <v>0</v>
      </c>
      <c r="O19" s="1362"/>
      <c r="P19" s="1362"/>
    </row>
    <row r="20" spans="1:16" s="152" customFormat="1" ht="12.75" customHeight="1">
      <c r="A20" s="641"/>
      <c r="B20" s="642"/>
      <c r="C20" s="643" t="s">
        <v>159</v>
      </c>
      <c r="D20" s="644"/>
      <c r="E20" s="645">
        <v>13000</v>
      </c>
      <c r="F20" s="645">
        <f>9708+17263</f>
        <v>26971</v>
      </c>
      <c r="G20" s="645">
        <v>18314</v>
      </c>
      <c r="H20" s="646">
        <v>20182</v>
      </c>
      <c r="I20" s="647"/>
      <c r="J20" s="647">
        <v>19690</v>
      </c>
      <c r="K20" s="648">
        <v>14235</v>
      </c>
      <c r="L20" s="649">
        <v>13135</v>
      </c>
      <c r="M20" s="648">
        <v>13135</v>
      </c>
      <c r="N20" s="650">
        <v>10540</v>
      </c>
      <c r="O20" s="1362"/>
      <c r="P20" s="1362"/>
    </row>
    <row r="21" spans="1:16" s="153" customFormat="1" ht="12.75" customHeight="1">
      <c r="A21" s="641"/>
      <c r="B21" s="642"/>
      <c r="C21" s="643" t="s">
        <v>108</v>
      </c>
      <c r="D21" s="644"/>
      <c r="E21" s="645"/>
      <c r="F21" s="645"/>
      <c r="G21" s="645"/>
      <c r="H21" s="646">
        <v>0</v>
      </c>
      <c r="I21" s="647"/>
      <c r="J21" s="647">
        <v>0</v>
      </c>
      <c r="K21" s="648">
        <v>0</v>
      </c>
      <c r="L21" s="649">
        <v>157</v>
      </c>
      <c r="M21" s="648">
        <v>0</v>
      </c>
      <c r="N21" s="650">
        <v>0</v>
      </c>
      <c r="O21" s="1362"/>
      <c r="P21" s="1365"/>
    </row>
    <row r="22" spans="1:16" s="151" customFormat="1" ht="12.75" customHeight="1">
      <c r="A22" s="641"/>
      <c r="B22" s="642"/>
      <c r="C22" s="643" t="s">
        <v>52</v>
      </c>
      <c r="D22" s="644"/>
      <c r="E22" s="645"/>
      <c r="F22" s="645">
        <v>68</v>
      </c>
      <c r="G22" s="645">
        <v>60</v>
      </c>
      <c r="H22" s="646">
        <v>42</v>
      </c>
      <c r="I22" s="647"/>
      <c r="J22" s="647">
        <v>58</v>
      </c>
      <c r="K22" s="648">
        <v>132</v>
      </c>
      <c r="L22" s="649">
        <v>90</v>
      </c>
      <c r="M22" s="648">
        <v>157</v>
      </c>
      <c r="N22" s="650">
        <v>159</v>
      </c>
      <c r="O22" s="1362"/>
      <c r="P22" s="1363"/>
    </row>
    <row r="23" spans="1:16" s="153" customFormat="1" ht="12.75" customHeight="1">
      <c r="A23" s="641"/>
      <c r="B23" s="642"/>
      <c r="C23" s="643" t="s">
        <v>53</v>
      </c>
      <c r="D23" s="644"/>
      <c r="E23" s="645"/>
      <c r="F23" s="645">
        <v>74</v>
      </c>
      <c r="G23" s="645">
        <v>63</v>
      </c>
      <c r="H23" s="646">
        <v>64</v>
      </c>
      <c r="I23" s="647"/>
      <c r="J23" s="647">
        <v>71</v>
      </c>
      <c r="K23" s="648">
        <v>74</v>
      </c>
      <c r="L23" s="649">
        <v>2179</v>
      </c>
      <c r="M23" s="648">
        <v>90</v>
      </c>
      <c r="N23" s="650">
        <v>90</v>
      </c>
      <c r="O23" s="1362"/>
      <c r="P23" s="1365"/>
    </row>
    <row r="24" spans="1:16" s="153" customFormat="1" ht="12">
      <c r="A24" s="651"/>
      <c r="B24" s="652"/>
      <c r="C24" s="643" t="s">
        <v>126</v>
      </c>
      <c r="D24" s="644"/>
      <c r="E24" s="645"/>
      <c r="F24" s="645">
        <v>2975</v>
      </c>
      <c r="G24" s="645">
        <v>777</v>
      </c>
      <c r="H24" s="646">
        <v>1807</v>
      </c>
      <c r="I24" s="647"/>
      <c r="J24" s="647">
        <v>1626</v>
      </c>
      <c r="K24" s="648">
        <v>2160</v>
      </c>
      <c r="L24" s="649">
        <v>62553.27466666667</v>
      </c>
      <c r="M24" s="648">
        <v>2179</v>
      </c>
      <c r="N24" s="650">
        <v>1638</v>
      </c>
      <c r="O24" s="1362"/>
      <c r="P24" s="1365"/>
    </row>
    <row r="25" spans="1:16" ht="12">
      <c r="A25" s="602"/>
      <c r="B25" s="620">
        <v>4</v>
      </c>
      <c r="C25" s="621" t="s">
        <v>374</v>
      </c>
      <c r="D25" s="274">
        <f aca="true" t="shared" si="1" ref="D25:I25">SUM(D26:D26)</f>
        <v>0</v>
      </c>
      <c r="E25" s="274">
        <f t="shared" si="1"/>
        <v>13000</v>
      </c>
      <c r="F25" s="274">
        <f t="shared" si="1"/>
        <v>10000</v>
      </c>
      <c r="G25" s="274">
        <f t="shared" si="1"/>
        <v>41000</v>
      </c>
      <c r="H25" s="637">
        <f t="shared" si="1"/>
        <v>0</v>
      </c>
      <c r="I25" s="638">
        <f t="shared" si="1"/>
        <v>0</v>
      </c>
      <c r="J25" s="638">
        <v>23181</v>
      </c>
      <c r="K25" s="638">
        <f>SUM(K26:K28)</f>
        <v>18500</v>
      </c>
      <c r="L25" s="638">
        <f>SUM(L26:L28)</f>
        <v>28990.36</v>
      </c>
      <c r="M25" s="638">
        <f>SUM(M26:M28)</f>
        <v>28990</v>
      </c>
      <c r="N25" s="816">
        <f>SUM(N26:N28)</f>
        <v>68241</v>
      </c>
      <c r="O25" s="1362"/>
      <c r="P25" s="1363"/>
    </row>
    <row r="26" spans="1:16" ht="12">
      <c r="A26" s="651"/>
      <c r="B26" s="652"/>
      <c r="C26" s="643" t="s">
        <v>327</v>
      </c>
      <c r="D26" s="644"/>
      <c r="E26" s="653">
        <v>13000</v>
      </c>
      <c r="F26" s="653">
        <v>10000</v>
      </c>
      <c r="G26" s="653">
        <v>41000</v>
      </c>
      <c r="H26" s="654">
        <v>0</v>
      </c>
      <c r="I26" s="655"/>
      <c r="J26" s="656">
        <v>19681</v>
      </c>
      <c r="K26" s="656">
        <v>18500</v>
      </c>
      <c r="L26" s="657">
        <v>21130</v>
      </c>
      <c r="M26" s="656">
        <v>21130</v>
      </c>
      <c r="N26" s="658">
        <v>60381</v>
      </c>
      <c r="O26" s="1362" t="s">
        <v>375</v>
      </c>
      <c r="P26" s="1363"/>
    </row>
    <row r="27" spans="1:14" ht="12">
      <c r="A27" s="651"/>
      <c r="B27" s="652"/>
      <c r="C27" s="643" t="s">
        <v>318</v>
      </c>
      <c r="D27" s="653"/>
      <c r="E27" s="653"/>
      <c r="F27" s="653"/>
      <c r="G27" s="653"/>
      <c r="H27" s="654"/>
      <c r="I27" s="655"/>
      <c r="J27" s="655"/>
      <c r="K27" s="655"/>
      <c r="L27" s="659">
        <f>655030*12/1000</f>
        <v>7860.36</v>
      </c>
      <c r="M27" s="655">
        <v>7860</v>
      </c>
      <c r="N27" s="658">
        <f>M27</f>
        <v>7860</v>
      </c>
    </row>
    <row r="28" spans="1:14" ht="12.75" thickBot="1">
      <c r="A28" s="651"/>
      <c r="B28" s="660"/>
      <c r="C28" s="661" t="s">
        <v>376</v>
      </c>
      <c r="D28" s="662"/>
      <c r="E28" s="662"/>
      <c r="F28" s="662"/>
      <c r="G28" s="662"/>
      <c r="H28" s="663"/>
      <c r="I28" s="664"/>
      <c r="J28" s="664"/>
      <c r="K28" s="664"/>
      <c r="L28" s="667"/>
      <c r="M28" s="664"/>
      <c r="N28" s="668"/>
    </row>
    <row r="29" ht="12">
      <c r="A29" s="665"/>
    </row>
    <row r="33" ht="12">
      <c r="K33" s="578"/>
    </row>
    <row r="34" ht="12">
      <c r="K34" s="578"/>
    </row>
    <row r="41" ht="12">
      <c r="Q41" s="666"/>
    </row>
  </sheetData>
  <sheetProtection/>
  <printOptions horizontalCentered="1"/>
  <pageMargins left="0.4" right="0.2755905511811024" top="0.25" bottom="0.34" header="0.1968503937007874" footer="0.11"/>
  <pageSetup horizontalDpi="600" verticalDpi="600" orientation="landscape" paperSize="9" scale="90" r:id="rId3"/>
  <headerFooter alignWithMargins="0">
    <oddHeader>&amp;R&amp;8Příloha 1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workbookViewId="0" topLeftCell="A1">
      <selection activeCell="P13" sqref="P13"/>
    </sheetView>
  </sheetViews>
  <sheetFormatPr defaultColWidth="9.00390625" defaultRowHeight="12.75"/>
  <cols>
    <col min="1" max="1" width="6.25390625" style="146" customWidth="1"/>
    <col min="2" max="2" width="5.25390625" style="145" customWidth="1"/>
    <col min="3" max="3" width="52.625" style="146" bestFit="1" customWidth="1"/>
    <col min="4" max="6" width="6.625" style="147" hidden="1" customWidth="1"/>
    <col min="7" max="7" width="6.625" style="150" hidden="1" customWidth="1"/>
    <col min="8" max="8" width="7.375" style="150" hidden="1" customWidth="1"/>
    <col min="9" max="9" width="8.00390625" style="147" hidden="1" customWidth="1"/>
    <col min="10" max="10" width="9.375" style="150" hidden="1" customWidth="1"/>
    <col min="11" max="11" width="10.75390625" style="147" hidden="1" customWidth="1"/>
    <col min="12" max="12" width="0" style="146" hidden="1" customWidth="1"/>
    <col min="13" max="13" width="10.875" style="151" customWidth="1"/>
    <col min="14" max="14" width="10.875" style="146" customWidth="1"/>
    <col min="15" max="15" width="6.75390625" style="280" customWidth="1"/>
    <col min="16" max="16" width="7.125" style="146" customWidth="1"/>
    <col min="17" max="17" width="16.125" style="146" customWidth="1"/>
    <col min="18" max="18" width="7.375" style="146" bestFit="1" customWidth="1"/>
    <col min="19" max="19" width="6.625" style="146" bestFit="1" customWidth="1"/>
    <col min="20" max="16384" width="9.125" style="146" customWidth="1"/>
  </cols>
  <sheetData>
    <row r="1" spans="1:14" ht="15.75">
      <c r="A1" s="999"/>
      <c r="B1" s="144" t="s">
        <v>413</v>
      </c>
      <c r="G1" s="147"/>
      <c r="H1" s="147"/>
      <c r="I1" s="151"/>
      <c r="J1" s="469"/>
      <c r="K1" s="272"/>
      <c r="N1" s="601"/>
    </row>
    <row r="2" spans="1:15" s="148" customFormat="1" ht="12.75">
      <c r="A2" s="1000"/>
      <c r="B2" s="811" t="s">
        <v>414</v>
      </c>
      <c r="J2" s="812"/>
      <c r="K2" s="812"/>
      <c r="N2" s="878"/>
      <c r="O2" s="813"/>
    </row>
    <row r="3" spans="1:15" s="148" customFormat="1" ht="13.5" thickBot="1">
      <c r="A3" s="1001"/>
      <c r="B3" s="817"/>
      <c r="D3" s="147"/>
      <c r="E3" s="147"/>
      <c r="F3" s="147"/>
      <c r="G3" s="147"/>
      <c r="I3" s="151"/>
      <c r="J3" s="273"/>
      <c r="K3" s="470"/>
      <c r="M3" s="818"/>
      <c r="O3" s="280"/>
    </row>
    <row r="4" spans="1:14" ht="12.75" customHeight="1" hidden="1" thickBot="1">
      <c r="A4" s="1002"/>
      <c r="B4" s="366"/>
      <c r="C4" s="271" t="s">
        <v>186</v>
      </c>
      <c r="D4" s="275"/>
      <c r="E4" s="276"/>
      <c r="F4" s="275"/>
      <c r="G4" s="276"/>
      <c r="H4" s="277"/>
      <c r="I4" s="346"/>
      <c r="J4" s="471">
        <v>75750</v>
      </c>
      <c r="K4" s="575"/>
      <c r="L4" s="576"/>
      <c r="M4" s="575"/>
      <c r="N4" s="576"/>
    </row>
    <row r="5" spans="1:14" ht="12.75" customHeight="1">
      <c r="A5" s="279"/>
      <c r="B5" s="603"/>
      <c r="C5" s="604"/>
      <c r="D5" s="282" t="s">
        <v>46</v>
      </c>
      <c r="E5" s="282" t="s">
        <v>46</v>
      </c>
      <c r="F5" s="282" t="s">
        <v>46</v>
      </c>
      <c r="G5" s="282" t="s">
        <v>46</v>
      </c>
      <c r="H5" s="281" t="s">
        <v>46</v>
      </c>
      <c r="I5" s="605" t="s">
        <v>179</v>
      </c>
      <c r="J5" s="281" t="s">
        <v>180</v>
      </c>
      <c r="K5" s="281" t="s">
        <v>46</v>
      </c>
      <c r="L5" s="606" t="s">
        <v>316</v>
      </c>
      <c r="M5" s="605" t="s">
        <v>46</v>
      </c>
      <c r="N5" s="814" t="s">
        <v>46</v>
      </c>
    </row>
    <row r="6" spans="1:14" ht="12.75" customHeight="1" thickBot="1">
      <c r="A6" s="279"/>
      <c r="B6" s="607" t="s">
        <v>47</v>
      </c>
      <c r="C6" s="608" t="s">
        <v>48</v>
      </c>
      <c r="D6" s="609">
        <v>2002</v>
      </c>
      <c r="E6" s="609">
        <v>2003</v>
      </c>
      <c r="F6" s="609">
        <v>2004</v>
      </c>
      <c r="G6" s="609">
        <v>2005</v>
      </c>
      <c r="H6" s="610">
        <v>2006</v>
      </c>
      <c r="I6" s="611" t="s">
        <v>181</v>
      </c>
      <c r="J6" s="610">
        <v>2007</v>
      </c>
      <c r="K6" s="610">
        <v>2008</v>
      </c>
      <c r="L6" s="612">
        <v>2009</v>
      </c>
      <c r="M6" s="611">
        <v>2009</v>
      </c>
      <c r="N6" s="815">
        <v>2010</v>
      </c>
    </row>
    <row r="7" spans="1:19" s="577" customFormat="1" ht="12.75" customHeight="1">
      <c r="A7" s="879"/>
      <c r="B7" s="819"/>
      <c r="C7" s="820" t="s">
        <v>388</v>
      </c>
      <c r="D7" s="821">
        <f>D74+D85+D118</f>
        <v>75279</v>
      </c>
      <c r="E7" s="821">
        <f>E74+E85+E118</f>
        <v>59485</v>
      </c>
      <c r="F7" s="821">
        <f>F74+F85+F118</f>
        <v>69200</v>
      </c>
      <c r="G7" s="821">
        <f>G74+G85+G118</f>
        <v>71185</v>
      </c>
      <c r="H7" s="822" t="e">
        <f>H74+H85+H118+H122+#REF!</f>
        <v>#REF!</v>
      </c>
      <c r="I7" s="822" t="e">
        <f>I74+I85+I118+I122+#REF!</f>
        <v>#REF!</v>
      </c>
      <c r="J7" s="822">
        <v>126313</v>
      </c>
      <c r="K7" s="822">
        <f>SUM(K122+K118+K85+K78+K74+K124+K125)</f>
        <v>151012</v>
      </c>
      <c r="L7" s="822">
        <f>SUM(L122+L118+L85+L78+L74+L123)</f>
        <v>155867</v>
      </c>
      <c r="M7" s="822">
        <f>SUM(M122+M118+M85+M78+M74+M124+M125)</f>
        <v>158636</v>
      </c>
      <c r="N7" s="823">
        <f>SUM(N122+N118+N85+N78+N74+N124+N125+N79+N81)</f>
        <v>164879</v>
      </c>
      <c r="O7" s="619"/>
      <c r="R7" s="824"/>
      <c r="S7" s="824"/>
    </row>
    <row r="8" spans="1:14" ht="12.75" customHeight="1">
      <c r="A8" s="1003"/>
      <c r="B8" s="607">
        <v>1</v>
      </c>
      <c r="C8" s="628" t="s">
        <v>160</v>
      </c>
      <c r="D8" s="825">
        <v>1300</v>
      </c>
      <c r="E8" s="825">
        <f>D8</f>
        <v>1300</v>
      </c>
      <c r="F8" s="825">
        <v>1100</v>
      </c>
      <c r="G8" s="825">
        <v>1700</v>
      </c>
      <c r="H8" s="826">
        <v>2500</v>
      </c>
      <c r="I8" s="655"/>
      <c r="J8" s="655">
        <v>1639</v>
      </c>
      <c r="K8" s="655">
        <v>1940</v>
      </c>
      <c r="L8" s="659">
        <v>1832</v>
      </c>
      <c r="M8" s="655">
        <v>1832</v>
      </c>
      <c r="N8" s="634">
        <v>2100</v>
      </c>
    </row>
    <row r="9" spans="1:14" ht="12.75" customHeight="1">
      <c r="A9" s="1003"/>
      <c r="B9" s="607">
        <v>2</v>
      </c>
      <c r="C9" s="608" t="s">
        <v>157</v>
      </c>
      <c r="D9" s="825">
        <v>350</v>
      </c>
      <c r="E9" s="825">
        <f>D9</f>
        <v>350</v>
      </c>
      <c r="F9" s="825">
        <v>360</v>
      </c>
      <c r="G9" s="825">
        <v>400</v>
      </c>
      <c r="H9" s="826">
        <v>490</v>
      </c>
      <c r="I9" s="655"/>
      <c r="J9" s="655">
        <v>800</v>
      </c>
      <c r="K9" s="655">
        <v>800</v>
      </c>
      <c r="L9" s="659">
        <v>600</v>
      </c>
      <c r="M9" s="655">
        <v>600</v>
      </c>
      <c r="N9" s="634">
        <v>900</v>
      </c>
    </row>
    <row r="10" spans="1:16" ht="12.75" customHeight="1">
      <c r="A10" s="1003"/>
      <c r="B10" s="607">
        <v>3</v>
      </c>
      <c r="C10" s="827" t="s">
        <v>212</v>
      </c>
      <c r="D10" s="825">
        <v>400</v>
      </c>
      <c r="E10" s="825">
        <f>D10</f>
        <v>400</v>
      </c>
      <c r="F10" s="825">
        <v>2000</v>
      </c>
      <c r="G10" s="825">
        <v>2100</v>
      </c>
      <c r="H10" s="826">
        <v>120</v>
      </c>
      <c r="I10" s="655"/>
      <c r="J10" s="655">
        <v>1500</v>
      </c>
      <c r="K10" s="655">
        <v>1500</v>
      </c>
      <c r="L10" s="659">
        <v>1500</v>
      </c>
      <c r="M10" s="655">
        <v>1500</v>
      </c>
      <c r="N10" s="634">
        <v>1750</v>
      </c>
      <c r="O10" s="1362" t="s">
        <v>389</v>
      </c>
      <c r="P10" s="1363"/>
    </row>
    <row r="11" spans="1:16" ht="12.75" customHeight="1">
      <c r="A11" s="1003"/>
      <c r="B11" s="607">
        <v>4</v>
      </c>
      <c r="C11" s="608" t="s">
        <v>127</v>
      </c>
      <c r="D11" s="825"/>
      <c r="E11" s="825"/>
      <c r="F11" s="825"/>
      <c r="G11" s="825">
        <v>1050</v>
      </c>
      <c r="H11" s="826">
        <v>1000</v>
      </c>
      <c r="I11" s="655"/>
      <c r="J11" s="655">
        <v>850</v>
      </c>
      <c r="K11" s="655">
        <v>1000</v>
      </c>
      <c r="L11" s="659">
        <v>1000</v>
      </c>
      <c r="M11" s="655">
        <v>1000</v>
      </c>
      <c r="N11" s="634">
        <v>960</v>
      </c>
      <c r="O11" s="1362"/>
      <c r="P11" s="1363"/>
    </row>
    <row r="12" spans="1:16" ht="12.75" customHeight="1">
      <c r="A12" s="1003"/>
      <c r="B12" s="607">
        <v>5</v>
      </c>
      <c r="C12" s="608" t="s">
        <v>265</v>
      </c>
      <c r="D12" s="825"/>
      <c r="E12" s="825"/>
      <c r="F12" s="825"/>
      <c r="G12" s="825"/>
      <c r="H12" s="826"/>
      <c r="I12" s="655"/>
      <c r="J12" s="655"/>
      <c r="K12" s="655">
        <v>250</v>
      </c>
      <c r="L12" s="659">
        <v>250</v>
      </c>
      <c r="M12" s="655">
        <v>250</v>
      </c>
      <c r="N12" s="634">
        <v>250</v>
      </c>
      <c r="O12" s="1362"/>
      <c r="P12" s="1363"/>
    </row>
    <row r="13" spans="1:16" ht="12.75" customHeight="1">
      <c r="A13" s="1003"/>
      <c r="B13" s="607">
        <v>6</v>
      </c>
      <c r="C13" s="628" t="s">
        <v>319</v>
      </c>
      <c r="D13" s="630">
        <v>20000</v>
      </c>
      <c r="E13" s="630">
        <v>16900</v>
      </c>
      <c r="F13" s="630">
        <v>16304</v>
      </c>
      <c r="G13" s="630">
        <v>15500</v>
      </c>
      <c r="H13" s="631">
        <v>17540</v>
      </c>
      <c r="I13" s="655"/>
      <c r="J13" s="655">
        <v>17762</v>
      </c>
      <c r="K13" s="655">
        <v>15300</v>
      </c>
      <c r="L13" s="659">
        <v>19000</v>
      </c>
      <c r="M13" s="655">
        <f>L13</f>
        <v>19000</v>
      </c>
      <c r="N13" s="634">
        <v>10000</v>
      </c>
      <c r="O13" s="1362" t="s">
        <v>390</v>
      </c>
      <c r="P13" s="1363"/>
    </row>
    <row r="14" spans="1:14" ht="12.75" customHeight="1" hidden="1">
      <c r="A14" s="1003"/>
      <c r="B14" s="607">
        <v>7</v>
      </c>
      <c r="C14" s="608" t="s">
        <v>161</v>
      </c>
      <c r="D14" s="825">
        <v>48757</v>
      </c>
      <c r="E14" s="825">
        <v>10000</v>
      </c>
      <c r="F14" s="825">
        <v>7800</v>
      </c>
      <c r="G14" s="825">
        <v>6000</v>
      </c>
      <c r="H14" s="826">
        <v>0</v>
      </c>
      <c r="I14" s="655"/>
      <c r="J14" s="655">
        <v>0</v>
      </c>
      <c r="K14" s="655"/>
      <c r="L14" s="659"/>
      <c r="M14" s="655"/>
      <c r="N14" s="634">
        <v>0</v>
      </c>
    </row>
    <row r="15" spans="1:14" ht="12.75" customHeight="1">
      <c r="A15" s="1003"/>
      <c r="B15" s="607">
        <v>8</v>
      </c>
      <c r="C15" s="608" t="s">
        <v>128</v>
      </c>
      <c r="D15" s="825">
        <v>500</v>
      </c>
      <c r="E15" s="825">
        <f>D15</f>
        <v>500</v>
      </c>
      <c r="F15" s="825">
        <v>225</v>
      </c>
      <c r="G15" s="825">
        <v>300</v>
      </c>
      <c r="H15" s="826">
        <v>300</v>
      </c>
      <c r="I15" s="655"/>
      <c r="J15" s="655">
        <v>300</v>
      </c>
      <c r="K15" s="655">
        <v>300</v>
      </c>
      <c r="L15" s="659">
        <v>300</v>
      </c>
      <c r="M15" s="655">
        <v>300</v>
      </c>
      <c r="N15" s="634">
        <v>370</v>
      </c>
    </row>
    <row r="16" spans="1:14" ht="12.75" customHeight="1">
      <c r="A16" s="1003"/>
      <c r="B16" s="607">
        <v>9</v>
      </c>
      <c r="C16" s="608" t="s">
        <v>391</v>
      </c>
      <c r="D16" s="825"/>
      <c r="E16" s="825"/>
      <c r="F16" s="825"/>
      <c r="G16" s="825"/>
      <c r="H16" s="826"/>
      <c r="I16" s="655"/>
      <c r="J16" s="655"/>
      <c r="K16" s="655">
        <v>0</v>
      </c>
      <c r="L16" s="659">
        <v>470</v>
      </c>
      <c r="M16" s="655">
        <v>470</v>
      </c>
      <c r="N16" s="634">
        <v>5383</v>
      </c>
    </row>
    <row r="17" spans="1:14" ht="12.75" customHeight="1">
      <c r="A17" s="1003"/>
      <c r="B17" s="607">
        <v>10</v>
      </c>
      <c r="C17" s="608" t="s">
        <v>129</v>
      </c>
      <c r="D17" s="825"/>
      <c r="E17" s="825">
        <v>620</v>
      </c>
      <c r="F17" s="825">
        <v>890</v>
      </c>
      <c r="G17" s="825">
        <v>1235</v>
      </c>
      <c r="H17" s="826">
        <v>1300</v>
      </c>
      <c r="I17" s="655"/>
      <c r="J17" s="655">
        <v>1300</v>
      </c>
      <c r="K17" s="655">
        <v>1500</v>
      </c>
      <c r="L17" s="659">
        <v>1500</v>
      </c>
      <c r="M17" s="655">
        <v>1500</v>
      </c>
      <c r="N17" s="634">
        <v>1800</v>
      </c>
    </row>
    <row r="18" spans="1:14" ht="12.75" customHeight="1" hidden="1">
      <c r="A18" s="1003"/>
      <c r="B18" s="607">
        <v>11</v>
      </c>
      <c r="C18" s="828" t="s">
        <v>187</v>
      </c>
      <c r="D18" s="630"/>
      <c r="E18" s="630">
        <v>1500</v>
      </c>
      <c r="F18" s="630">
        <f>600+1500</f>
        <v>2100</v>
      </c>
      <c r="G18" s="630">
        <v>1600</v>
      </c>
      <c r="H18" s="631">
        <v>500</v>
      </c>
      <c r="I18" s="655"/>
      <c r="J18" s="655">
        <v>0</v>
      </c>
      <c r="K18" s="655">
        <v>0</v>
      </c>
      <c r="L18" s="659">
        <v>0</v>
      </c>
      <c r="M18" s="655">
        <v>0</v>
      </c>
      <c r="N18" s="634">
        <v>0</v>
      </c>
    </row>
    <row r="19" spans="1:14" ht="12.75" customHeight="1">
      <c r="A19" s="1003"/>
      <c r="B19" s="607"/>
      <c r="C19" s="828" t="s">
        <v>188</v>
      </c>
      <c r="D19" s="630"/>
      <c r="E19" s="630"/>
      <c r="F19" s="630"/>
      <c r="G19" s="630"/>
      <c r="H19" s="631"/>
      <c r="I19" s="655"/>
      <c r="J19" s="655">
        <v>500</v>
      </c>
      <c r="K19" s="655">
        <v>250</v>
      </c>
      <c r="L19" s="659">
        <v>0</v>
      </c>
      <c r="M19" s="655">
        <v>0</v>
      </c>
      <c r="N19" s="634">
        <v>0</v>
      </c>
    </row>
    <row r="20" spans="1:14" ht="12.75" customHeight="1">
      <c r="A20" s="1003"/>
      <c r="B20" s="607">
        <v>11</v>
      </c>
      <c r="C20" s="628" t="s">
        <v>130</v>
      </c>
      <c r="D20" s="630"/>
      <c r="E20" s="630">
        <v>100</v>
      </c>
      <c r="F20" s="630">
        <v>100</v>
      </c>
      <c r="G20" s="630">
        <v>100</v>
      </c>
      <c r="H20" s="631">
        <v>100</v>
      </c>
      <c r="I20" s="655"/>
      <c r="J20" s="655">
        <v>200</v>
      </c>
      <c r="K20" s="655">
        <v>200</v>
      </c>
      <c r="L20" s="659">
        <v>200</v>
      </c>
      <c r="M20" s="655">
        <v>200</v>
      </c>
      <c r="N20" s="634">
        <v>300</v>
      </c>
    </row>
    <row r="21" spans="1:14" ht="12.75" customHeight="1">
      <c r="A21" s="1003"/>
      <c r="B21" s="607">
        <v>12</v>
      </c>
      <c r="C21" s="608" t="s">
        <v>162</v>
      </c>
      <c r="D21" s="825"/>
      <c r="E21" s="825"/>
      <c r="F21" s="825"/>
      <c r="G21" s="825"/>
      <c r="H21" s="826">
        <v>500</v>
      </c>
      <c r="I21" s="655"/>
      <c r="J21" s="655">
        <v>500</v>
      </c>
      <c r="K21" s="655">
        <v>500</v>
      </c>
      <c r="L21" s="659">
        <v>500</v>
      </c>
      <c r="M21" s="655">
        <v>500</v>
      </c>
      <c r="N21" s="634">
        <v>500</v>
      </c>
    </row>
    <row r="22" spans="1:14" ht="12.75" customHeight="1">
      <c r="A22" s="1003"/>
      <c r="B22" s="607">
        <v>13</v>
      </c>
      <c r="C22" s="608" t="s">
        <v>131</v>
      </c>
      <c r="D22" s="825"/>
      <c r="E22" s="825">
        <v>212</v>
      </c>
      <c r="F22" s="825">
        <v>300</v>
      </c>
      <c r="G22" s="825">
        <v>300</v>
      </c>
      <c r="H22" s="826">
        <v>300</v>
      </c>
      <c r="I22" s="655"/>
      <c r="J22" s="655">
        <v>350</v>
      </c>
      <c r="K22" s="655">
        <v>400</v>
      </c>
      <c r="L22" s="659">
        <v>400</v>
      </c>
      <c r="M22" s="655">
        <v>400</v>
      </c>
      <c r="N22" s="634">
        <v>400</v>
      </c>
    </row>
    <row r="23" spans="1:14" ht="12.75" customHeight="1">
      <c r="A23" s="1003"/>
      <c r="B23" s="607">
        <v>14</v>
      </c>
      <c r="C23" s="628" t="s">
        <v>163</v>
      </c>
      <c r="D23" s="630"/>
      <c r="E23" s="630"/>
      <c r="F23" s="630"/>
      <c r="G23" s="630"/>
      <c r="H23" s="631">
        <v>1000</v>
      </c>
      <c r="I23" s="655"/>
      <c r="J23" s="655">
        <v>1000</v>
      </c>
      <c r="K23" s="655">
        <v>500</v>
      </c>
      <c r="L23" s="659">
        <v>500</v>
      </c>
      <c r="M23" s="655">
        <v>500</v>
      </c>
      <c r="N23" s="634">
        <v>500</v>
      </c>
    </row>
    <row r="24" spans="1:14" ht="12.75" customHeight="1">
      <c r="A24" s="1003"/>
      <c r="B24" s="607">
        <v>15</v>
      </c>
      <c r="C24" s="628" t="s">
        <v>164</v>
      </c>
      <c r="D24" s="630"/>
      <c r="E24" s="630"/>
      <c r="F24" s="630"/>
      <c r="G24" s="630"/>
      <c r="H24" s="631">
        <v>200</v>
      </c>
      <c r="I24" s="655"/>
      <c r="J24" s="655">
        <v>200</v>
      </c>
      <c r="K24" s="655">
        <v>100</v>
      </c>
      <c r="L24" s="659">
        <v>100</v>
      </c>
      <c r="M24" s="655">
        <v>100</v>
      </c>
      <c r="N24" s="634">
        <v>100</v>
      </c>
    </row>
    <row r="25" spans="1:14" ht="12.75" customHeight="1">
      <c r="A25" s="1003"/>
      <c r="B25" s="607">
        <v>16</v>
      </c>
      <c r="C25" s="828" t="s">
        <v>320</v>
      </c>
      <c r="D25" s="630"/>
      <c r="E25" s="630"/>
      <c r="F25" s="630">
        <v>300</v>
      </c>
      <c r="G25" s="630">
        <v>300</v>
      </c>
      <c r="H25" s="631">
        <v>400</v>
      </c>
      <c r="I25" s="655"/>
      <c r="J25" s="655">
        <v>400</v>
      </c>
      <c r="K25" s="655">
        <f>440+220</f>
        <v>660</v>
      </c>
      <c r="L25" s="659">
        <v>750</v>
      </c>
      <c r="M25" s="655">
        <v>750</v>
      </c>
      <c r="N25" s="634">
        <v>750</v>
      </c>
    </row>
    <row r="26" spans="1:14" ht="12.75" customHeight="1">
      <c r="A26" s="1003"/>
      <c r="B26" s="607">
        <v>17</v>
      </c>
      <c r="C26" s="628" t="s">
        <v>321</v>
      </c>
      <c r="D26" s="630"/>
      <c r="E26" s="630"/>
      <c r="F26" s="630"/>
      <c r="G26" s="630"/>
      <c r="H26" s="631">
        <v>882</v>
      </c>
      <c r="I26" s="655"/>
      <c r="J26" s="655">
        <v>650</v>
      </c>
      <c r="K26" s="655">
        <v>725</v>
      </c>
      <c r="L26" s="659">
        <v>800</v>
      </c>
      <c r="M26" s="655">
        <v>800</v>
      </c>
      <c r="N26" s="634">
        <v>900</v>
      </c>
    </row>
    <row r="27" spans="1:14" ht="12.75" customHeight="1">
      <c r="A27" s="1003"/>
      <c r="B27" s="607">
        <v>18</v>
      </c>
      <c r="C27" s="828" t="s">
        <v>213</v>
      </c>
      <c r="D27" s="630"/>
      <c r="E27" s="630"/>
      <c r="F27" s="630"/>
      <c r="G27" s="630"/>
      <c r="H27" s="631">
        <v>500</v>
      </c>
      <c r="I27" s="655"/>
      <c r="J27" s="655">
        <v>500</v>
      </c>
      <c r="K27" s="655">
        <v>850</v>
      </c>
      <c r="L27" s="659">
        <v>850</v>
      </c>
      <c r="M27" s="655">
        <v>850</v>
      </c>
      <c r="N27" s="634">
        <v>890</v>
      </c>
    </row>
    <row r="28" spans="1:14" ht="12.75" customHeight="1" hidden="1">
      <c r="A28" s="1003"/>
      <c r="B28" s="607">
        <v>19</v>
      </c>
      <c r="C28" s="829" t="s">
        <v>214</v>
      </c>
      <c r="D28" s="630"/>
      <c r="E28" s="630"/>
      <c r="F28" s="630"/>
      <c r="G28" s="630"/>
      <c r="H28" s="631">
        <v>180</v>
      </c>
      <c r="I28" s="655"/>
      <c r="J28" s="655">
        <v>200</v>
      </c>
      <c r="K28" s="655"/>
      <c r="L28" s="659"/>
      <c r="M28" s="655"/>
      <c r="N28" s="634">
        <v>0</v>
      </c>
    </row>
    <row r="29" spans="1:14" ht="12.75" customHeight="1">
      <c r="A29" s="1003"/>
      <c r="B29" s="607">
        <v>20</v>
      </c>
      <c r="C29" s="828" t="s">
        <v>165</v>
      </c>
      <c r="D29" s="630"/>
      <c r="E29" s="630"/>
      <c r="F29" s="630"/>
      <c r="G29" s="630"/>
      <c r="H29" s="631">
        <v>310</v>
      </c>
      <c r="I29" s="655"/>
      <c r="J29" s="655">
        <v>40</v>
      </c>
      <c r="K29" s="655">
        <v>100</v>
      </c>
      <c r="L29" s="659">
        <v>120</v>
      </c>
      <c r="M29" s="655">
        <v>120</v>
      </c>
      <c r="N29" s="634">
        <v>120</v>
      </c>
    </row>
    <row r="30" spans="1:14" ht="12.75" customHeight="1" hidden="1">
      <c r="A30" s="1003"/>
      <c r="B30" s="607">
        <v>21</v>
      </c>
      <c r="C30" s="828" t="s">
        <v>189</v>
      </c>
      <c r="D30" s="630"/>
      <c r="E30" s="630"/>
      <c r="F30" s="630"/>
      <c r="G30" s="630"/>
      <c r="H30" s="631"/>
      <c r="I30" s="655"/>
      <c r="J30" s="655">
        <v>300</v>
      </c>
      <c r="K30" s="655">
        <v>0</v>
      </c>
      <c r="L30" s="659">
        <v>0</v>
      </c>
      <c r="M30" s="655">
        <v>0</v>
      </c>
      <c r="N30" s="634">
        <v>0</v>
      </c>
    </row>
    <row r="31" spans="1:14" ht="12.75" customHeight="1">
      <c r="A31" s="1003"/>
      <c r="B31" s="607">
        <v>22</v>
      </c>
      <c r="C31" s="828" t="s">
        <v>266</v>
      </c>
      <c r="D31" s="630"/>
      <c r="E31" s="630"/>
      <c r="F31" s="630"/>
      <c r="G31" s="630"/>
      <c r="H31" s="631"/>
      <c r="I31" s="655"/>
      <c r="J31" s="655"/>
      <c r="K31" s="655">
        <v>330</v>
      </c>
      <c r="L31" s="659">
        <v>330</v>
      </c>
      <c r="M31" s="655">
        <v>330</v>
      </c>
      <c r="N31" s="634">
        <v>550</v>
      </c>
    </row>
    <row r="32" spans="1:14" ht="12.75" customHeight="1">
      <c r="A32" s="1003"/>
      <c r="B32" s="607"/>
      <c r="C32" s="828" t="s">
        <v>322</v>
      </c>
      <c r="D32" s="630"/>
      <c r="E32" s="630"/>
      <c r="F32" s="630"/>
      <c r="G32" s="630"/>
      <c r="H32" s="631"/>
      <c r="I32" s="655"/>
      <c r="J32" s="655"/>
      <c r="K32" s="655"/>
      <c r="L32" s="659"/>
      <c r="M32" s="655">
        <v>1100</v>
      </c>
      <c r="N32" s="634">
        <v>0</v>
      </c>
    </row>
    <row r="33" spans="1:14" ht="12.75" customHeight="1">
      <c r="A33" s="1003"/>
      <c r="B33" s="607"/>
      <c r="C33" s="828" t="s">
        <v>267</v>
      </c>
      <c r="D33" s="630"/>
      <c r="E33" s="630"/>
      <c r="F33" s="630"/>
      <c r="G33" s="630"/>
      <c r="H33" s="631"/>
      <c r="I33" s="655"/>
      <c r="J33" s="655"/>
      <c r="K33" s="655">
        <v>200</v>
      </c>
      <c r="L33" s="659">
        <v>0</v>
      </c>
      <c r="M33" s="655">
        <v>0</v>
      </c>
      <c r="N33" s="634">
        <v>0</v>
      </c>
    </row>
    <row r="34" spans="1:19" ht="12.75" customHeight="1">
      <c r="A34" s="1003"/>
      <c r="B34" s="607">
        <v>23</v>
      </c>
      <c r="C34" s="828" t="s">
        <v>323</v>
      </c>
      <c r="D34" s="630"/>
      <c r="E34" s="630"/>
      <c r="F34" s="630"/>
      <c r="G34" s="630"/>
      <c r="H34" s="631"/>
      <c r="I34" s="655"/>
      <c r="J34" s="655"/>
      <c r="K34" s="655"/>
      <c r="L34" s="659">
        <v>704</v>
      </c>
      <c r="M34" s="655">
        <v>704</v>
      </c>
      <c r="N34" s="634">
        <v>704</v>
      </c>
      <c r="P34" s="472"/>
      <c r="Q34" s="472"/>
      <c r="R34" s="472"/>
      <c r="S34" s="472"/>
    </row>
    <row r="35" spans="1:19" ht="12.75" customHeight="1">
      <c r="A35" s="1003"/>
      <c r="B35" s="607">
        <v>24</v>
      </c>
      <c r="C35" s="628" t="s">
        <v>166</v>
      </c>
      <c r="D35" s="630"/>
      <c r="E35" s="630"/>
      <c r="F35" s="630"/>
      <c r="G35" s="630"/>
      <c r="H35" s="631">
        <v>700</v>
      </c>
      <c r="I35" s="655"/>
      <c r="J35" s="655">
        <v>300</v>
      </c>
      <c r="K35" s="655">
        <v>300</v>
      </c>
      <c r="L35" s="659">
        <v>300</v>
      </c>
      <c r="M35" s="655">
        <v>300</v>
      </c>
      <c r="N35" s="634">
        <v>300</v>
      </c>
      <c r="O35" s="830"/>
      <c r="P35" s="472"/>
      <c r="Q35" s="472"/>
      <c r="R35" s="472"/>
      <c r="S35" s="472"/>
    </row>
    <row r="36" spans="1:21" s="154" customFormat="1" ht="12">
      <c r="A36" s="1003"/>
      <c r="B36" s="607">
        <v>25</v>
      </c>
      <c r="C36" s="628" t="s">
        <v>324</v>
      </c>
      <c r="D36" s="630"/>
      <c r="E36" s="630"/>
      <c r="F36" s="630"/>
      <c r="G36" s="630"/>
      <c r="H36" s="631"/>
      <c r="I36" s="655"/>
      <c r="J36" s="655"/>
      <c r="K36" s="655">
        <v>582</v>
      </c>
      <c r="L36" s="659">
        <v>1490</v>
      </c>
      <c r="M36" s="655">
        <f>L36</f>
        <v>1490</v>
      </c>
      <c r="N36" s="634">
        <v>1490</v>
      </c>
      <c r="O36" s="830"/>
      <c r="P36" s="473"/>
      <c r="Q36" s="473"/>
      <c r="R36" s="473"/>
      <c r="S36" s="473"/>
      <c r="T36" s="146"/>
      <c r="U36" s="146"/>
    </row>
    <row r="37" spans="1:21" s="154" customFormat="1" ht="12">
      <c r="A37" s="1003"/>
      <c r="B37" s="607">
        <v>26</v>
      </c>
      <c r="C37" s="628" t="s">
        <v>167</v>
      </c>
      <c r="D37" s="630"/>
      <c r="E37" s="630"/>
      <c r="F37" s="630"/>
      <c r="G37" s="630"/>
      <c r="H37" s="631">
        <v>300</v>
      </c>
      <c r="I37" s="655"/>
      <c r="J37" s="655">
        <v>300</v>
      </c>
      <c r="K37" s="655">
        <v>300</v>
      </c>
      <c r="L37" s="659">
        <v>300</v>
      </c>
      <c r="M37" s="655">
        <v>300</v>
      </c>
      <c r="N37" s="634">
        <v>300</v>
      </c>
      <c r="O37" s="830"/>
      <c r="P37" s="473"/>
      <c r="Q37" s="473"/>
      <c r="R37" s="473"/>
      <c r="S37" s="473"/>
      <c r="T37" s="146"/>
      <c r="U37" s="146"/>
    </row>
    <row r="38" spans="1:21" s="154" customFormat="1" ht="12">
      <c r="A38" s="1003"/>
      <c r="B38" s="607">
        <v>27</v>
      </c>
      <c r="C38" s="628" t="s">
        <v>190</v>
      </c>
      <c r="D38" s="630"/>
      <c r="E38" s="630"/>
      <c r="F38" s="630"/>
      <c r="G38" s="630"/>
      <c r="H38" s="631">
        <v>500</v>
      </c>
      <c r="I38" s="655"/>
      <c r="J38" s="655">
        <v>500</v>
      </c>
      <c r="K38" s="655">
        <v>500</v>
      </c>
      <c r="L38" s="659">
        <v>500</v>
      </c>
      <c r="M38" s="655">
        <v>500</v>
      </c>
      <c r="N38" s="634">
        <v>500</v>
      </c>
      <c r="O38" s="830"/>
      <c r="P38" s="473"/>
      <c r="Q38" s="473"/>
      <c r="R38" s="473"/>
      <c r="S38" s="473"/>
      <c r="T38" s="146"/>
      <c r="U38" s="146"/>
    </row>
    <row r="39" spans="1:21" s="154" customFormat="1" ht="12">
      <c r="A39" s="1003"/>
      <c r="B39" s="607">
        <v>28</v>
      </c>
      <c r="C39" s="628" t="s">
        <v>191</v>
      </c>
      <c r="D39" s="630"/>
      <c r="E39" s="630"/>
      <c r="F39" s="630"/>
      <c r="G39" s="630"/>
      <c r="H39" s="631">
        <v>500</v>
      </c>
      <c r="I39" s="655"/>
      <c r="J39" s="655">
        <v>500</v>
      </c>
      <c r="K39" s="655">
        <v>500</v>
      </c>
      <c r="L39" s="659">
        <v>500</v>
      </c>
      <c r="M39" s="655">
        <v>500</v>
      </c>
      <c r="N39" s="634">
        <v>500</v>
      </c>
      <c r="O39" s="280"/>
      <c r="P39" s="473"/>
      <c r="Q39" s="473"/>
      <c r="R39" s="473"/>
      <c r="S39" s="473"/>
      <c r="T39" s="146"/>
      <c r="U39" s="146"/>
    </row>
    <row r="40" spans="1:21" s="154" customFormat="1" ht="12" hidden="1">
      <c r="A40" s="1003"/>
      <c r="B40" s="607">
        <v>29</v>
      </c>
      <c r="C40" s="628" t="s">
        <v>273</v>
      </c>
      <c r="D40" s="630"/>
      <c r="E40" s="630"/>
      <c r="F40" s="630"/>
      <c r="G40" s="630"/>
      <c r="H40" s="631"/>
      <c r="I40" s="655"/>
      <c r="J40" s="655"/>
      <c r="K40" s="655"/>
      <c r="L40" s="659"/>
      <c r="M40" s="655"/>
      <c r="N40" s="634">
        <v>0</v>
      </c>
      <c r="O40" s="280"/>
      <c r="P40" s="473"/>
      <c r="Q40" s="473"/>
      <c r="R40" s="473"/>
      <c r="S40" s="473"/>
      <c r="T40" s="146"/>
      <c r="U40" s="146"/>
    </row>
    <row r="41" spans="1:21" s="154" customFormat="1" ht="12">
      <c r="A41" s="1003"/>
      <c r="B41" s="607">
        <v>30</v>
      </c>
      <c r="C41" s="628" t="s">
        <v>268</v>
      </c>
      <c r="D41" s="630"/>
      <c r="E41" s="630"/>
      <c r="F41" s="630"/>
      <c r="G41" s="630"/>
      <c r="H41" s="631"/>
      <c r="I41" s="655"/>
      <c r="J41" s="655"/>
      <c r="K41" s="655">
        <v>100</v>
      </c>
      <c r="L41" s="659">
        <v>90</v>
      </c>
      <c r="M41" s="655">
        <v>50</v>
      </c>
      <c r="N41" s="634">
        <v>50</v>
      </c>
      <c r="O41" s="830"/>
      <c r="P41" s="473"/>
      <c r="Q41" s="473"/>
      <c r="R41" s="473"/>
      <c r="S41" s="473"/>
      <c r="T41" s="146"/>
      <c r="U41" s="146"/>
    </row>
    <row r="42" spans="1:21" s="154" customFormat="1" ht="12">
      <c r="A42" s="1003"/>
      <c r="B42" s="607"/>
      <c r="C42" s="628" t="s">
        <v>328</v>
      </c>
      <c r="D42" s="630"/>
      <c r="E42" s="630"/>
      <c r="F42" s="630"/>
      <c r="G42" s="630"/>
      <c r="H42" s="631"/>
      <c r="I42" s="655"/>
      <c r="J42" s="655"/>
      <c r="K42" s="655">
        <v>0</v>
      </c>
      <c r="L42" s="659">
        <v>150</v>
      </c>
      <c r="M42" s="655">
        <v>150</v>
      </c>
      <c r="N42" s="634">
        <v>0</v>
      </c>
      <c r="O42" s="1376" t="s">
        <v>392</v>
      </c>
      <c r="P42" s="473"/>
      <c r="Q42" s="473"/>
      <c r="R42" s="473"/>
      <c r="S42" s="473"/>
      <c r="T42" s="146"/>
      <c r="U42" s="146"/>
    </row>
    <row r="43" spans="1:21" s="154" customFormat="1" ht="12">
      <c r="A43" s="1003"/>
      <c r="B43" s="607"/>
      <c r="C43" s="628" t="s">
        <v>269</v>
      </c>
      <c r="D43" s="630"/>
      <c r="E43" s="630"/>
      <c r="F43" s="630"/>
      <c r="G43" s="630"/>
      <c r="H43" s="631"/>
      <c r="I43" s="655"/>
      <c r="J43" s="655">
        <v>15000</v>
      </c>
      <c r="K43" s="655">
        <v>7000</v>
      </c>
      <c r="L43" s="659">
        <v>7000</v>
      </c>
      <c r="M43" s="655">
        <v>7000</v>
      </c>
      <c r="N43" s="831">
        <v>0</v>
      </c>
      <c r="O43" s="830"/>
      <c r="P43" s="473"/>
      <c r="Q43" s="473"/>
      <c r="R43" s="473"/>
      <c r="S43" s="473"/>
      <c r="T43" s="146"/>
      <c r="U43" s="146"/>
    </row>
    <row r="44" spans="1:21" s="475" customFormat="1" ht="12">
      <c r="A44" s="1003"/>
      <c r="B44" s="607">
        <v>31</v>
      </c>
      <c r="C44" s="628" t="s">
        <v>329</v>
      </c>
      <c r="D44" s="630"/>
      <c r="E44" s="630"/>
      <c r="F44" s="630"/>
      <c r="G44" s="630"/>
      <c r="H44" s="631"/>
      <c r="I44" s="655"/>
      <c r="J44" s="655"/>
      <c r="K44" s="655">
        <v>0</v>
      </c>
      <c r="L44" s="659">
        <f>ROUNDUP(600780*12/1000,0)</f>
        <v>7210</v>
      </c>
      <c r="M44" s="655">
        <v>7210</v>
      </c>
      <c r="N44" s="634">
        <v>9800</v>
      </c>
      <c r="O44" s="1376" t="s">
        <v>393</v>
      </c>
      <c r="P44" s="474"/>
      <c r="Q44" s="474"/>
      <c r="R44" s="474"/>
      <c r="S44" s="474"/>
      <c r="T44" s="146"/>
      <c r="U44" s="146"/>
    </row>
    <row r="45" spans="1:21" s="154" customFormat="1" ht="12">
      <c r="A45" s="1003"/>
      <c r="B45" s="607">
        <v>32</v>
      </c>
      <c r="C45" s="628" t="s">
        <v>270</v>
      </c>
      <c r="D45" s="630"/>
      <c r="E45" s="630"/>
      <c r="F45" s="630"/>
      <c r="G45" s="630"/>
      <c r="H45" s="631"/>
      <c r="I45" s="655"/>
      <c r="J45" s="655"/>
      <c r="K45" s="655">
        <v>1850</v>
      </c>
      <c r="L45" s="659">
        <v>2010</v>
      </c>
      <c r="M45" s="655">
        <v>2010</v>
      </c>
      <c r="N45" s="634">
        <v>1800</v>
      </c>
      <c r="O45" s="280"/>
      <c r="P45" s="473"/>
      <c r="Q45" s="473"/>
      <c r="R45" s="473"/>
      <c r="S45" s="473"/>
      <c r="T45" s="146"/>
      <c r="U45" s="146"/>
    </row>
    <row r="46" spans="1:21" s="154" customFormat="1" ht="12.75" customHeight="1">
      <c r="A46" s="1003"/>
      <c r="B46" s="607">
        <v>33</v>
      </c>
      <c r="C46" s="628" t="s">
        <v>330</v>
      </c>
      <c r="D46" s="630"/>
      <c r="E46" s="630"/>
      <c r="F46" s="630"/>
      <c r="G46" s="630"/>
      <c r="H46" s="631"/>
      <c r="I46" s="655"/>
      <c r="J46" s="655"/>
      <c r="K46" s="655">
        <v>200</v>
      </c>
      <c r="L46" s="659">
        <v>200</v>
      </c>
      <c r="M46" s="655">
        <v>200</v>
      </c>
      <c r="N46" s="634">
        <v>200</v>
      </c>
      <c r="O46" s="830"/>
      <c r="P46" s="473"/>
      <c r="Q46" s="473"/>
      <c r="R46" s="473"/>
      <c r="S46" s="473"/>
      <c r="T46" s="146"/>
      <c r="U46" s="146"/>
    </row>
    <row r="47" spans="1:21" s="154" customFormat="1" ht="12.75" customHeight="1">
      <c r="A47" s="1003"/>
      <c r="B47" s="607">
        <v>34</v>
      </c>
      <c r="C47" s="628" t="s">
        <v>168</v>
      </c>
      <c r="D47" s="630"/>
      <c r="E47" s="630"/>
      <c r="F47" s="630"/>
      <c r="G47" s="630"/>
      <c r="H47" s="631">
        <v>250</v>
      </c>
      <c r="I47" s="655"/>
      <c r="J47" s="655">
        <v>250</v>
      </c>
      <c r="K47" s="655">
        <v>250</v>
      </c>
      <c r="L47" s="659">
        <v>250</v>
      </c>
      <c r="M47" s="655">
        <v>250</v>
      </c>
      <c r="N47" s="634"/>
      <c r="O47" s="1386" t="s">
        <v>521</v>
      </c>
      <c r="T47" s="146"/>
      <c r="U47" s="146"/>
    </row>
    <row r="48" spans="1:21" s="154" customFormat="1" ht="12.75" customHeight="1">
      <c r="A48" s="1003"/>
      <c r="B48" s="607"/>
      <c r="C48" s="828" t="s">
        <v>271</v>
      </c>
      <c r="D48" s="630"/>
      <c r="E48" s="630"/>
      <c r="F48" s="630"/>
      <c r="G48" s="630"/>
      <c r="H48" s="631"/>
      <c r="I48" s="655"/>
      <c r="J48" s="655">
        <v>40</v>
      </c>
      <c r="K48" s="655">
        <v>40</v>
      </c>
      <c r="L48" s="659"/>
      <c r="M48" s="655"/>
      <c r="N48" s="634">
        <v>0</v>
      </c>
      <c r="O48" s="280"/>
      <c r="T48" s="146"/>
      <c r="U48" s="146"/>
    </row>
    <row r="49" spans="1:21" s="154" customFormat="1" ht="12.75" customHeight="1">
      <c r="A49" s="1003"/>
      <c r="B49" s="607">
        <v>35</v>
      </c>
      <c r="C49" s="628" t="s">
        <v>192</v>
      </c>
      <c r="D49" s="630"/>
      <c r="E49" s="630"/>
      <c r="F49" s="630"/>
      <c r="G49" s="630"/>
      <c r="H49" s="631"/>
      <c r="I49" s="655"/>
      <c r="J49" s="655">
        <v>2075</v>
      </c>
      <c r="K49" s="655">
        <v>2100</v>
      </c>
      <c r="L49" s="659">
        <v>2750</v>
      </c>
      <c r="M49" s="655">
        <f>L49</f>
        <v>2750</v>
      </c>
      <c r="N49" s="634">
        <v>700</v>
      </c>
      <c r="O49" s="1362" t="s">
        <v>394</v>
      </c>
      <c r="T49" s="146"/>
      <c r="U49" s="146"/>
    </row>
    <row r="50" spans="1:21" s="154" customFormat="1" ht="12.75" customHeight="1">
      <c r="A50" s="1003"/>
      <c r="B50" s="607">
        <v>36</v>
      </c>
      <c r="C50" s="628" t="s">
        <v>331</v>
      </c>
      <c r="D50" s="630"/>
      <c r="E50" s="630"/>
      <c r="F50" s="630"/>
      <c r="G50" s="630"/>
      <c r="H50" s="631"/>
      <c r="I50" s="655"/>
      <c r="J50" s="655"/>
      <c r="K50" s="655"/>
      <c r="L50" s="659">
        <v>200</v>
      </c>
      <c r="M50" s="655">
        <f>L50</f>
        <v>200</v>
      </c>
      <c r="N50" s="634">
        <v>400</v>
      </c>
      <c r="O50" s="1362"/>
      <c r="T50" s="146"/>
      <c r="U50" s="146"/>
    </row>
    <row r="51" spans="1:21" s="154" customFormat="1" ht="12">
      <c r="A51" s="1003"/>
      <c r="B51" s="607"/>
      <c r="C51" s="628" t="s">
        <v>272</v>
      </c>
      <c r="D51" s="630"/>
      <c r="E51" s="630"/>
      <c r="F51" s="630"/>
      <c r="G51" s="630"/>
      <c r="H51" s="631">
        <v>200</v>
      </c>
      <c r="I51" s="655"/>
      <c r="J51" s="655">
        <v>0</v>
      </c>
      <c r="K51" s="655">
        <v>100</v>
      </c>
      <c r="L51" s="659">
        <v>0</v>
      </c>
      <c r="M51" s="655">
        <v>0</v>
      </c>
      <c r="N51" s="634">
        <v>0</v>
      </c>
      <c r="O51" s="1362"/>
      <c r="T51" s="146"/>
      <c r="U51" s="146"/>
    </row>
    <row r="52" spans="1:21" s="156" customFormat="1" ht="12">
      <c r="A52" s="1003"/>
      <c r="B52" s="607">
        <v>37</v>
      </c>
      <c r="C52" s="628" t="s">
        <v>291</v>
      </c>
      <c r="D52" s="630"/>
      <c r="E52" s="630"/>
      <c r="F52" s="630"/>
      <c r="G52" s="630"/>
      <c r="H52" s="631"/>
      <c r="I52" s="655"/>
      <c r="J52" s="655"/>
      <c r="K52" s="655"/>
      <c r="L52" s="659"/>
      <c r="M52" s="655">
        <v>3000</v>
      </c>
      <c r="N52" s="634">
        <v>5000</v>
      </c>
      <c r="O52" s="1362" t="s">
        <v>395</v>
      </c>
      <c r="T52" s="146"/>
      <c r="U52" s="146"/>
    </row>
    <row r="53" spans="1:15" ht="12">
      <c r="A53" s="1003"/>
      <c r="B53" s="607">
        <v>38</v>
      </c>
      <c r="C53" s="628" t="s">
        <v>332</v>
      </c>
      <c r="D53" s="630"/>
      <c r="E53" s="630"/>
      <c r="F53" s="630"/>
      <c r="G53" s="630"/>
      <c r="H53" s="631"/>
      <c r="I53" s="655"/>
      <c r="J53" s="655"/>
      <c r="K53" s="655"/>
      <c r="L53" s="659"/>
      <c r="M53" s="655">
        <v>100</v>
      </c>
      <c r="N53" s="634">
        <v>0</v>
      </c>
      <c r="O53" s="1362" t="s">
        <v>395</v>
      </c>
    </row>
    <row r="54" spans="1:15" ht="12.75" customHeight="1">
      <c r="A54" s="1003"/>
      <c r="B54" s="877">
        <v>39</v>
      </c>
      <c r="C54" s="832" t="s">
        <v>215</v>
      </c>
      <c r="D54" s="833"/>
      <c r="E54" s="833">
        <v>12803</v>
      </c>
      <c r="F54" s="833">
        <v>15430</v>
      </c>
      <c r="G54" s="833">
        <v>13430</v>
      </c>
      <c r="H54" s="834">
        <v>15700</v>
      </c>
      <c r="I54" s="835">
        <v>56069</v>
      </c>
      <c r="J54" s="835">
        <v>16000</v>
      </c>
      <c r="K54" s="835">
        <v>16000</v>
      </c>
      <c r="L54" s="836">
        <v>16000</v>
      </c>
      <c r="M54" s="835">
        <v>16000</v>
      </c>
      <c r="N54" s="837">
        <v>16000</v>
      </c>
      <c r="O54" s="1362"/>
    </row>
    <row r="55" spans="1:15" ht="12">
      <c r="A55" s="1003"/>
      <c r="B55" s="607"/>
      <c r="C55" s="628" t="s">
        <v>176</v>
      </c>
      <c r="D55" s="630">
        <v>2000</v>
      </c>
      <c r="E55" s="630">
        <v>6500</v>
      </c>
      <c r="F55" s="630">
        <v>2954</v>
      </c>
      <c r="G55" s="630">
        <v>4905</v>
      </c>
      <c r="H55" s="631">
        <v>4113</v>
      </c>
      <c r="I55" s="655"/>
      <c r="J55" s="655">
        <v>2600</v>
      </c>
      <c r="K55" s="838">
        <v>1894</v>
      </c>
      <c r="L55" s="839">
        <v>624</v>
      </c>
      <c r="M55" s="838">
        <v>624</v>
      </c>
      <c r="N55" s="840">
        <v>0</v>
      </c>
      <c r="O55" s="1362"/>
    </row>
    <row r="56" spans="1:21" s="443" customFormat="1" ht="12" customHeight="1">
      <c r="A56" s="1004"/>
      <c r="B56" s="607">
        <v>40</v>
      </c>
      <c r="C56" s="628" t="s">
        <v>193</v>
      </c>
      <c r="D56" s="841"/>
      <c r="E56" s="841"/>
      <c r="F56" s="841">
        <v>4812</v>
      </c>
      <c r="G56" s="841">
        <v>5545</v>
      </c>
      <c r="H56" s="842">
        <v>5655</v>
      </c>
      <c r="I56" s="655"/>
      <c r="J56" s="655">
        <v>5655</v>
      </c>
      <c r="K56" s="655">
        <v>3114</v>
      </c>
      <c r="L56" s="659">
        <v>3114</v>
      </c>
      <c r="M56" s="655">
        <v>3114</v>
      </c>
      <c r="N56" s="840">
        <v>2340</v>
      </c>
      <c r="O56" s="1362" t="s">
        <v>396</v>
      </c>
      <c r="T56" s="146"/>
      <c r="U56" s="146"/>
    </row>
    <row r="57" spans="1:15" ht="12">
      <c r="A57" s="1004"/>
      <c r="B57" s="607">
        <v>41</v>
      </c>
      <c r="C57" s="628" t="s">
        <v>169</v>
      </c>
      <c r="D57" s="841"/>
      <c r="E57" s="841"/>
      <c r="F57" s="841"/>
      <c r="G57" s="841"/>
      <c r="H57" s="842">
        <v>5753</v>
      </c>
      <c r="I57" s="655"/>
      <c r="J57" s="655">
        <v>5753</v>
      </c>
      <c r="K57" s="838">
        <v>6742</v>
      </c>
      <c r="L57" s="839">
        <v>6742</v>
      </c>
      <c r="M57" s="838">
        <v>6742</v>
      </c>
      <c r="N57" s="840">
        <v>6742</v>
      </c>
      <c r="O57" s="1362"/>
    </row>
    <row r="58" spans="1:15" ht="12">
      <c r="A58" s="1004"/>
      <c r="B58" s="607">
        <v>42</v>
      </c>
      <c r="C58" s="628" t="s">
        <v>397</v>
      </c>
      <c r="D58" s="841"/>
      <c r="E58" s="841"/>
      <c r="F58" s="841"/>
      <c r="G58" s="841"/>
      <c r="H58" s="842">
        <v>350</v>
      </c>
      <c r="I58" s="655"/>
      <c r="J58" s="655">
        <v>595</v>
      </c>
      <c r="K58" s="655">
        <v>1100</v>
      </c>
      <c r="L58" s="659">
        <v>1100</v>
      </c>
      <c r="M58" s="655">
        <v>1100</v>
      </c>
      <c r="N58" s="840">
        <v>1100</v>
      </c>
      <c r="O58" s="1362" t="s">
        <v>398</v>
      </c>
    </row>
    <row r="59" spans="1:14" ht="12.75" customHeight="1" hidden="1">
      <c r="A59" s="1004"/>
      <c r="B59" s="607">
        <v>51</v>
      </c>
      <c r="C59" s="628" t="s">
        <v>194</v>
      </c>
      <c r="D59" s="841"/>
      <c r="E59" s="841"/>
      <c r="F59" s="841"/>
      <c r="G59" s="841"/>
      <c r="H59" s="842">
        <v>400</v>
      </c>
      <c r="I59" s="655"/>
      <c r="J59" s="655"/>
      <c r="K59" s="655"/>
      <c r="L59" s="659">
        <v>0</v>
      </c>
      <c r="M59" s="655">
        <v>0</v>
      </c>
      <c r="N59" s="840">
        <v>0</v>
      </c>
    </row>
    <row r="60" spans="1:14" ht="12.75" customHeight="1" hidden="1">
      <c r="A60" s="1004"/>
      <c r="B60" s="607">
        <v>52</v>
      </c>
      <c r="C60" s="628" t="s">
        <v>275</v>
      </c>
      <c r="D60" s="841"/>
      <c r="E60" s="841"/>
      <c r="F60" s="841"/>
      <c r="G60" s="841"/>
      <c r="H60" s="842">
        <v>350</v>
      </c>
      <c r="I60" s="655"/>
      <c r="J60" s="655">
        <v>55</v>
      </c>
      <c r="K60" s="655">
        <v>0</v>
      </c>
      <c r="L60" s="659">
        <v>0</v>
      </c>
      <c r="M60" s="655">
        <v>0</v>
      </c>
      <c r="N60" s="840">
        <v>0</v>
      </c>
    </row>
    <row r="61" spans="1:14" ht="12">
      <c r="A61" s="1004"/>
      <c r="B61" s="607"/>
      <c r="C61" s="628" t="s">
        <v>276</v>
      </c>
      <c r="D61" s="841"/>
      <c r="E61" s="841"/>
      <c r="F61" s="841">
        <f>2000+160+1200</f>
        <v>3360</v>
      </c>
      <c r="G61" s="841"/>
      <c r="H61" s="842"/>
      <c r="I61" s="655"/>
      <c r="J61" s="655">
        <v>250</v>
      </c>
      <c r="K61" s="655">
        <v>260</v>
      </c>
      <c r="L61" s="659">
        <v>0</v>
      </c>
      <c r="M61" s="655">
        <v>0</v>
      </c>
      <c r="N61" s="840">
        <v>0</v>
      </c>
    </row>
    <row r="62" spans="1:14" ht="12.75" customHeight="1">
      <c r="A62" s="1005"/>
      <c r="B62" s="607">
        <v>43</v>
      </c>
      <c r="C62" s="828" t="s">
        <v>333</v>
      </c>
      <c r="D62" s="843"/>
      <c r="E62" s="843"/>
      <c r="F62" s="843"/>
      <c r="G62" s="843"/>
      <c r="H62" s="844"/>
      <c r="I62" s="845"/>
      <c r="J62" s="846">
        <v>0</v>
      </c>
      <c r="K62" s="655">
        <v>3500</v>
      </c>
      <c r="L62" s="847">
        <v>611</v>
      </c>
      <c r="M62" s="655">
        <v>1000</v>
      </c>
      <c r="N62" s="840">
        <v>1645</v>
      </c>
    </row>
    <row r="63" spans="1:14" ht="12.75" customHeight="1">
      <c r="A63" s="1005"/>
      <c r="B63" s="607">
        <v>44</v>
      </c>
      <c r="C63" s="828" t="s">
        <v>399</v>
      </c>
      <c r="D63" s="843"/>
      <c r="E63" s="843"/>
      <c r="F63" s="843"/>
      <c r="G63" s="843"/>
      <c r="H63" s="844"/>
      <c r="I63" s="845"/>
      <c r="J63" s="846"/>
      <c r="K63" s="655"/>
      <c r="L63" s="847">
        <v>4550</v>
      </c>
      <c r="M63" s="655">
        <v>1800</v>
      </c>
      <c r="N63" s="840">
        <v>8030</v>
      </c>
    </row>
    <row r="64" spans="1:14" ht="12.75" customHeight="1">
      <c r="A64" s="1005"/>
      <c r="B64" s="607"/>
      <c r="C64" s="828" t="s">
        <v>400</v>
      </c>
      <c r="D64" s="843"/>
      <c r="E64" s="843"/>
      <c r="F64" s="843"/>
      <c r="G64" s="843"/>
      <c r="H64" s="844"/>
      <c r="I64" s="845"/>
      <c r="J64" s="846"/>
      <c r="K64" s="655"/>
      <c r="L64" s="847">
        <v>500</v>
      </c>
      <c r="M64" s="655">
        <v>500</v>
      </c>
      <c r="N64" s="840">
        <v>0</v>
      </c>
    </row>
    <row r="65" spans="1:14" ht="12.75" customHeight="1">
      <c r="A65" s="1004"/>
      <c r="B65" s="607"/>
      <c r="C65" s="628" t="s">
        <v>290</v>
      </c>
      <c r="D65" s="841"/>
      <c r="E65" s="841"/>
      <c r="F65" s="841">
        <f>1000+850+265</f>
        <v>2115</v>
      </c>
      <c r="G65" s="841">
        <v>1000</v>
      </c>
      <c r="H65" s="842">
        <v>1000</v>
      </c>
      <c r="I65" s="647"/>
      <c r="J65" s="655">
        <v>1000</v>
      </c>
      <c r="K65" s="655">
        <v>3500</v>
      </c>
      <c r="L65" s="847">
        <v>0</v>
      </c>
      <c r="M65" s="655">
        <v>0</v>
      </c>
      <c r="N65" s="840">
        <v>0</v>
      </c>
    </row>
    <row r="66" spans="1:14" ht="12.75" customHeight="1">
      <c r="A66" s="1004"/>
      <c r="B66" s="607">
        <v>45</v>
      </c>
      <c r="C66" s="628" t="s">
        <v>195</v>
      </c>
      <c r="D66" s="841"/>
      <c r="E66" s="841"/>
      <c r="F66" s="841"/>
      <c r="G66" s="841">
        <v>1000</v>
      </c>
      <c r="H66" s="842">
        <v>0</v>
      </c>
      <c r="I66" s="647"/>
      <c r="J66" s="655">
        <v>1500</v>
      </c>
      <c r="K66" s="655">
        <v>0</v>
      </c>
      <c r="L66" s="659">
        <v>0</v>
      </c>
      <c r="M66" s="655">
        <v>0</v>
      </c>
      <c r="N66" s="840">
        <v>3500</v>
      </c>
    </row>
    <row r="67" spans="1:14" ht="12.75" customHeight="1">
      <c r="A67" s="1004"/>
      <c r="B67" s="607">
        <v>46</v>
      </c>
      <c r="C67" s="628" t="s">
        <v>196</v>
      </c>
      <c r="D67" s="841"/>
      <c r="E67" s="841"/>
      <c r="F67" s="841"/>
      <c r="G67" s="841"/>
      <c r="H67" s="842"/>
      <c r="I67" s="647"/>
      <c r="J67" s="655">
        <v>1500</v>
      </c>
      <c r="K67" s="655">
        <v>0</v>
      </c>
      <c r="L67" s="659">
        <v>0</v>
      </c>
      <c r="M67" s="655">
        <v>0</v>
      </c>
      <c r="N67" s="840">
        <v>1500</v>
      </c>
    </row>
    <row r="68" spans="1:14" ht="12.75" customHeight="1">
      <c r="A68" s="1004"/>
      <c r="B68" s="607"/>
      <c r="C68" s="628" t="s">
        <v>334</v>
      </c>
      <c r="D68" s="841"/>
      <c r="E68" s="841"/>
      <c r="F68" s="841"/>
      <c r="G68" s="841"/>
      <c r="H68" s="842"/>
      <c r="I68" s="647"/>
      <c r="J68" s="655"/>
      <c r="K68" s="655"/>
      <c r="L68" s="659">
        <v>1000</v>
      </c>
      <c r="M68" s="655">
        <v>1000</v>
      </c>
      <c r="N68" s="840">
        <v>0</v>
      </c>
    </row>
    <row r="69" spans="1:14" ht="12.75" customHeight="1">
      <c r="A69" s="1004"/>
      <c r="B69" s="607"/>
      <c r="C69" s="628" t="s">
        <v>335</v>
      </c>
      <c r="D69" s="841"/>
      <c r="E69" s="841"/>
      <c r="F69" s="841"/>
      <c r="G69" s="841"/>
      <c r="H69" s="842"/>
      <c r="I69" s="647"/>
      <c r="J69" s="655"/>
      <c r="K69" s="655"/>
      <c r="L69" s="659">
        <v>100</v>
      </c>
      <c r="M69" s="655">
        <v>100</v>
      </c>
      <c r="N69" s="840">
        <v>0</v>
      </c>
    </row>
    <row r="70" spans="1:14" ht="12.75" customHeight="1">
      <c r="A70" s="1004"/>
      <c r="B70" s="607">
        <v>47</v>
      </c>
      <c r="C70" s="628" t="s">
        <v>401</v>
      </c>
      <c r="D70" s="841"/>
      <c r="E70" s="841"/>
      <c r="F70" s="841"/>
      <c r="G70" s="841"/>
      <c r="H70" s="842"/>
      <c r="I70" s="647"/>
      <c r="J70" s="655"/>
      <c r="K70" s="655"/>
      <c r="L70" s="659"/>
      <c r="M70" s="655"/>
      <c r="N70" s="840">
        <v>5000</v>
      </c>
    </row>
    <row r="71" spans="1:15" ht="12.75" customHeight="1">
      <c r="A71" s="1004"/>
      <c r="B71" s="607">
        <v>48</v>
      </c>
      <c r="C71" s="628" t="s">
        <v>402</v>
      </c>
      <c r="D71" s="841"/>
      <c r="E71" s="841"/>
      <c r="F71" s="841"/>
      <c r="G71" s="841"/>
      <c r="H71" s="842"/>
      <c r="I71" s="647"/>
      <c r="J71" s="655"/>
      <c r="K71" s="655"/>
      <c r="L71" s="659"/>
      <c r="M71" s="655"/>
      <c r="N71" s="840"/>
      <c r="O71" s="1386" t="s">
        <v>522</v>
      </c>
    </row>
    <row r="72" spans="1:14" ht="12.75" customHeight="1">
      <c r="A72" s="1006"/>
      <c r="B72" s="607">
        <v>49</v>
      </c>
      <c r="C72" s="628" t="s">
        <v>170</v>
      </c>
      <c r="D72" s="841"/>
      <c r="E72" s="841"/>
      <c r="F72" s="841"/>
      <c r="G72" s="841"/>
      <c r="H72" s="842">
        <v>25</v>
      </c>
      <c r="I72" s="647"/>
      <c r="J72" s="655">
        <v>25</v>
      </c>
      <c r="K72" s="655">
        <v>45</v>
      </c>
      <c r="L72" s="659">
        <v>45</v>
      </c>
      <c r="M72" s="655">
        <v>45</v>
      </c>
      <c r="N72" s="840">
        <v>45</v>
      </c>
    </row>
    <row r="73" spans="1:14" ht="12.75" customHeight="1" hidden="1">
      <c r="A73" s="1003"/>
      <c r="B73" s="607"/>
      <c r="C73" s="827" t="s">
        <v>132</v>
      </c>
      <c r="D73" s="848"/>
      <c r="E73" s="848"/>
      <c r="F73" s="848"/>
      <c r="G73" s="848">
        <v>4000</v>
      </c>
      <c r="H73" s="849">
        <v>0</v>
      </c>
      <c r="I73" s="850"/>
      <c r="J73" s="655">
        <v>0</v>
      </c>
      <c r="K73" s="655"/>
      <c r="L73" s="847"/>
      <c r="M73" s="655"/>
      <c r="N73" s="851"/>
    </row>
    <row r="74" spans="1:14" ht="12.75" customHeight="1">
      <c r="A74" s="1003"/>
      <c r="B74" s="852"/>
      <c r="C74" s="853" t="s">
        <v>49</v>
      </c>
      <c r="D74" s="278">
        <f aca="true" t="shared" si="0" ref="D74:I74">SUM(D8:D73)</f>
        <v>73307</v>
      </c>
      <c r="E74" s="278">
        <f t="shared" si="0"/>
        <v>51185</v>
      </c>
      <c r="F74" s="278">
        <f t="shared" si="0"/>
        <v>60150</v>
      </c>
      <c r="G74" s="278">
        <f t="shared" si="0"/>
        <v>60465</v>
      </c>
      <c r="H74" s="854">
        <f t="shared" si="0"/>
        <v>63918</v>
      </c>
      <c r="I74" s="855">
        <f t="shared" si="0"/>
        <v>56069</v>
      </c>
      <c r="J74" s="855">
        <v>82889</v>
      </c>
      <c r="K74" s="855">
        <f>SUM(K8:K73)</f>
        <v>77382</v>
      </c>
      <c r="L74" s="855">
        <f>SUM(L8:L73)</f>
        <v>89042</v>
      </c>
      <c r="M74" s="855">
        <f>SUM(M8:M73)</f>
        <v>90841</v>
      </c>
      <c r="N74" s="347">
        <f>SUM(N8:N73)</f>
        <v>96169</v>
      </c>
    </row>
    <row r="75" spans="1:14" ht="12.75" customHeight="1">
      <c r="A75" s="1003"/>
      <c r="B75" s="607"/>
      <c r="C75" s="628" t="s">
        <v>336</v>
      </c>
      <c r="D75" s="630"/>
      <c r="E75" s="630"/>
      <c r="F75" s="630"/>
      <c r="G75" s="630"/>
      <c r="H75" s="631">
        <v>1835</v>
      </c>
      <c r="I75" s="655"/>
      <c r="J75" s="655">
        <v>2029</v>
      </c>
      <c r="K75" s="655">
        <v>2200</v>
      </c>
      <c r="L75" s="856">
        <v>5000</v>
      </c>
      <c r="M75" s="846"/>
      <c r="N75" s="857"/>
    </row>
    <row r="76" spans="1:14" ht="12.75" customHeight="1" hidden="1">
      <c r="A76" s="1003"/>
      <c r="B76" s="607">
        <v>68</v>
      </c>
      <c r="C76" s="628" t="s">
        <v>332</v>
      </c>
      <c r="D76" s="630"/>
      <c r="E76" s="630"/>
      <c r="F76" s="630"/>
      <c r="G76" s="630"/>
      <c r="H76" s="631"/>
      <c r="I76" s="655"/>
      <c r="J76" s="655"/>
      <c r="K76" s="655"/>
      <c r="L76" s="659">
        <v>100</v>
      </c>
      <c r="M76" s="655"/>
      <c r="N76" s="634"/>
    </row>
    <row r="77" spans="1:19" ht="12.75" customHeight="1">
      <c r="A77" s="1004"/>
      <c r="B77" s="607"/>
      <c r="C77" s="828" t="s">
        <v>274</v>
      </c>
      <c r="D77" s="630"/>
      <c r="E77" s="630"/>
      <c r="F77" s="630"/>
      <c r="G77" s="630"/>
      <c r="H77" s="631"/>
      <c r="I77" s="655"/>
      <c r="J77" s="655"/>
      <c r="K77" s="655">
        <v>2260</v>
      </c>
      <c r="L77" s="659">
        <v>0</v>
      </c>
      <c r="M77" s="655">
        <v>0</v>
      </c>
      <c r="N77" s="634">
        <v>0</v>
      </c>
      <c r="P77" s="472"/>
      <c r="Q77" s="472"/>
      <c r="R77" s="472"/>
      <c r="S77" s="472"/>
    </row>
    <row r="78" spans="1:19" ht="12.75" customHeight="1">
      <c r="A78" s="1003"/>
      <c r="B78" s="852"/>
      <c r="C78" s="853" t="s">
        <v>292</v>
      </c>
      <c r="D78" s="278"/>
      <c r="E78" s="278"/>
      <c r="F78" s="278"/>
      <c r="G78" s="278"/>
      <c r="H78" s="854"/>
      <c r="I78" s="855"/>
      <c r="J78" s="855">
        <v>2029</v>
      </c>
      <c r="K78" s="855">
        <f>SUM(K75+K77)</f>
        <v>4460</v>
      </c>
      <c r="L78" s="858">
        <f>SUM(L75:L77)</f>
        <v>5100</v>
      </c>
      <c r="M78" s="855">
        <f>SUM(M75:M77)</f>
        <v>0</v>
      </c>
      <c r="N78" s="859">
        <f>SUM(N75:N77)</f>
        <v>0</v>
      </c>
      <c r="P78" s="472"/>
      <c r="Q78" s="472"/>
      <c r="R78" s="472"/>
      <c r="S78" s="472"/>
    </row>
    <row r="79" spans="1:19" ht="12.75" customHeight="1">
      <c r="A79" s="1003"/>
      <c r="B79" s="1354"/>
      <c r="C79" s="628" t="s">
        <v>168</v>
      </c>
      <c r="D79" s="630"/>
      <c r="E79" s="630"/>
      <c r="F79" s="630"/>
      <c r="G79" s="630"/>
      <c r="H79" s="631">
        <v>250</v>
      </c>
      <c r="I79" s="655"/>
      <c r="J79" s="655">
        <v>250</v>
      </c>
      <c r="K79" s="655">
        <v>250</v>
      </c>
      <c r="L79" s="659">
        <v>250</v>
      </c>
      <c r="M79" s="655">
        <v>250</v>
      </c>
      <c r="N79" s="1387">
        <v>250</v>
      </c>
      <c r="P79" s="472"/>
      <c r="Q79" s="472"/>
      <c r="R79" s="472"/>
      <c r="S79" s="472"/>
    </row>
    <row r="80" spans="1:19" ht="12.75" customHeight="1">
      <c r="A80" s="1003"/>
      <c r="B80" s="852"/>
      <c r="C80" s="853" t="s">
        <v>519</v>
      </c>
      <c r="D80" s="278"/>
      <c r="E80" s="278"/>
      <c r="F80" s="278"/>
      <c r="G80" s="278"/>
      <c r="H80" s="854"/>
      <c r="I80" s="855"/>
      <c r="J80" s="855"/>
      <c r="K80" s="855"/>
      <c r="L80" s="858"/>
      <c r="M80" s="855"/>
      <c r="N80" s="859">
        <f>N79</f>
        <v>250</v>
      </c>
      <c r="P80" s="472"/>
      <c r="Q80" s="472"/>
      <c r="R80" s="472"/>
      <c r="S80" s="472"/>
    </row>
    <row r="81" spans="1:19" ht="12.75" customHeight="1">
      <c r="A81" s="1003"/>
      <c r="B81" s="1354"/>
      <c r="C81" s="628" t="s">
        <v>402</v>
      </c>
      <c r="D81" s="841"/>
      <c r="E81" s="841"/>
      <c r="F81" s="841"/>
      <c r="G81" s="841"/>
      <c r="H81" s="842"/>
      <c r="I81" s="647"/>
      <c r="J81" s="655"/>
      <c r="K81" s="655"/>
      <c r="L81" s="659"/>
      <c r="M81" s="655"/>
      <c r="N81" s="1387">
        <v>3000</v>
      </c>
      <c r="P81" s="472"/>
      <c r="Q81" s="472"/>
      <c r="R81" s="472"/>
      <c r="S81" s="472"/>
    </row>
    <row r="82" spans="1:19" ht="12.75" customHeight="1">
      <c r="A82" s="1003"/>
      <c r="B82" s="852"/>
      <c r="C82" s="853" t="s">
        <v>520</v>
      </c>
      <c r="D82" s="278"/>
      <c r="E82" s="278"/>
      <c r="F82" s="278"/>
      <c r="G82" s="278"/>
      <c r="H82" s="854"/>
      <c r="I82" s="855"/>
      <c r="J82" s="855"/>
      <c r="K82" s="855"/>
      <c r="L82" s="858"/>
      <c r="M82" s="855"/>
      <c r="N82" s="859">
        <f>N81</f>
        <v>3000</v>
      </c>
      <c r="P82" s="472"/>
      <c r="Q82" s="472"/>
      <c r="R82" s="472"/>
      <c r="S82" s="472"/>
    </row>
    <row r="83" spans="1:19" ht="12.75" customHeight="1">
      <c r="A83" s="1003"/>
      <c r="B83" s="607">
        <v>50</v>
      </c>
      <c r="C83" s="608" t="s">
        <v>337</v>
      </c>
      <c r="D83" s="825">
        <f>(1777+195)</f>
        <v>1972</v>
      </c>
      <c r="E83" s="825">
        <v>2300</v>
      </c>
      <c r="F83" s="825">
        <v>2300</v>
      </c>
      <c r="G83" s="825">
        <v>3600</v>
      </c>
      <c r="H83" s="826">
        <v>4500</v>
      </c>
      <c r="I83" s="860"/>
      <c r="J83" s="647">
        <v>6560</v>
      </c>
      <c r="K83" s="647">
        <v>6560</v>
      </c>
      <c r="L83" s="861">
        <v>7560</v>
      </c>
      <c r="M83" s="647">
        <v>7560</v>
      </c>
      <c r="N83" s="863">
        <v>8560</v>
      </c>
      <c r="P83" s="472"/>
      <c r="Q83" s="472"/>
      <c r="R83" s="472"/>
      <c r="S83" s="472"/>
    </row>
    <row r="84" spans="1:19" ht="12.75" customHeight="1">
      <c r="A84" s="1004"/>
      <c r="B84" s="607"/>
      <c r="C84" s="608" t="s">
        <v>338</v>
      </c>
      <c r="D84" s="825"/>
      <c r="E84" s="825"/>
      <c r="F84" s="825"/>
      <c r="G84" s="825"/>
      <c r="H84" s="826"/>
      <c r="I84" s="860"/>
      <c r="J84" s="647">
        <v>1014</v>
      </c>
      <c r="K84" s="647">
        <v>1000</v>
      </c>
      <c r="L84" s="861">
        <v>1000</v>
      </c>
      <c r="M84" s="647">
        <v>1000</v>
      </c>
      <c r="N84" s="863">
        <v>0</v>
      </c>
      <c r="P84" s="864"/>
      <c r="Q84" s="865"/>
      <c r="R84" s="472"/>
      <c r="S84" s="472"/>
    </row>
    <row r="85" spans="1:19" ht="12.75" customHeight="1">
      <c r="A85" s="1003"/>
      <c r="B85" s="852"/>
      <c r="C85" s="853" t="s">
        <v>50</v>
      </c>
      <c r="D85" s="278">
        <f>SUM(D83)</f>
        <v>1972</v>
      </c>
      <c r="E85" s="278">
        <f>SUM(E83)</f>
        <v>2300</v>
      </c>
      <c r="F85" s="278">
        <f>SUM(F83)</f>
        <v>2300</v>
      </c>
      <c r="G85" s="278">
        <f>SUM(G83)</f>
        <v>3600</v>
      </c>
      <c r="H85" s="854">
        <f>H83</f>
        <v>4500</v>
      </c>
      <c r="I85" s="855">
        <v>0</v>
      </c>
      <c r="J85" s="855">
        <v>7574</v>
      </c>
      <c r="K85" s="855">
        <f>SUM(K83:K84)</f>
        <v>7560</v>
      </c>
      <c r="L85" s="858">
        <f>SUM(L83:L84)</f>
        <v>8560</v>
      </c>
      <c r="M85" s="855">
        <f>SUM(M83:M84)</f>
        <v>8560</v>
      </c>
      <c r="N85" s="859">
        <f>SUM(N83:N84)</f>
        <v>8560</v>
      </c>
      <c r="P85" s="472"/>
      <c r="Q85" s="472"/>
      <c r="R85" s="472"/>
      <c r="S85" s="472"/>
    </row>
    <row r="86" spans="1:14" ht="12.75" customHeight="1">
      <c r="A86" s="1003"/>
      <c r="B86" s="607">
        <v>51</v>
      </c>
      <c r="C86" s="628" t="s">
        <v>95</v>
      </c>
      <c r="D86" s="866" t="s">
        <v>133</v>
      </c>
      <c r="E86" s="867">
        <v>5400</v>
      </c>
      <c r="F86" s="867">
        <v>5670</v>
      </c>
      <c r="G86" s="867">
        <v>6040</v>
      </c>
      <c r="H86" s="868">
        <v>6040</v>
      </c>
      <c r="I86" s="860"/>
      <c r="J86" s="647">
        <v>6300</v>
      </c>
      <c r="K86" s="647">
        <v>7000</v>
      </c>
      <c r="L86" s="861">
        <v>7300</v>
      </c>
      <c r="M86" s="647">
        <f>L86</f>
        <v>7300</v>
      </c>
      <c r="N86" s="863">
        <v>7240</v>
      </c>
    </row>
    <row r="87" spans="1:14" ht="12.75" customHeight="1" hidden="1">
      <c r="A87" s="1003"/>
      <c r="B87" s="607">
        <v>73</v>
      </c>
      <c r="C87" s="628" t="s">
        <v>403</v>
      </c>
      <c r="D87" s="866"/>
      <c r="E87" s="867"/>
      <c r="F87" s="867"/>
      <c r="G87" s="867"/>
      <c r="H87" s="868"/>
      <c r="I87" s="860"/>
      <c r="J87" s="647"/>
      <c r="K87" s="647"/>
      <c r="L87" s="861"/>
      <c r="M87" s="647"/>
      <c r="N87" s="863"/>
    </row>
    <row r="88" spans="1:14" ht="12.75" customHeight="1" hidden="1">
      <c r="A88" s="1003"/>
      <c r="B88" s="607">
        <v>74</v>
      </c>
      <c r="C88" s="628" t="s">
        <v>404</v>
      </c>
      <c r="D88" s="866"/>
      <c r="E88" s="867"/>
      <c r="F88" s="867"/>
      <c r="G88" s="867"/>
      <c r="H88" s="868"/>
      <c r="I88" s="860"/>
      <c r="J88" s="647"/>
      <c r="K88" s="647"/>
      <c r="L88" s="861"/>
      <c r="M88" s="647"/>
      <c r="N88" s="863"/>
    </row>
    <row r="89" spans="1:14" ht="12.75" customHeight="1">
      <c r="A89" s="1003"/>
      <c r="B89" s="607">
        <v>52</v>
      </c>
      <c r="C89" s="628" t="s">
        <v>405</v>
      </c>
      <c r="D89" s="866"/>
      <c r="E89" s="867"/>
      <c r="F89" s="867"/>
      <c r="G89" s="867"/>
      <c r="H89" s="868"/>
      <c r="I89" s="860"/>
      <c r="J89" s="647"/>
      <c r="K89" s="647"/>
      <c r="L89" s="861"/>
      <c r="M89" s="647"/>
      <c r="N89" s="863">
        <v>500</v>
      </c>
    </row>
    <row r="90" spans="1:14" ht="12.75" customHeight="1">
      <c r="A90" s="1003"/>
      <c r="B90" s="607">
        <v>53</v>
      </c>
      <c r="C90" s="628" t="s">
        <v>406</v>
      </c>
      <c r="D90" s="866"/>
      <c r="E90" s="867"/>
      <c r="F90" s="867"/>
      <c r="G90" s="867"/>
      <c r="H90" s="868"/>
      <c r="I90" s="860"/>
      <c r="J90" s="647"/>
      <c r="K90" s="647"/>
      <c r="L90" s="861"/>
      <c r="M90" s="647"/>
      <c r="N90" s="863">
        <v>50</v>
      </c>
    </row>
    <row r="91" spans="1:14" ht="12.75" customHeight="1" hidden="1">
      <c r="A91" s="1003"/>
      <c r="B91" s="607">
        <v>54</v>
      </c>
      <c r="C91" s="628" t="s">
        <v>407</v>
      </c>
      <c r="D91" s="866"/>
      <c r="E91" s="867"/>
      <c r="F91" s="867"/>
      <c r="G91" s="867"/>
      <c r="H91" s="868"/>
      <c r="I91" s="860"/>
      <c r="J91" s="647"/>
      <c r="K91" s="647"/>
      <c r="L91" s="861"/>
      <c r="M91" s="647"/>
      <c r="N91" s="863"/>
    </row>
    <row r="92" spans="1:14" ht="12.75" customHeight="1">
      <c r="A92" s="1003"/>
      <c r="B92" s="607">
        <v>55</v>
      </c>
      <c r="C92" s="628" t="s">
        <v>277</v>
      </c>
      <c r="D92" s="866"/>
      <c r="E92" s="867">
        <v>600</v>
      </c>
      <c r="F92" s="867">
        <v>1080</v>
      </c>
      <c r="G92" s="867">
        <v>1080</v>
      </c>
      <c r="H92" s="868">
        <v>1550</v>
      </c>
      <c r="I92" s="860"/>
      <c r="J92" s="647">
        <v>2150</v>
      </c>
      <c r="K92" s="647">
        <v>1500</v>
      </c>
      <c r="L92" s="861">
        <v>1500</v>
      </c>
      <c r="M92" s="647">
        <v>1500</v>
      </c>
      <c r="N92" s="863">
        <v>1500</v>
      </c>
    </row>
    <row r="93" spans="1:14" ht="12.75" customHeight="1">
      <c r="A93" s="1003"/>
      <c r="B93" s="607">
        <v>56</v>
      </c>
      <c r="C93" s="628" t="s">
        <v>171</v>
      </c>
      <c r="D93" s="866"/>
      <c r="E93" s="867"/>
      <c r="F93" s="867"/>
      <c r="G93" s="867"/>
      <c r="H93" s="868">
        <v>5000</v>
      </c>
      <c r="I93" s="860"/>
      <c r="J93" s="647">
        <v>1000</v>
      </c>
      <c r="K93" s="647">
        <v>1000</v>
      </c>
      <c r="L93" s="861">
        <v>600</v>
      </c>
      <c r="M93" s="647">
        <f>L93</f>
        <v>600</v>
      </c>
      <c r="N93" s="863">
        <v>400</v>
      </c>
    </row>
    <row r="94" spans="1:14" ht="12.75" customHeight="1">
      <c r="A94" s="1003"/>
      <c r="B94" s="607">
        <v>57</v>
      </c>
      <c r="C94" s="628" t="s">
        <v>278</v>
      </c>
      <c r="D94" s="866"/>
      <c r="E94" s="867"/>
      <c r="F94" s="867"/>
      <c r="G94" s="867"/>
      <c r="H94" s="868"/>
      <c r="I94" s="860"/>
      <c r="J94" s="647"/>
      <c r="K94" s="647">
        <v>600</v>
      </c>
      <c r="L94" s="861">
        <v>650</v>
      </c>
      <c r="M94" s="647">
        <f>L94</f>
        <v>650</v>
      </c>
      <c r="N94" s="863">
        <v>650</v>
      </c>
    </row>
    <row r="95" spans="1:14" ht="12.75" customHeight="1" hidden="1">
      <c r="A95" s="1003"/>
      <c r="B95" s="607">
        <v>58</v>
      </c>
      <c r="C95" s="628" t="s">
        <v>172</v>
      </c>
      <c r="D95" s="866"/>
      <c r="E95" s="867"/>
      <c r="F95" s="867"/>
      <c r="G95" s="867"/>
      <c r="H95" s="868">
        <v>6150</v>
      </c>
      <c r="I95" s="860"/>
      <c r="J95" s="647"/>
      <c r="K95" s="647">
        <v>0</v>
      </c>
      <c r="L95" s="861">
        <v>0</v>
      </c>
      <c r="M95" s="647">
        <f>L95</f>
        <v>0</v>
      </c>
      <c r="N95" s="863"/>
    </row>
    <row r="96" spans="1:14" ht="12.75" customHeight="1" hidden="1">
      <c r="A96" s="1003"/>
      <c r="B96" s="607">
        <v>59</v>
      </c>
      <c r="C96" s="628" t="s">
        <v>408</v>
      </c>
      <c r="D96" s="866"/>
      <c r="E96" s="867"/>
      <c r="F96" s="867"/>
      <c r="G96" s="867"/>
      <c r="H96" s="868"/>
      <c r="I96" s="860"/>
      <c r="J96" s="647"/>
      <c r="K96" s="647"/>
      <c r="L96" s="861"/>
      <c r="M96" s="647"/>
      <c r="N96" s="863"/>
    </row>
    <row r="97" spans="1:14" ht="12.75" customHeight="1" hidden="1">
      <c r="A97" s="1003"/>
      <c r="B97" s="607">
        <v>60</v>
      </c>
      <c r="C97" s="628" t="s">
        <v>197</v>
      </c>
      <c r="D97" s="866"/>
      <c r="E97" s="867"/>
      <c r="F97" s="867"/>
      <c r="G97" s="867"/>
      <c r="H97" s="868">
        <v>1800</v>
      </c>
      <c r="I97" s="860"/>
      <c r="J97" s="647"/>
      <c r="K97" s="647">
        <v>0</v>
      </c>
      <c r="L97" s="861">
        <v>0</v>
      </c>
      <c r="M97" s="647">
        <f>L97</f>
        <v>0</v>
      </c>
      <c r="N97" s="863"/>
    </row>
    <row r="98" spans="1:14" ht="12.75" customHeight="1">
      <c r="A98" s="1003"/>
      <c r="B98" s="607">
        <v>61</v>
      </c>
      <c r="C98" s="628" t="s">
        <v>339</v>
      </c>
      <c r="D98" s="866"/>
      <c r="E98" s="867"/>
      <c r="F98" s="867"/>
      <c r="G98" s="867"/>
      <c r="H98" s="868"/>
      <c r="I98" s="860"/>
      <c r="J98" s="647">
        <v>1500</v>
      </c>
      <c r="K98" s="647">
        <v>1500</v>
      </c>
      <c r="L98" s="861">
        <v>1255</v>
      </c>
      <c r="M98" s="647">
        <f>L98</f>
        <v>1255</v>
      </c>
      <c r="N98" s="863">
        <v>400</v>
      </c>
    </row>
    <row r="99" spans="1:14" ht="12.75" customHeight="1">
      <c r="A99" s="1003"/>
      <c r="B99" s="607">
        <v>62</v>
      </c>
      <c r="C99" s="628" t="s">
        <v>340</v>
      </c>
      <c r="D99" s="866"/>
      <c r="E99" s="867"/>
      <c r="F99" s="867"/>
      <c r="G99" s="867"/>
      <c r="H99" s="868"/>
      <c r="I99" s="860"/>
      <c r="J99" s="647"/>
      <c r="K99" s="647">
        <v>0</v>
      </c>
      <c r="L99" s="861">
        <v>500</v>
      </c>
      <c r="M99" s="647">
        <f>L99</f>
        <v>500</v>
      </c>
      <c r="N99" s="863">
        <v>500</v>
      </c>
    </row>
    <row r="100" spans="1:21" s="155" customFormat="1" ht="12.75" customHeight="1">
      <c r="A100" s="1003"/>
      <c r="B100" s="607">
        <v>63</v>
      </c>
      <c r="C100" s="628" t="s">
        <v>341</v>
      </c>
      <c r="D100" s="866"/>
      <c r="E100" s="867"/>
      <c r="F100" s="867"/>
      <c r="G100" s="867"/>
      <c r="H100" s="868"/>
      <c r="I100" s="860"/>
      <c r="J100" s="647">
        <v>1500</v>
      </c>
      <c r="K100" s="647">
        <v>1500</v>
      </c>
      <c r="L100" s="869">
        <v>2200</v>
      </c>
      <c r="M100" s="647">
        <v>1500</v>
      </c>
      <c r="N100" s="863">
        <v>1980</v>
      </c>
      <c r="O100" s="280"/>
      <c r="T100" s="146"/>
      <c r="U100" s="146"/>
    </row>
    <row r="101" spans="1:14" ht="12.75" customHeight="1" hidden="1">
      <c r="A101" s="1003"/>
      <c r="B101" s="607">
        <v>64</v>
      </c>
      <c r="C101" s="628" t="s">
        <v>342</v>
      </c>
      <c r="D101" s="866"/>
      <c r="E101" s="867"/>
      <c r="F101" s="867"/>
      <c r="G101" s="867"/>
      <c r="H101" s="868"/>
      <c r="I101" s="860"/>
      <c r="J101" s="647">
        <v>1850</v>
      </c>
      <c r="K101" s="647">
        <v>0</v>
      </c>
      <c r="L101" s="869">
        <v>1000</v>
      </c>
      <c r="M101" s="647">
        <v>0</v>
      </c>
      <c r="N101" s="863"/>
    </row>
    <row r="102" spans="1:14" ht="12.75" customHeight="1">
      <c r="A102" s="1003"/>
      <c r="B102" s="607">
        <v>65</v>
      </c>
      <c r="C102" s="827" t="s">
        <v>343</v>
      </c>
      <c r="D102" s="870"/>
      <c r="E102" s="871"/>
      <c r="F102" s="871"/>
      <c r="G102" s="871"/>
      <c r="H102" s="872"/>
      <c r="I102" s="872"/>
      <c r="J102" s="873"/>
      <c r="K102" s="647">
        <v>400</v>
      </c>
      <c r="L102" s="862">
        <v>400</v>
      </c>
      <c r="M102" s="647">
        <v>0</v>
      </c>
      <c r="N102" s="863">
        <v>400</v>
      </c>
    </row>
    <row r="103" spans="1:14" ht="12.75" customHeight="1">
      <c r="A103" s="1003"/>
      <c r="B103" s="607"/>
      <c r="C103" s="827" t="s">
        <v>279</v>
      </c>
      <c r="D103" s="870"/>
      <c r="E103" s="871"/>
      <c r="F103" s="871"/>
      <c r="G103" s="871"/>
      <c r="H103" s="872"/>
      <c r="I103" s="872"/>
      <c r="J103" s="873"/>
      <c r="K103" s="647">
        <v>300</v>
      </c>
      <c r="L103" s="862">
        <v>300</v>
      </c>
      <c r="M103" s="647">
        <v>0</v>
      </c>
      <c r="N103" s="863"/>
    </row>
    <row r="104" spans="1:14" ht="12.75" customHeight="1">
      <c r="A104" s="1003"/>
      <c r="B104" s="607">
        <v>66</v>
      </c>
      <c r="C104" s="827" t="s">
        <v>409</v>
      </c>
      <c r="D104" s="870"/>
      <c r="E104" s="871"/>
      <c r="F104" s="871"/>
      <c r="G104" s="871"/>
      <c r="H104" s="872"/>
      <c r="I104" s="872"/>
      <c r="J104" s="873"/>
      <c r="K104" s="647"/>
      <c r="L104" s="862"/>
      <c r="M104" s="647"/>
      <c r="N104" s="863">
        <v>1100</v>
      </c>
    </row>
    <row r="105" spans="1:21" s="155" customFormat="1" ht="12.75" customHeight="1">
      <c r="A105" s="1003"/>
      <c r="B105" s="607">
        <v>67</v>
      </c>
      <c r="C105" s="608" t="s">
        <v>280</v>
      </c>
      <c r="D105" s="866"/>
      <c r="E105" s="867"/>
      <c r="F105" s="867"/>
      <c r="G105" s="867"/>
      <c r="H105" s="868"/>
      <c r="I105" s="860"/>
      <c r="J105" s="647"/>
      <c r="K105" s="647">
        <v>300</v>
      </c>
      <c r="L105" s="862">
        <v>300</v>
      </c>
      <c r="M105" s="647">
        <v>0</v>
      </c>
      <c r="N105" s="863">
        <v>450</v>
      </c>
      <c r="O105" s="280"/>
      <c r="T105" s="146"/>
      <c r="U105" s="146"/>
    </row>
    <row r="106" spans="1:14" ht="12.75" customHeight="1">
      <c r="A106" s="1003"/>
      <c r="B106" s="607">
        <v>68</v>
      </c>
      <c r="C106" s="608" t="s">
        <v>281</v>
      </c>
      <c r="D106" s="866"/>
      <c r="E106" s="867"/>
      <c r="F106" s="867"/>
      <c r="G106" s="867"/>
      <c r="H106" s="868"/>
      <c r="I106" s="860"/>
      <c r="J106" s="647"/>
      <c r="K106" s="647">
        <v>1560</v>
      </c>
      <c r="L106" s="869">
        <v>2160</v>
      </c>
      <c r="M106" s="647">
        <v>1600</v>
      </c>
      <c r="N106" s="863">
        <v>2650</v>
      </c>
    </row>
    <row r="107" spans="1:14" ht="12.75" customHeight="1">
      <c r="A107" s="1003"/>
      <c r="B107" s="607">
        <v>69</v>
      </c>
      <c r="C107" s="608" t="s">
        <v>282</v>
      </c>
      <c r="D107" s="866"/>
      <c r="E107" s="867"/>
      <c r="F107" s="867"/>
      <c r="G107" s="867"/>
      <c r="H107" s="868"/>
      <c r="I107" s="860"/>
      <c r="J107" s="647"/>
      <c r="K107" s="647">
        <v>200</v>
      </c>
      <c r="L107" s="861">
        <v>250</v>
      </c>
      <c r="M107" s="647">
        <f>L107</f>
        <v>250</v>
      </c>
      <c r="N107" s="863">
        <v>200</v>
      </c>
    </row>
    <row r="108" spans="1:14" ht="12.75" customHeight="1">
      <c r="A108" s="1003"/>
      <c r="B108" s="607"/>
      <c r="C108" s="608" t="s">
        <v>283</v>
      </c>
      <c r="D108" s="866"/>
      <c r="E108" s="867"/>
      <c r="F108" s="867"/>
      <c r="G108" s="867"/>
      <c r="H108" s="868"/>
      <c r="I108" s="860"/>
      <c r="J108" s="647"/>
      <c r="K108" s="647">
        <v>300</v>
      </c>
      <c r="L108" s="869">
        <v>2000</v>
      </c>
      <c r="M108" s="647">
        <v>630</v>
      </c>
      <c r="N108" s="863"/>
    </row>
    <row r="109" spans="1:14" ht="12.75" customHeight="1">
      <c r="A109" s="1003"/>
      <c r="B109" s="607">
        <v>70</v>
      </c>
      <c r="C109" s="608" t="s">
        <v>284</v>
      </c>
      <c r="D109" s="866"/>
      <c r="E109" s="867"/>
      <c r="F109" s="867"/>
      <c r="G109" s="867"/>
      <c r="H109" s="868"/>
      <c r="I109" s="860"/>
      <c r="J109" s="647"/>
      <c r="K109" s="647">
        <v>1000</v>
      </c>
      <c r="L109" s="861">
        <v>1000</v>
      </c>
      <c r="M109" s="647">
        <f>L109</f>
        <v>1000</v>
      </c>
      <c r="N109" s="863">
        <v>1000</v>
      </c>
    </row>
    <row r="110" spans="1:14" ht="12.75" customHeight="1" hidden="1">
      <c r="A110" s="1003"/>
      <c r="B110" s="607">
        <v>91</v>
      </c>
      <c r="C110" s="608" t="s">
        <v>285</v>
      </c>
      <c r="D110" s="866"/>
      <c r="E110" s="867"/>
      <c r="F110" s="867"/>
      <c r="G110" s="867"/>
      <c r="H110" s="868"/>
      <c r="I110" s="860"/>
      <c r="J110" s="647"/>
      <c r="K110" s="647">
        <v>0</v>
      </c>
      <c r="L110" s="861">
        <v>0</v>
      </c>
      <c r="M110" s="647">
        <f>L110</f>
        <v>0</v>
      </c>
      <c r="N110" s="863"/>
    </row>
    <row r="111" spans="1:14" ht="12.75" customHeight="1" hidden="1">
      <c r="A111" s="1003"/>
      <c r="B111" s="607">
        <v>92</v>
      </c>
      <c r="C111" s="608" t="s">
        <v>286</v>
      </c>
      <c r="D111" s="866"/>
      <c r="E111" s="867"/>
      <c r="F111" s="867"/>
      <c r="G111" s="867"/>
      <c r="H111" s="868"/>
      <c r="I111" s="860"/>
      <c r="J111" s="647"/>
      <c r="K111" s="647">
        <v>0</v>
      </c>
      <c r="L111" s="861">
        <v>0</v>
      </c>
      <c r="M111" s="647">
        <f>L111</f>
        <v>0</v>
      </c>
      <c r="N111" s="863"/>
    </row>
    <row r="112" spans="1:14" ht="12.75" customHeight="1">
      <c r="A112" s="1003"/>
      <c r="B112" s="607">
        <v>71</v>
      </c>
      <c r="C112" s="608" t="s">
        <v>287</v>
      </c>
      <c r="D112" s="866"/>
      <c r="E112" s="867"/>
      <c r="F112" s="867"/>
      <c r="G112" s="867"/>
      <c r="H112" s="868"/>
      <c r="I112" s="860"/>
      <c r="J112" s="647"/>
      <c r="K112" s="647">
        <v>500</v>
      </c>
      <c r="L112" s="869">
        <v>1400</v>
      </c>
      <c r="M112" s="647">
        <v>500</v>
      </c>
      <c r="N112" s="863">
        <v>500</v>
      </c>
    </row>
    <row r="113" spans="1:14" ht="12.75" customHeight="1">
      <c r="A113" s="1003"/>
      <c r="B113" s="607">
        <v>72</v>
      </c>
      <c r="C113" s="608" t="s">
        <v>288</v>
      </c>
      <c r="D113" s="866"/>
      <c r="E113" s="867"/>
      <c r="F113" s="867"/>
      <c r="G113" s="867"/>
      <c r="H113" s="868"/>
      <c r="I113" s="860"/>
      <c r="J113" s="647"/>
      <c r="K113" s="647">
        <v>400</v>
      </c>
      <c r="L113" s="861">
        <v>500</v>
      </c>
      <c r="M113" s="647">
        <f>L113</f>
        <v>500</v>
      </c>
      <c r="N113" s="863">
        <v>650</v>
      </c>
    </row>
    <row r="114" spans="1:14" ht="12.75" customHeight="1">
      <c r="A114" s="1003"/>
      <c r="B114" s="607">
        <v>73</v>
      </c>
      <c r="C114" s="608" t="s">
        <v>344</v>
      </c>
      <c r="D114" s="866"/>
      <c r="E114" s="867"/>
      <c r="F114" s="867"/>
      <c r="G114" s="867"/>
      <c r="H114" s="868"/>
      <c r="I114" s="860"/>
      <c r="J114" s="647"/>
      <c r="K114" s="647"/>
      <c r="L114" s="861">
        <v>400</v>
      </c>
      <c r="M114" s="647">
        <f>L114</f>
        <v>400</v>
      </c>
      <c r="N114" s="863">
        <v>630</v>
      </c>
    </row>
    <row r="115" spans="1:14" ht="12.75" customHeight="1">
      <c r="A115" s="1003"/>
      <c r="B115" s="607">
        <v>74</v>
      </c>
      <c r="C115" s="608" t="s">
        <v>410</v>
      </c>
      <c r="D115" s="866"/>
      <c r="E115" s="867"/>
      <c r="F115" s="867"/>
      <c r="G115" s="867"/>
      <c r="H115" s="868"/>
      <c r="I115" s="860"/>
      <c r="J115" s="647"/>
      <c r="K115" s="647"/>
      <c r="L115" s="861"/>
      <c r="M115" s="647"/>
      <c r="N115" s="863">
        <v>850</v>
      </c>
    </row>
    <row r="116" spans="1:14" ht="12.75" customHeight="1" hidden="1">
      <c r="A116" s="1003"/>
      <c r="B116" s="607">
        <v>102</v>
      </c>
      <c r="C116" s="608" t="s">
        <v>345</v>
      </c>
      <c r="D116" s="866"/>
      <c r="E116" s="867"/>
      <c r="F116" s="867"/>
      <c r="G116" s="867"/>
      <c r="H116" s="868"/>
      <c r="I116" s="860"/>
      <c r="J116" s="647"/>
      <c r="K116" s="647"/>
      <c r="L116" s="869">
        <v>700</v>
      </c>
      <c r="M116" s="647">
        <v>500</v>
      </c>
      <c r="N116" s="863"/>
    </row>
    <row r="117" spans="1:14" ht="12.75" customHeight="1" hidden="1">
      <c r="A117" s="1004"/>
      <c r="B117" s="607">
        <v>103</v>
      </c>
      <c r="C117" s="608" t="s">
        <v>198</v>
      </c>
      <c r="D117" s="866"/>
      <c r="E117" s="867"/>
      <c r="F117" s="867"/>
      <c r="G117" s="867"/>
      <c r="H117" s="868">
        <v>6100</v>
      </c>
      <c r="I117" s="647"/>
      <c r="J117" s="647"/>
      <c r="K117" s="647">
        <v>0</v>
      </c>
      <c r="L117" s="861">
        <v>0</v>
      </c>
      <c r="M117" s="647">
        <v>0</v>
      </c>
      <c r="N117" s="863"/>
    </row>
    <row r="118" spans="1:14" ht="12.75" customHeight="1">
      <c r="A118" s="1003"/>
      <c r="B118" s="852"/>
      <c r="C118" s="853" t="s">
        <v>134</v>
      </c>
      <c r="D118" s="278">
        <f>SUM(D86:D92)</f>
        <v>0</v>
      </c>
      <c r="E118" s="278">
        <f>SUM(E86:E92)</f>
        <v>6000</v>
      </c>
      <c r="F118" s="278">
        <f>SUM(F86:F92)</f>
        <v>6750</v>
      </c>
      <c r="G118" s="278">
        <f>SUM(G86:G92)</f>
        <v>7120</v>
      </c>
      <c r="H118" s="854">
        <f>SUM(H86:H117)</f>
        <v>26640</v>
      </c>
      <c r="I118" s="855">
        <f>SUM(I86:I117)</f>
        <v>0</v>
      </c>
      <c r="J118" s="855">
        <v>14300</v>
      </c>
      <c r="K118" s="855">
        <f>SUM(K86:K117)</f>
        <v>18060</v>
      </c>
      <c r="L118" s="858">
        <f>SUM(L86:L117)</f>
        <v>24415</v>
      </c>
      <c r="M118" s="855">
        <f>SUM(M86:M117)</f>
        <v>18685</v>
      </c>
      <c r="N118" s="859">
        <f>SUM(N86:N117)</f>
        <v>21650</v>
      </c>
    </row>
    <row r="119" spans="1:21" s="152" customFormat="1" ht="12.75" customHeight="1">
      <c r="A119" s="1003"/>
      <c r="B119" s="607">
        <v>75</v>
      </c>
      <c r="C119" s="608" t="s">
        <v>173</v>
      </c>
      <c r="D119" s="825">
        <f>(1777+195)</f>
        <v>1972</v>
      </c>
      <c r="E119" s="825">
        <v>2300</v>
      </c>
      <c r="F119" s="825"/>
      <c r="G119" s="825"/>
      <c r="H119" s="826">
        <v>15500</v>
      </c>
      <c r="I119" s="647"/>
      <c r="J119" s="647">
        <v>20000</v>
      </c>
      <c r="K119" s="647">
        <v>23000</v>
      </c>
      <c r="L119" s="861">
        <v>27500</v>
      </c>
      <c r="M119" s="647">
        <v>23000</v>
      </c>
      <c r="N119" s="863">
        <v>18000</v>
      </c>
      <c r="O119" s="280"/>
      <c r="T119" s="146"/>
      <c r="U119" s="146"/>
    </row>
    <row r="120" spans="1:14" ht="12.75" customHeight="1">
      <c r="A120" s="1004"/>
      <c r="B120" s="607"/>
      <c r="C120" s="608" t="s">
        <v>174</v>
      </c>
      <c r="D120" s="825"/>
      <c r="E120" s="825"/>
      <c r="F120" s="825"/>
      <c r="G120" s="825"/>
      <c r="H120" s="826">
        <v>2650</v>
      </c>
      <c r="I120" s="647"/>
      <c r="J120" s="647">
        <v>0</v>
      </c>
      <c r="K120" s="647">
        <v>3000</v>
      </c>
      <c r="L120" s="861"/>
      <c r="M120" s="647"/>
      <c r="N120" s="863"/>
    </row>
    <row r="121" spans="1:14" ht="12.75" customHeight="1">
      <c r="A121" s="1003"/>
      <c r="B121" s="607"/>
      <c r="C121" s="608" t="s">
        <v>346</v>
      </c>
      <c r="D121" s="866"/>
      <c r="E121" s="867"/>
      <c r="F121" s="867"/>
      <c r="G121" s="867"/>
      <c r="H121" s="868">
        <v>670</v>
      </c>
      <c r="I121" s="860"/>
      <c r="J121" s="647">
        <v>300</v>
      </c>
      <c r="K121" s="647">
        <v>300</v>
      </c>
      <c r="L121" s="861"/>
      <c r="M121" s="647">
        <v>300</v>
      </c>
      <c r="N121" s="863"/>
    </row>
    <row r="122" spans="1:14" ht="12.75" customHeight="1">
      <c r="A122" s="1004"/>
      <c r="B122" s="852"/>
      <c r="C122" s="853" t="s">
        <v>175</v>
      </c>
      <c r="D122" s="278">
        <f>SUM(D119)</f>
        <v>1972</v>
      </c>
      <c r="E122" s="278">
        <f>SUM(E119)</f>
        <v>2300</v>
      </c>
      <c r="F122" s="278">
        <f>SUM(F119)</f>
        <v>0</v>
      </c>
      <c r="G122" s="278"/>
      <c r="H122" s="854">
        <f>SUM(H119:H121)</f>
        <v>18820</v>
      </c>
      <c r="I122" s="874">
        <f>SUM(I119:I121)</f>
        <v>0</v>
      </c>
      <c r="J122" s="874">
        <v>20300</v>
      </c>
      <c r="K122" s="874">
        <f>SUM(K119:K121)</f>
        <v>26300</v>
      </c>
      <c r="L122" s="875">
        <f>SUM(L119:L121)</f>
        <v>27500</v>
      </c>
      <c r="M122" s="874">
        <f>SUM(M119:M121)</f>
        <v>23300</v>
      </c>
      <c r="N122" s="876">
        <f>SUM(N119:N121)</f>
        <v>18000</v>
      </c>
    </row>
    <row r="123" spans="1:14" ht="12.75" customHeight="1">
      <c r="A123" s="1003"/>
      <c r="B123" s="607">
        <v>76</v>
      </c>
      <c r="C123" s="608" t="s">
        <v>199</v>
      </c>
      <c r="D123" s="825"/>
      <c r="E123" s="825"/>
      <c r="F123" s="825"/>
      <c r="G123" s="825"/>
      <c r="H123" s="826"/>
      <c r="I123" s="860"/>
      <c r="J123" s="647">
        <v>1250</v>
      </c>
      <c r="K123" s="647">
        <v>1250</v>
      </c>
      <c r="L123" s="861">
        <v>1250</v>
      </c>
      <c r="M123" s="647">
        <f>L123</f>
        <v>1250</v>
      </c>
      <c r="N123" s="863">
        <v>1250</v>
      </c>
    </row>
    <row r="124" spans="1:14" ht="12.75" thickBot="1">
      <c r="A124" s="1003"/>
      <c r="B124" s="880"/>
      <c r="C124" s="881" t="s">
        <v>200</v>
      </c>
      <c r="D124" s="882"/>
      <c r="E124" s="882"/>
      <c r="F124" s="882"/>
      <c r="G124" s="882"/>
      <c r="H124" s="883">
        <f>H123</f>
        <v>0</v>
      </c>
      <c r="I124" s="884"/>
      <c r="J124" s="885">
        <v>1250</v>
      </c>
      <c r="K124" s="886">
        <v>1250</v>
      </c>
      <c r="L124" s="887">
        <f>SUM(L123)</f>
        <v>1250</v>
      </c>
      <c r="M124" s="886">
        <f>SUM(M123)</f>
        <v>1250</v>
      </c>
      <c r="N124" s="888">
        <f>SUM(N123)</f>
        <v>1250</v>
      </c>
    </row>
    <row r="125" spans="1:15" s="577" customFormat="1" ht="12.75" thickBot="1">
      <c r="A125" s="1007"/>
      <c r="B125" s="916">
        <v>77</v>
      </c>
      <c r="C125" s="917" t="s">
        <v>418</v>
      </c>
      <c r="D125" s="918"/>
      <c r="E125" s="918">
        <v>12803</v>
      </c>
      <c r="F125" s="918">
        <v>15430</v>
      </c>
      <c r="G125" s="918">
        <v>13430</v>
      </c>
      <c r="H125" s="919">
        <v>15700</v>
      </c>
      <c r="I125" s="919">
        <v>56069</v>
      </c>
      <c r="J125" s="919">
        <v>16000</v>
      </c>
      <c r="K125" s="919">
        <v>16000</v>
      </c>
      <c r="L125" s="919">
        <v>16000</v>
      </c>
      <c r="M125" s="919">
        <v>16000</v>
      </c>
      <c r="N125" s="920">
        <v>16000</v>
      </c>
      <c r="O125" s="619"/>
    </row>
    <row r="126" ht="12">
      <c r="A126" s="1003"/>
    </row>
    <row r="127" spans="1:15" ht="12.75" thickBot="1">
      <c r="A127" s="1003"/>
      <c r="O127" s="1334">
        <f>'str1-3'!G11</f>
        <v>1.0020313020851004</v>
      </c>
    </row>
    <row r="128" spans="1:15" ht="12">
      <c r="A128" s="1003"/>
      <c r="B128" s="603"/>
      <c r="C128" s="604"/>
      <c r="K128" s="281" t="s">
        <v>46</v>
      </c>
      <c r="L128" s="606" t="s">
        <v>316</v>
      </c>
      <c r="M128" s="605" t="s">
        <v>46</v>
      </c>
      <c r="N128" s="913" t="s">
        <v>46</v>
      </c>
      <c r="O128" s="915"/>
    </row>
    <row r="129" spans="1:15" ht="12.75" thickBot="1">
      <c r="A129" s="1003"/>
      <c r="B129" s="607" t="s">
        <v>47</v>
      </c>
      <c r="C129" s="608" t="s">
        <v>48</v>
      </c>
      <c r="K129" s="610">
        <v>2008</v>
      </c>
      <c r="L129" s="612">
        <v>2009</v>
      </c>
      <c r="M129" s="611">
        <v>2009</v>
      </c>
      <c r="N129" s="914">
        <v>2010</v>
      </c>
      <c r="O129" s="915"/>
    </row>
    <row r="130" spans="1:15" ht="12.75" thickBot="1">
      <c r="A130" s="1003"/>
      <c r="B130" s="889"/>
      <c r="C130" s="890" t="s">
        <v>488</v>
      </c>
      <c r="K130" s="897">
        <f>SUM(K131:K140)</f>
        <v>227354.34999999998</v>
      </c>
      <c r="L130" s="897">
        <f>SUM(L131:L140)</f>
        <v>234702.763</v>
      </c>
      <c r="M130" s="897">
        <f>SUM(M131:M140)</f>
        <v>236550.1362</v>
      </c>
      <c r="N130" s="909">
        <f>SUM(N131:N140)</f>
        <v>234278</v>
      </c>
      <c r="O130" s="915"/>
    </row>
    <row r="131" spans="1:15" ht="12">
      <c r="A131" s="1003"/>
      <c r="B131" s="891">
        <v>1</v>
      </c>
      <c r="C131" s="892" t="s">
        <v>201</v>
      </c>
      <c r="K131" s="898">
        <v>0</v>
      </c>
      <c r="L131" s="899">
        <v>0</v>
      </c>
      <c r="M131" s="898">
        <v>0</v>
      </c>
      <c r="N131" s="910"/>
      <c r="O131" s="915"/>
    </row>
    <row r="132" spans="1:15" ht="12">
      <c r="A132" s="1003"/>
      <c r="B132" s="893">
        <v>2</v>
      </c>
      <c r="C132" s="894" t="s">
        <v>202</v>
      </c>
      <c r="K132" s="900">
        <v>0</v>
      </c>
      <c r="L132" s="901">
        <v>0</v>
      </c>
      <c r="M132" s="900">
        <v>0</v>
      </c>
      <c r="N132" s="911"/>
      <c r="O132" s="915"/>
    </row>
    <row r="133" spans="1:16" ht="12">
      <c r="A133" s="1003"/>
      <c r="B133" s="893">
        <v>3</v>
      </c>
      <c r="C133" s="894" t="s">
        <v>203</v>
      </c>
      <c r="K133" s="900">
        <v>3932.25</v>
      </c>
      <c r="L133" s="902">
        <v>4372</v>
      </c>
      <c r="M133" s="655">
        <v>4372</v>
      </c>
      <c r="N133" s="825">
        <v>2900</v>
      </c>
      <c r="O133" s="1400">
        <f>N133/M133</f>
        <v>0.6633119853613907</v>
      </c>
      <c r="P133" s="1332"/>
    </row>
    <row r="134" spans="1:16" ht="12">
      <c r="A134" s="1003"/>
      <c r="B134" s="891">
        <v>4</v>
      </c>
      <c r="C134" s="894" t="s">
        <v>204</v>
      </c>
      <c r="K134" s="900">
        <v>1921.72</v>
      </c>
      <c r="L134" s="903">
        <v>1979.3716000000002</v>
      </c>
      <c r="M134" s="655">
        <v>1979.3716000000002</v>
      </c>
      <c r="N134" s="825">
        <v>1963</v>
      </c>
      <c r="O134" s="1400">
        <f aca="true" t="shared" si="1" ref="O134:O140">N134/M134</f>
        <v>0.9917288901184598</v>
      </c>
      <c r="P134" s="1332"/>
    </row>
    <row r="135" spans="1:16" ht="12">
      <c r="A135" s="1003"/>
      <c r="B135" s="893">
        <v>5</v>
      </c>
      <c r="C135" s="894" t="s">
        <v>205</v>
      </c>
      <c r="K135" s="900">
        <v>0</v>
      </c>
      <c r="L135" s="901">
        <v>0</v>
      </c>
      <c r="M135" s="900">
        <v>0</v>
      </c>
      <c r="N135" s="825">
        <v>0</v>
      </c>
      <c r="O135" s="1400"/>
      <c r="P135" s="1332"/>
    </row>
    <row r="136" spans="1:16" ht="12">
      <c r="A136" s="1003"/>
      <c r="B136" s="893">
        <v>6</v>
      </c>
      <c r="C136" s="894" t="s">
        <v>298</v>
      </c>
      <c r="K136" s="655">
        <v>0</v>
      </c>
      <c r="L136" s="903">
        <v>0</v>
      </c>
      <c r="M136" s="904">
        <v>0</v>
      </c>
      <c r="N136" s="825">
        <v>0</v>
      </c>
      <c r="O136" s="1400"/>
      <c r="P136" s="1332"/>
    </row>
    <row r="137" spans="1:16" ht="12">
      <c r="A137" s="1003"/>
      <c r="B137" s="891">
        <v>7</v>
      </c>
      <c r="C137" s="894" t="s">
        <v>206</v>
      </c>
      <c r="K137" s="655">
        <v>102528.3</v>
      </c>
      <c r="L137" s="905">
        <v>105604.149</v>
      </c>
      <c r="M137" s="655">
        <v>106629.432</v>
      </c>
      <c r="N137" s="825">
        <v>106846</v>
      </c>
      <c r="O137" s="1400">
        <f t="shared" si="1"/>
        <v>1.0020310339831877</v>
      </c>
      <c r="P137" s="1333"/>
    </row>
    <row r="138" spans="1:16" ht="12">
      <c r="A138" s="1003"/>
      <c r="B138" s="893">
        <v>8</v>
      </c>
      <c r="C138" s="894" t="s">
        <v>289</v>
      </c>
      <c r="K138" s="900">
        <v>28471.63</v>
      </c>
      <c r="L138" s="902">
        <v>29531.7789</v>
      </c>
      <c r="M138" s="900">
        <v>29531.7789</v>
      </c>
      <c r="N138" s="825">
        <v>29293</v>
      </c>
      <c r="O138" s="1400">
        <f t="shared" si="1"/>
        <v>0.991914510100846</v>
      </c>
      <c r="P138" s="1332"/>
    </row>
    <row r="139" spans="1:16" ht="12">
      <c r="A139" s="1003"/>
      <c r="B139" s="893">
        <v>9</v>
      </c>
      <c r="C139" s="894" t="s">
        <v>207</v>
      </c>
      <c r="K139" s="900">
        <v>8291.43</v>
      </c>
      <c r="L139" s="906">
        <v>8540.172900000001</v>
      </c>
      <c r="M139" s="900">
        <v>8540.172900000001</v>
      </c>
      <c r="N139" s="825">
        <v>8471</v>
      </c>
      <c r="O139" s="1400">
        <f t="shared" si="1"/>
        <v>0.9919002927914959</v>
      </c>
      <c r="P139" s="1332"/>
    </row>
    <row r="140" spans="1:16" ht="12">
      <c r="A140" s="1003"/>
      <c r="B140" s="891">
        <v>10</v>
      </c>
      <c r="C140" s="894" t="s">
        <v>208</v>
      </c>
      <c r="K140" s="900">
        <v>82209.02</v>
      </c>
      <c r="L140" s="905">
        <v>84675.29060000001</v>
      </c>
      <c r="M140" s="655">
        <v>85497.38080000001</v>
      </c>
      <c r="N140" s="825">
        <v>84805</v>
      </c>
      <c r="O140" s="1400">
        <f t="shared" si="1"/>
        <v>0.9919017308656546</v>
      </c>
      <c r="P140" s="1332"/>
    </row>
    <row r="141" spans="1:14" ht="12.75" thickBot="1">
      <c r="A141" s="1003"/>
      <c r="B141" s="895"/>
      <c r="C141" s="896"/>
      <c r="K141" s="907"/>
      <c r="L141" s="908"/>
      <c r="M141" s="907"/>
      <c r="N141" s="912"/>
    </row>
    <row r="142" ht="12.75" thickBot="1">
      <c r="A142" s="1003"/>
    </row>
    <row r="143" spans="1:15" s="577" customFormat="1" ht="12.75" thickBot="1">
      <c r="A143" s="1007"/>
      <c r="B143" s="923"/>
      <c r="C143" s="924" t="s">
        <v>419</v>
      </c>
      <c r="D143" s="925"/>
      <c r="E143" s="925"/>
      <c r="F143" s="925"/>
      <c r="G143" s="925"/>
      <c r="H143" s="925"/>
      <c r="I143" s="925"/>
      <c r="J143" s="925"/>
      <c r="K143" s="921">
        <f>K130+K125+K7</f>
        <v>394366.35</v>
      </c>
      <c r="L143" s="921">
        <f>L130+L125+L7</f>
        <v>406569.76300000004</v>
      </c>
      <c r="M143" s="921">
        <f>M130+M125+M7</f>
        <v>411186.1362</v>
      </c>
      <c r="N143" s="922">
        <f>N130+N125+N7</f>
        <v>415157</v>
      </c>
      <c r="O143" s="926"/>
    </row>
    <row r="144" ht="12">
      <c r="A144" s="1003"/>
    </row>
    <row r="145" ht="12">
      <c r="A145" s="1003"/>
    </row>
    <row r="146" ht="12">
      <c r="A146" s="1003"/>
    </row>
    <row r="147" ht="12">
      <c r="A147" s="1003"/>
    </row>
    <row r="148" ht="12">
      <c r="A148" s="1003"/>
    </row>
    <row r="149" ht="12">
      <c r="A149" s="1003"/>
    </row>
    <row r="150" ht="12">
      <c r="A150" s="1003"/>
    </row>
    <row r="151" ht="12">
      <c r="A151" s="1003"/>
    </row>
    <row r="152" ht="12">
      <c r="A152" s="1003"/>
    </row>
  </sheetData>
  <sheetProtection/>
  <printOptions horizontalCentered="1"/>
  <pageMargins left="0.4" right="0.2755905511811024" top="0.33" bottom="0.25" header="0.1968503937007874" footer="0.11"/>
  <pageSetup horizontalDpi="600" verticalDpi="600" orientation="portrait" paperSize="8" scale="75" r:id="rId3"/>
  <headerFooter alignWithMargins="0">
    <oddHeader>&amp;R&amp;8Příloha 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6.875" style="0" customWidth="1"/>
    <col min="5" max="5" width="23.00390625" style="0" customWidth="1"/>
    <col min="6" max="6" width="3.75390625" style="49" bestFit="1" customWidth="1"/>
    <col min="7" max="7" width="60.875" style="48" customWidth="1"/>
    <col min="8" max="8" width="8.75390625" style="1" customWidth="1"/>
    <col min="9" max="9" width="5.125" style="0" hidden="1" customWidth="1"/>
    <col min="10" max="10" width="7.625" style="93" customWidth="1"/>
    <col min="11" max="14" width="8.00390625" style="93" customWidth="1"/>
    <col min="15" max="15" width="8.125" style="93" customWidth="1"/>
    <col min="16" max="16" width="9.375" style="98" customWidth="1"/>
  </cols>
  <sheetData>
    <row r="1" spans="1:16" ht="15.75" customHeight="1">
      <c r="A1" s="1452" t="s">
        <v>420</v>
      </c>
      <c r="B1" s="1453"/>
      <c r="C1" s="1453"/>
      <c r="D1" s="1454"/>
      <c r="E1" s="595"/>
      <c r="F1" s="31"/>
      <c r="G1" s="32"/>
      <c r="H1" s="348" t="s">
        <v>65</v>
      </c>
      <c r="I1" s="33" t="s">
        <v>66</v>
      </c>
      <c r="J1" s="349" t="s">
        <v>135</v>
      </c>
      <c r="K1" s="1455" t="s">
        <v>216</v>
      </c>
      <c r="L1" s="1456"/>
      <c r="M1" s="1456"/>
      <c r="N1" s="1456"/>
      <c r="O1" s="1457"/>
      <c r="P1" s="529" t="s">
        <v>67</v>
      </c>
    </row>
    <row r="2" spans="1:16" s="1" customFormat="1" ht="13.5" thickBot="1">
      <c r="A2" s="34" t="s">
        <v>304</v>
      </c>
      <c r="B2" s="21"/>
      <c r="C2" s="21"/>
      <c r="D2" s="35"/>
      <c r="E2" s="35"/>
      <c r="F2" s="36" t="s">
        <v>57</v>
      </c>
      <c r="G2" s="37" t="s">
        <v>59</v>
      </c>
      <c r="H2" s="350">
        <v>2010</v>
      </c>
      <c r="I2" s="38" t="s">
        <v>46</v>
      </c>
      <c r="J2" s="351" t="s">
        <v>217</v>
      </c>
      <c r="K2" s="352" t="s">
        <v>218</v>
      </c>
      <c r="L2" s="353" t="s">
        <v>219</v>
      </c>
      <c r="M2" s="353" t="s">
        <v>220</v>
      </c>
      <c r="N2" s="353" t="s">
        <v>314</v>
      </c>
      <c r="O2" s="353" t="s">
        <v>221</v>
      </c>
      <c r="P2" s="530">
        <v>2009</v>
      </c>
    </row>
    <row r="3" spans="1:16" ht="13.5" thickBot="1">
      <c r="A3" s="90" t="s">
        <v>222</v>
      </c>
      <c r="B3" s="91"/>
      <c r="C3" s="91"/>
      <c r="D3" s="91"/>
      <c r="E3" s="91"/>
      <c r="F3" s="88">
        <v>1</v>
      </c>
      <c r="G3" s="92"/>
      <c r="H3" s="65">
        <f aca="true" t="shared" si="0" ref="H3:P3">H4+SUM(H18:H29)</f>
        <v>0</v>
      </c>
      <c r="I3" s="531">
        <f t="shared" si="0"/>
        <v>0</v>
      </c>
      <c r="J3" s="532">
        <f t="shared" si="0"/>
        <v>0</v>
      </c>
      <c r="K3" s="533">
        <f t="shared" si="0"/>
        <v>0</v>
      </c>
      <c r="L3" s="533">
        <f t="shared" si="0"/>
        <v>0</v>
      </c>
      <c r="M3" s="533">
        <f t="shared" si="0"/>
        <v>0</v>
      </c>
      <c r="N3" s="532">
        <f t="shared" si="0"/>
        <v>0</v>
      </c>
      <c r="O3" s="532">
        <f t="shared" si="0"/>
        <v>0</v>
      </c>
      <c r="P3" s="534">
        <f t="shared" si="0"/>
        <v>0</v>
      </c>
    </row>
    <row r="4" spans="1:16" s="9" customFormat="1" ht="12.75">
      <c r="A4" s="10" t="s">
        <v>68</v>
      </c>
      <c r="B4" s="39" t="s">
        <v>223</v>
      </c>
      <c r="C4" s="39"/>
      <c r="D4" s="39"/>
      <c r="E4" s="39"/>
      <c r="F4" s="40">
        <v>2</v>
      </c>
      <c r="G4" s="41" t="s">
        <v>315</v>
      </c>
      <c r="H4" s="535">
        <f aca="true" t="shared" si="1" ref="H4:P4">SUM(H5:H15)</f>
        <v>0</v>
      </c>
      <c r="I4" s="536">
        <f t="shared" si="1"/>
        <v>0</v>
      </c>
      <c r="J4" s="537">
        <f t="shared" si="1"/>
        <v>0</v>
      </c>
      <c r="K4" s="538">
        <f t="shared" si="1"/>
        <v>0</v>
      </c>
      <c r="L4" s="538">
        <f t="shared" si="1"/>
        <v>0</v>
      </c>
      <c r="M4" s="538">
        <f t="shared" si="1"/>
        <v>0</v>
      </c>
      <c r="N4" s="537">
        <f t="shared" si="1"/>
        <v>0</v>
      </c>
      <c r="O4" s="537">
        <f t="shared" si="1"/>
        <v>0</v>
      </c>
      <c r="P4" s="539">
        <f t="shared" si="1"/>
        <v>0</v>
      </c>
    </row>
    <row r="5" spans="1:16" s="550" customFormat="1" ht="12.75">
      <c r="A5" s="540"/>
      <c r="B5" s="541"/>
      <c r="C5" s="541" t="s">
        <v>69</v>
      </c>
      <c r="D5" s="542" t="s">
        <v>70</v>
      </c>
      <c r="E5" s="542"/>
      <c r="F5" s="543">
        <v>3</v>
      </c>
      <c r="G5" s="544"/>
      <c r="H5" s="545"/>
      <c r="I5" s="546"/>
      <c r="J5" s="547"/>
      <c r="K5" s="547"/>
      <c r="L5" s="548"/>
      <c r="M5" s="548"/>
      <c r="N5" s="546"/>
      <c r="O5" s="546"/>
      <c r="P5" s="549"/>
    </row>
    <row r="6" spans="1:16" s="550" customFormat="1" ht="12.75">
      <c r="A6" s="540"/>
      <c r="B6" s="541"/>
      <c r="C6" s="541"/>
      <c r="D6" s="542" t="s">
        <v>71</v>
      </c>
      <c r="E6" s="542"/>
      <c r="F6" s="543">
        <v>4</v>
      </c>
      <c r="G6" s="544"/>
      <c r="H6" s="545"/>
      <c r="I6" s="546"/>
      <c r="J6" s="547"/>
      <c r="K6" s="547"/>
      <c r="L6" s="548"/>
      <c r="M6" s="548"/>
      <c r="N6" s="546"/>
      <c r="O6" s="546"/>
      <c r="P6" s="549"/>
    </row>
    <row r="7" spans="1:16" s="550" customFormat="1" ht="12.75">
      <c r="A7" s="540"/>
      <c r="B7" s="541"/>
      <c r="C7" s="541"/>
      <c r="D7" s="542" t="s">
        <v>262</v>
      </c>
      <c r="E7" s="542"/>
      <c r="F7" s="543">
        <v>5</v>
      </c>
      <c r="G7" s="544"/>
      <c r="H7" s="545"/>
      <c r="I7" s="546"/>
      <c r="J7" s="547"/>
      <c r="K7" s="547"/>
      <c r="L7" s="548"/>
      <c r="M7" s="548"/>
      <c r="N7" s="546"/>
      <c r="O7" s="546"/>
      <c r="P7" s="549"/>
    </row>
    <row r="8" spans="1:16" s="550" customFormat="1" ht="12.75">
      <c r="A8" s="540"/>
      <c r="B8" s="541"/>
      <c r="C8" s="541"/>
      <c r="D8" s="542" t="s">
        <v>72</v>
      </c>
      <c r="E8" s="542"/>
      <c r="F8" s="543">
        <v>6</v>
      </c>
      <c r="G8" s="544"/>
      <c r="H8" s="545"/>
      <c r="I8" s="546"/>
      <c r="J8" s="547"/>
      <c r="K8" s="547"/>
      <c r="L8" s="548"/>
      <c r="M8" s="548"/>
      <c r="N8" s="546"/>
      <c r="O8" s="546"/>
      <c r="P8" s="549"/>
    </row>
    <row r="9" spans="1:16" s="550" customFormat="1" ht="12.75">
      <c r="A9" s="540"/>
      <c r="B9" s="541"/>
      <c r="C9" s="541"/>
      <c r="D9" s="542" t="s">
        <v>73</v>
      </c>
      <c r="E9" s="542"/>
      <c r="F9" s="543">
        <v>7</v>
      </c>
      <c r="G9" s="544"/>
      <c r="H9" s="545"/>
      <c r="I9" s="546"/>
      <c r="J9" s="547"/>
      <c r="K9" s="547"/>
      <c r="L9" s="548"/>
      <c r="M9" s="548"/>
      <c r="N9" s="546"/>
      <c r="O9" s="546"/>
      <c r="P9" s="549"/>
    </row>
    <row r="10" spans="1:16" s="550" customFormat="1" ht="12.75">
      <c r="A10" s="540"/>
      <c r="B10" s="541"/>
      <c r="C10" s="541"/>
      <c r="D10" s="542" t="s">
        <v>74</v>
      </c>
      <c r="E10" s="542"/>
      <c r="F10" s="543">
        <v>8</v>
      </c>
      <c r="G10" s="544"/>
      <c r="H10" s="545"/>
      <c r="I10" s="546"/>
      <c r="J10" s="547"/>
      <c r="K10" s="547"/>
      <c r="L10" s="548"/>
      <c r="M10" s="548"/>
      <c r="N10" s="546"/>
      <c r="O10" s="546"/>
      <c r="P10" s="549"/>
    </row>
    <row r="11" spans="1:16" s="550" customFormat="1" ht="12.75">
      <c r="A11" s="540"/>
      <c r="B11" s="541"/>
      <c r="C11" s="541"/>
      <c r="D11" s="542" t="s">
        <v>75</v>
      </c>
      <c r="E11" s="542"/>
      <c r="F11" s="543">
        <v>9</v>
      </c>
      <c r="G11" s="544"/>
      <c r="H11" s="545"/>
      <c r="I11" s="546"/>
      <c r="J11" s="547"/>
      <c r="K11" s="547"/>
      <c r="L11" s="548"/>
      <c r="M11" s="548"/>
      <c r="N11" s="546"/>
      <c r="O11" s="546"/>
      <c r="P11" s="549"/>
    </row>
    <row r="12" spans="1:16" s="550" customFormat="1" ht="12.75">
      <c r="A12" s="540"/>
      <c r="B12" s="541"/>
      <c r="C12" s="541"/>
      <c r="D12" s="542" t="s">
        <v>76</v>
      </c>
      <c r="E12" s="542"/>
      <c r="F12" s="543">
        <v>10</v>
      </c>
      <c r="G12" s="544"/>
      <c r="H12" s="545"/>
      <c r="I12" s="546"/>
      <c r="J12" s="547"/>
      <c r="K12" s="547"/>
      <c r="L12" s="548"/>
      <c r="M12" s="548"/>
      <c r="N12" s="546"/>
      <c r="O12" s="546"/>
      <c r="P12" s="549"/>
    </row>
    <row r="13" spans="1:16" s="550" customFormat="1" ht="12.75">
      <c r="A13" s="540"/>
      <c r="B13" s="541"/>
      <c r="C13" s="541"/>
      <c r="D13" s="542" t="s">
        <v>43</v>
      </c>
      <c r="E13" s="542"/>
      <c r="F13" s="543">
        <v>11</v>
      </c>
      <c r="G13" s="544"/>
      <c r="H13" s="545"/>
      <c r="I13" s="546"/>
      <c r="J13" s="547"/>
      <c r="K13" s="547"/>
      <c r="L13" s="548"/>
      <c r="M13" s="548"/>
      <c r="N13" s="546"/>
      <c r="O13" s="546"/>
      <c r="P13" s="549"/>
    </row>
    <row r="14" spans="1:16" s="550" customFormat="1" ht="12.75">
      <c r="A14" s="540"/>
      <c r="B14" s="541"/>
      <c r="C14" s="541"/>
      <c r="D14" s="542" t="s">
        <v>77</v>
      </c>
      <c r="E14" s="542"/>
      <c r="F14" s="543">
        <v>12</v>
      </c>
      <c r="G14" s="544"/>
      <c r="H14" s="545"/>
      <c r="I14" s="546"/>
      <c r="J14" s="547"/>
      <c r="K14" s="547"/>
      <c r="L14" s="548"/>
      <c r="M14" s="548"/>
      <c r="N14" s="546"/>
      <c r="O14" s="546"/>
      <c r="P14" s="549"/>
    </row>
    <row r="15" spans="1:16" s="550" customFormat="1" ht="12.75">
      <c r="A15" s="540"/>
      <c r="B15" s="541"/>
      <c r="C15" s="542"/>
      <c r="D15" s="542" t="s">
        <v>23</v>
      </c>
      <c r="E15" s="542"/>
      <c r="F15" s="543">
        <v>13</v>
      </c>
      <c r="G15" s="544"/>
      <c r="H15" s="545"/>
      <c r="I15" s="546"/>
      <c r="J15" s="547"/>
      <c r="K15" s="547"/>
      <c r="L15" s="548"/>
      <c r="M15" s="548"/>
      <c r="N15" s="546"/>
      <c r="O15" s="546"/>
      <c r="P15" s="549"/>
    </row>
    <row r="16" spans="1:16" s="935" customFormat="1" ht="11.25" hidden="1">
      <c r="A16" s="927"/>
      <c r="B16" s="928"/>
      <c r="C16" s="929"/>
      <c r="D16" s="929"/>
      <c r="E16" s="929" t="s">
        <v>382</v>
      </c>
      <c r="F16" s="930" t="s">
        <v>380</v>
      </c>
      <c r="G16" s="792"/>
      <c r="H16" s="931"/>
      <c r="I16" s="932"/>
      <c r="J16" s="933"/>
      <c r="K16" s="933"/>
      <c r="L16" s="934"/>
      <c r="M16" s="934"/>
      <c r="N16" s="932"/>
      <c r="O16" s="932"/>
      <c r="P16" s="549"/>
    </row>
    <row r="17" spans="1:16" s="935" customFormat="1" ht="11.25" hidden="1">
      <c r="A17" s="927"/>
      <c r="B17" s="928"/>
      <c r="C17" s="929"/>
      <c r="D17" s="929"/>
      <c r="E17" s="929" t="s">
        <v>523</v>
      </c>
      <c r="F17" s="930" t="s">
        <v>381</v>
      </c>
      <c r="G17" s="792"/>
      <c r="H17" s="931"/>
      <c r="I17" s="932"/>
      <c r="J17" s="933"/>
      <c r="K17" s="933"/>
      <c r="L17" s="934"/>
      <c r="M17" s="934"/>
      <c r="N17" s="932"/>
      <c r="O17" s="932"/>
      <c r="P17" s="549"/>
    </row>
    <row r="18" spans="1:16" s="9" customFormat="1" ht="12.75">
      <c r="A18" s="10"/>
      <c r="B18" s="44" t="s">
        <v>78</v>
      </c>
      <c r="C18" s="18"/>
      <c r="D18" s="18"/>
      <c r="E18" s="18"/>
      <c r="F18" s="42">
        <v>14</v>
      </c>
      <c r="G18" s="43" t="s">
        <v>79</v>
      </c>
      <c r="H18" s="551"/>
      <c r="I18" s="552"/>
      <c r="J18" s="553"/>
      <c r="K18" s="553"/>
      <c r="L18" s="554"/>
      <c r="M18" s="554"/>
      <c r="N18" s="555"/>
      <c r="O18" s="555"/>
      <c r="P18" s="556"/>
    </row>
    <row r="19" spans="1:16" s="9" customFormat="1" ht="12.75">
      <c r="A19" s="10"/>
      <c r="B19" s="44" t="s">
        <v>80</v>
      </c>
      <c r="C19" s="18"/>
      <c r="D19" s="18"/>
      <c r="E19" s="18"/>
      <c r="F19" s="42">
        <v>15</v>
      </c>
      <c r="G19" s="43" t="s">
        <v>81</v>
      </c>
      <c r="H19" s="551"/>
      <c r="I19" s="552"/>
      <c r="J19" s="553"/>
      <c r="K19" s="553"/>
      <c r="L19" s="554"/>
      <c r="M19" s="554"/>
      <c r="N19" s="555"/>
      <c r="O19" s="555"/>
      <c r="P19" s="556"/>
    </row>
    <row r="20" spans="1:16" s="9" customFormat="1" ht="12.75">
      <c r="A20" s="10"/>
      <c r="B20" s="354" t="s">
        <v>82</v>
      </c>
      <c r="C20" s="355"/>
      <c r="D20" s="355"/>
      <c r="E20" s="355"/>
      <c r="F20" s="139">
        <v>16</v>
      </c>
      <c r="G20" s="356" t="s">
        <v>224</v>
      </c>
      <c r="H20" s="551"/>
      <c r="I20" s="552"/>
      <c r="J20" s="553"/>
      <c r="K20" s="553"/>
      <c r="L20" s="554"/>
      <c r="M20" s="554"/>
      <c r="N20" s="555"/>
      <c r="O20" s="555"/>
      <c r="P20" s="556"/>
    </row>
    <row r="21" spans="1:16" s="9" customFormat="1" ht="12.75">
      <c r="A21" s="10"/>
      <c r="B21" s="354" t="s">
        <v>83</v>
      </c>
      <c r="C21" s="355"/>
      <c r="D21" s="355"/>
      <c r="E21" s="355"/>
      <c r="F21" s="139">
        <v>17</v>
      </c>
      <c r="G21" s="357" t="s">
        <v>84</v>
      </c>
      <c r="H21" s="551"/>
      <c r="I21" s="552"/>
      <c r="J21" s="553"/>
      <c r="K21" s="553"/>
      <c r="L21" s="554"/>
      <c r="M21" s="554"/>
      <c r="N21" s="555"/>
      <c r="O21" s="555"/>
      <c r="P21" s="556"/>
    </row>
    <row r="22" spans="1:16" s="9" customFormat="1" ht="12.75">
      <c r="A22" s="10"/>
      <c r="B22" s="354" t="s">
        <v>85</v>
      </c>
      <c r="C22" s="354"/>
      <c r="D22" s="354"/>
      <c r="E22" s="355"/>
      <c r="F22" s="139">
        <v>18</v>
      </c>
      <c r="G22" s="357" t="s">
        <v>225</v>
      </c>
      <c r="H22" s="551"/>
      <c r="I22" s="552"/>
      <c r="J22" s="553"/>
      <c r="K22" s="553"/>
      <c r="L22" s="554"/>
      <c r="M22" s="554"/>
      <c r="N22" s="555"/>
      <c r="O22" s="555"/>
      <c r="P22" s="556"/>
    </row>
    <row r="23" spans="1:17" s="9" customFormat="1" ht="12.75">
      <c r="A23" s="10"/>
      <c r="B23" s="354" t="s">
        <v>421</v>
      </c>
      <c r="C23" s="354"/>
      <c r="D23" s="354"/>
      <c r="E23" s="355"/>
      <c r="F23" s="139">
        <v>19</v>
      </c>
      <c r="G23" s="357" t="s">
        <v>226</v>
      </c>
      <c r="H23" s="551"/>
      <c r="I23" s="552"/>
      <c r="J23" s="553"/>
      <c r="K23" s="553"/>
      <c r="L23" s="554"/>
      <c r="M23" s="554"/>
      <c r="N23" s="555"/>
      <c r="O23" s="555"/>
      <c r="P23" s="556"/>
      <c r="Q23" s="573" t="s">
        <v>532</v>
      </c>
    </row>
    <row r="24" spans="1:17" s="9" customFormat="1" ht="12.75">
      <c r="A24" s="10"/>
      <c r="B24" s="354" t="s">
        <v>259</v>
      </c>
      <c r="C24" s="354"/>
      <c r="D24" s="354"/>
      <c r="E24" s="355"/>
      <c r="F24" s="139">
        <v>20</v>
      </c>
      <c r="G24" s="357" t="s">
        <v>86</v>
      </c>
      <c r="H24" s="551"/>
      <c r="I24" s="552"/>
      <c r="J24" s="555"/>
      <c r="K24" s="554"/>
      <c r="L24" s="554"/>
      <c r="M24" s="554"/>
      <c r="N24" s="555"/>
      <c r="O24" s="555"/>
      <c r="P24" s="556"/>
      <c r="Q24" s="573" t="s">
        <v>533</v>
      </c>
    </row>
    <row r="25" spans="1:17" s="9" customFormat="1" ht="12.75">
      <c r="A25" s="10"/>
      <c r="B25" s="354" t="s">
        <v>87</v>
      </c>
      <c r="C25" s="354"/>
      <c r="D25" s="354"/>
      <c r="E25" s="355"/>
      <c r="F25" s="139">
        <v>21</v>
      </c>
      <c r="G25" s="557">
        <v>2121</v>
      </c>
      <c r="H25" s="551"/>
      <c r="I25" s="552"/>
      <c r="J25" s="555"/>
      <c r="K25" s="554"/>
      <c r="L25" s="554"/>
      <c r="M25" s="554"/>
      <c r="N25" s="555"/>
      <c r="O25" s="555"/>
      <c r="P25" s="556"/>
      <c r="Q25" s="573"/>
    </row>
    <row r="26" spans="1:17" s="9" customFormat="1" ht="12.75">
      <c r="A26" s="10"/>
      <c r="B26" s="354" t="s">
        <v>88</v>
      </c>
      <c r="C26" s="354"/>
      <c r="D26" s="354"/>
      <c r="E26" s="355"/>
      <c r="F26" s="139">
        <v>22</v>
      </c>
      <c r="G26" s="357" t="s">
        <v>524</v>
      </c>
      <c r="H26" s="551"/>
      <c r="I26" s="552"/>
      <c r="J26" s="555"/>
      <c r="K26" s="554"/>
      <c r="L26" s="554"/>
      <c r="M26" s="554"/>
      <c r="N26" s="555"/>
      <c r="O26" s="555"/>
      <c r="P26" s="556"/>
      <c r="Q26" s="573"/>
    </row>
    <row r="27" spans="1:17" s="9" customFormat="1" ht="12.75">
      <c r="A27" s="10"/>
      <c r="B27" s="354" t="s">
        <v>536</v>
      </c>
      <c r="C27" s="354"/>
      <c r="D27" s="354"/>
      <c r="E27" s="355"/>
      <c r="F27" s="139">
        <v>23</v>
      </c>
      <c r="G27" s="357" t="s">
        <v>537</v>
      </c>
      <c r="H27" s="551"/>
      <c r="I27" s="552"/>
      <c r="J27" s="555"/>
      <c r="K27" s="554"/>
      <c r="L27" s="554"/>
      <c r="M27" s="554"/>
      <c r="N27" s="555"/>
      <c r="O27" s="555"/>
      <c r="P27" s="556"/>
      <c r="Q27" s="573" t="s">
        <v>534</v>
      </c>
    </row>
    <row r="28" spans="1:17" s="9" customFormat="1" ht="12.75">
      <c r="A28" s="10"/>
      <c r="B28" s="354" t="s">
        <v>260</v>
      </c>
      <c r="C28" s="354"/>
      <c r="D28" s="354"/>
      <c r="E28" s="355"/>
      <c r="F28" s="139">
        <v>24</v>
      </c>
      <c r="G28" s="357" t="s">
        <v>228</v>
      </c>
      <c r="H28" s="551"/>
      <c r="I28" s="552"/>
      <c r="J28" s="555"/>
      <c r="K28" s="554"/>
      <c r="L28" s="554"/>
      <c r="M28" s="554"/>
      <c r="N28" s="555"/>
      <c r="O28" s="555"/>
      <c r="P28" s="556"/>
      <c r="Q28" s="573" t="s">
        <v>535</v>
      </c>
    </row>
    <row r="29" spans="1:17" s="9" customFormat="1" ht="13.5" thickBot="1">
      <c r="A29" s="10"/>
      <c r="B29" s="44" t="s">
        <v>89</v>
      </c>
      <c r="C29" s="44"/>
      <c r="D29" s="44"/>
      <c r="E29" s="18"/>
      <c r="F29" s="42">
        <v>25</v>
      </c>
      <c r="G29" s="45" t="s">
        <v>90</v>
      </c>
      <c r="H29" s="551"/>
      <c r="I29" s="552"/>
      <c r="J29" s="555"/>
      <c r="K29" s="554"/>
      <c r="L29" s="554"/>
      <c r="M29" s="554"/>
      <c r="N29" s="555"/>
      <c r="O29" s="555"/>
      <c r="P29" s="556"/>
      <c r="Q29" s="573"/>
    </row>
    <row r="30" spans="1:17" ht="13.5" thickBot="1">
      <c r="A30" s="86" t="s">
        <v>229</v>
      </c>
      <c r="B30" s="87"/>
      <c r="C30" s="87"/>
      <c r="D30" s="87"/>
      <c r="E30" s="87"/>
      <c r="F30" s="88">
        <v>26</v>
      </c>
      <c r="G30" s="89"/>
      <c r="H30" s="65">
        <f aca="true" t="shared" si="2" ref="H30:P30">SUM(H31:H47)</f>
        <v>0</v>
      </c>
      <c r="I30" s="531">
        <f t="shared" si="2"/>
        <v>0</v>
      </c>
      <c r="J30" s="532">
        <f t="shared" si="2"/>
        <v>0</v>
      </c>
      <c r="K30" s="533">
        <f t="shared" si="2"/>
        <v>0</v>
      </c>
      <c r="L30" s="533">
        <f t="shared" si="2"/>
        <v>0</v>
      </c>
      <c r="M30" s="533">
        <f t="shared" si="2"/>
        <v>0</v>
      </c>
      <c r="N30" s="532">
        <f t="shared" si="2"/>
        <v>0</v>
      </c>
      <c r="O30" s="532">
        <f t="shared" si="2"/>
        <v>0</v>
      </c>
      <c r="P30" s="534">
        <f t="shared" si="2"/>
        <v>0</v>
      </c>
      <c r="Q30" s="573"/>
    </row>
    <row r="31" spans="1:17" s="9" customFormat="1" ht="12.75">
      <c r="A31" s="10" t="s">
        <v>68</v>
      </c>
      <c r="B31" s="18" t="s">
        <v>230</v>
      </c>
      <c r="C31" s="18"/>
      <c r="D31" s="18"/>
      <c r="E31" s="18"/>
      <c r="F31" s="42">
        <v>27</v>
      </c>
      <c r="G31" s="43" t="s">
        <v>91</v>
      </c>
      <c r="H31" s="535"/>
      <c r="I31" s="536"/>
      <c r="J31" s="537"/>
      <c r="K31" s="538"/>
      <c r="L31" s="538"/>
      <c r="M31" s="538"/>
      <c r="N31" s="537"/>
      <c r="O31" s="537"/>
      <c r="P31" s="539"/>
      <c r="Q31" s="573"/>
    </row>
    <row r="32" spans="1:17" s="9" customFormat="1" ht="12.75">
      <c r="A32" s="10"/>
      <c r="B32" s="44" t="s">
        <v>78</v>
      </c>
      <c r="C32" s="44"/>
      <c r="D32" s="44"/>
      <c r="E32" s="18"/>
      <c r="F32" s="42">
        <v>28</v>
      </c>
      <c r="G32" s="45" t="s">
        <v>79</v>
      </c>
      <c r="H32" s="558"/>
      <c r="I32" s="559"/>
      <c r="J32" s="560"/>
      <c r="K32" s="561"/>
      <c r="L32" s="561"/>
      <c r="M32" s="561"/>
      <c r="N32" s="560"/>
      <c r="O32" s="560"/>
      <c r="P32" s="562"/>
      <c r="Q32" s="573"/>
    </row>
    <row r="33" spans="1:17" s="9" customFormat="1" ht="12.75">
      <c r="A33" s="10"/>
      <c r="B33" s="44" t="s">
        <v>80</v>
      </c>
      <c r="C33" s="44"/>
      <c r="D33" s="44"/>
      <c r="E33" s="18"/>
      <c r="F33" s="42">
        <v>29</v>
      </c>
      <c r="G33" s="45" t="s">
        <v>81</v>
      </c>
      <c r="H33" s="558"/>
      <c r="I33" s="559"/>
      <c r="J33" s="560"/>
      <c r="K33" s="561"/>
      <c r="L33" s="561"/>
      <c r="M33" s="561"/>
      <c r="N33" s="560"/>
      <c r="O33" s="560"/>
      <c r="P33" s="562"/>
      <c r="Q33" s="573"/>
    </row>
    <row r="34" spans="1:17" s="9" customFormat="1" ht="12.75">
      <c r="A34" s="10"/>
      <c r="B34" s="354" t="s">
        <v>82</v>
      </c>
      <c r="C34" s="355"/>
      <c r="D34" s="355"/>
      <c r="E34" s="355"/>
      <c r="F34" s="139">
        <v>30</v>
      </c>
      <c r="G34" s="356" t="s">
        <v>224</v>
      </c>
      <c r="H34" s="558"/>
      <c r="I34" s="559"/>
      <c r="J34" s="560"/>
      <c r="K34" s="561"/>
      <c r="L34" s="561"/>
      <c r="M34" s="561"/>
      <c r="N34" s="560"/>
      <c r="O34" s="560"/>
      <c r="P34" s="562"/>
      <c r="Q34" s="573"/>
    </row>
    <row r="35" spans="1:17" s="9" customFormat="1" ht="12.75">
      <c r="A35" s="10"/>
      <c r="B35" s="354" t="s">
        <v>83</v>
      </c>
      <c r="C35" s="354"/>
      <c r="D35" s="354"/>
      <c r="E35" s="355"/>
      <c r="F35" s="139">
        <v>31</v>
      </c>
      <c r="G35" s="357" t="s">
        <v>84</v>
      </c>
      <c r="H35" s="558"/>
      <c r="I35" s="559"/>
      <c r="J35" s="560"/>
      <c r="K35" s="561"/>
      <c r="L35" s="561"/>
      <c r="M35" s="561"/>
      <c r="N35" s="560"/>
      <c r="O35" s="560"/>
      <c r="P35" s="562"/>
      <c r="Q35" s="573"/>
    </row>
    <row r="36" spans="1:17" s="9" customFormat="1" ht="12.75">
      <c r="A36" s="10"/>
      <c r="B36" s="354" t="s">
        <v>231</v>
      </c>
      <c r="C36" s="354"/>
      <c r="D36" s="354"/>
      <c r="E36" s="355"/>
      <c r="F36" s="139">
        <v>32</v>
      </c>
      <c r="G36" s="357" t="s">
        <v>232</v>
      </c>
      <c r="H36" s="558"/>
      <c r="I36" s="559"/>
      <c r="J36" s="560"/>
      <c r="K36" s="561"/>
      <c r="L36" s="561"/>
      <c r="M36" s="561"/>
      <c r="N36" s="560"/>
      <c r="O36" s="560"/>
      <c r="P36" s="562"/>
      <c r="Q36" s="573"/>
    </row>
    <row r="37" spans="1:17" s="9" customFormat="1" ht="12.75">
      <c r="A37" s="10"/>
      <c r="B37" s="354" t="s">
        <v>85</v>
      </c>
      <c r="C37" s="354"/>
      <c r="D37" s="354"/>
      <c r="E37" s="355"/>
      <c r="F37" s="139">
        <v>33</v>
      </c>
      <c r="G37" s="357" t="s">
        <v>225</v>
      </c>
      <c r="H37" s="558"/>
      <c r="I37" s="559"/>
      <c r="J37" s="560"/>
      <c r="K37" s="561"/>
      <c r="L37" s="561"/>
      <c r="M37" s="561"/>
      <c r="N37" s="560"/>
      <c r="O37" s="560"/>
      <c r="P37" s="562"/>
      <c r="Q37" s="573"/>
    </row>
    <row r="38" spans="1:17" s="9" customFormat="1" ht="12.75">
      <c r="A38" s="10"/>
      <c r="B38" s="354" t="s">
        <v>421</v>
      </c>
      <c r="C38" s="354"/>
      <c r="D38" s="354"/>
      <c r="E38" s="355"/>
      <c r="F38" s="139">
        <v>34</v>
      </c>
      <c r="G38" s="357" t="s">
        <v>226</v>
      </c>
      <c r="H38" s="558"/>
      <c r="I38" s="559"/>
      <c r="J38" s="560"/>
      <c r="K38" s="561"/>
      <c r="L38" s="561"/>
      <c r="M38" s="561"/>
      <c r="N38" s="560"/>
      <c r="O38" s="560"/>
      <c r="P38" s="562"/>
      <c r="Q38" s="573" t="s">
        <v>532</v>
      </c>
    </row>
    <row r="39" spans="1:17" s="9" customFormat="1" ht="12.75">
      <c r="A39" s="10"/>
      <c r="B39" s="354" t="s">
        <v>233</v>
      </c>
      <c r="C39" s="354"/>
      <c r="D39" s="354"/>
      <c r="E39" s="355"/>
      <c r="F39" s="139">
        <v>35</v>
      </c>
      <c r="G39" s="357" t="s">
        <v>86</v>
      </c>
      <c r="H39" s="558"/>
      <c r="I39" s="559"/>
      <c r="J39" s="560"/>
      <c r="K39" s="561"/>
      <c r="L39" s="561"/>
      <c r="M39" s="561"/>
      <c r="N39" s="560"/>
      <c r="O39" s="560"/>
      <c r="P39" s="562"/>
      <c r="Q39" s="573" t="s">
        <v>533</v>
      </c>
    </row>
    <row r="40" spans="1:17" s="9" customFormat="1" ht="12.75">
      <c r="A40" s="10"/>
      <c r="B40" s="354" t="s">
        <v>379</v>
      </c>
      <c r="C40" s="354"/>
      <c r="D40" s="354"/>
      <c r="E40" s="355"/>
      <c r="F40" s="139">
        <v>36</v>
      </c>
      <c r="G40" s="357" t="s">
        <v>538</v>
      </c>
      <c r="H40" s="558"/>
      <c r="I40" s="559"/>
      <c r="J40" s="560"/>
      <c r="K40" s="561"/>
      <c r="L40" s="561"/>
      <c r="M40" s="561"/>
      <c r="N40" s="560"/>
      <c r="O40" s="560"/>
      <c r="P40" s="562"/>
      <c r="Q40" s="573"/>
    </row>
    <row r="41" spans="1:17" s="9" customFormat="1" ht="12.75">
      <c r="A41" s="10"/>
      <c r="B41" s="354" t="s">
        <v>234</v>
      </c>
      <c r="C41" s="354"/>
      <c r="D41" s="354"/>
      <c r="E41" s="355"/>
      <c r="F41" s="139">
        <v>37</v>
      </c>
      <c r="G41" s="557">
        <v>2121</v>
      </c>
      <c r="H41" s="558"/>
      <c r="I41" s="559"/>
      <c r="J41" s="560"/>
      <c r="K41" s="561"/>
      <c r="L41" s="561"/>
      <c r="M41" s="561"/>
      <c r="N41" s="560"/>
      <c r="O41" s="560"/>
      <c r="P41" s="562"/>
      <c r="Q41" s="573"/>
    </row>
    <row r="42" spans="1:17" s="9" customFormat="1" ht="12.75">
      <c r="A42" s="10"/>
      <c r="B42" s="354" t="s">
        <v>235</v>
      </c>
      <c r="C42" s="354"/>
      <c r="D42" s="354"/>
      <c r="E42" s="355"/>
      <c r="F42" s="139">
        <v>38</v>
      </c>
      <c r="G42" s="357" t="s">
        <v>524</v>
      </c>
      <c r="H42" s="558"/>
      <c r="I42" s="559"/>
      <c r="J42" s="560"/>
      <c r="K42" s="561"/>
      <c r="L42" s="561"/>
      <c r="M42" s="561"/>
      <c r="N42" s="560"/>
      <c r="O42" s="560"/>
      <c r="P42" s="562"/>
      <c r="Q42" s="573"/>
    </row>
    <row r="43" spans="1:17" s="9" customFormat="1" ht="12.75">
      <c r="A43" s="10"/>
      <c r="B43" s="354" t="s">
        <v>536</v>
      </c>
      <c r="C43" s="354"/>
      <c r="D43" s="354"/>
      <c r="E43" s="355"/>
      <c r="F43" s="139">
        <v>39</v>
      </c>
      <c r="G43" s="357" t="s">
        <v>537</v>
      </c>
      <c r="H43" s="558"/>
      <c r="I43" s="559"/>
      <c r="J43" s="560"/>
      <c r="K43" s="561"/>
      <c r="L43" s="561"/>
      <c r="M43" s="561"/>
      <c r="N43" s="560"/>
      <c r="O43" s="560"/>
      <c r="P43" s="562"/>
      <c r="Q43" s="573" t="s">
        <v>534</v>
      </c>
    </row>
    <row r="44" spans="1:17" s="9" customFormat="1" ht="12.75">
      <c r="A44" s="10"/>
      <c r="B44" s="354" t="s">
        <v>227</v>
      </c>
      <c r="C44" s="354"/>
      <c r="D44" s="354"/>
      <c r="E44" s="355"/>
      <c r="F44" s="139">
        <v>40</v>
      </c>
      <c r="G44" s="357" t="s">
        <v>228</v>
      </c>
      <c r="H44" s="558"/>
      <c r="I44" s="559"/>
      <c r="J44" s="560"/>
      <c r="K44" s="561"/>
      <c r="L44" s="561"/>
      <c r="M44" s="561"/>
      <c r="N44" s="560"/>
      <c r="O44" s="560"/>
      <c r="P44" s="562"/>
      <c r="Q44" s="573" t="s">
        <v>535</v>
      </c>
    </row>
    <row r="45" spans="1:16" s="9" customFormat="1" ht="12.75">
      <c r="A45" s="10"/>
      <c r="B45" s="354" t="s">
        <v>236</v>
      </c>
      <c r="C45" s="354"/>
      <c r="D45" s="354"/>
      <c r="E45" s="355"/>
      <c r="F45" s="139">
        <v>41</v>
      </c>
      <c r="G45" s="357" t="s">
        <v>122</v>
      </c>
      <c r="H45" s="558"/>
      <c r="I45" s="559"/>
      <c r="J45" s="560"/>
      <c r="K45" s="561"/>
      <c r="L45" s="561"/>
      <c r="M45" s="561"/>
      <c r="N45" s="560"/>
      <c r="O45" s="560"/>
      <c r="P45" s="562"/>
    </row>
    <row r="46" spans="1:16" s="9" customFormat="1" ht="12.75">
      <c r="A46" s="10"/>
      <c r="B46" s="354" t="s">
        <v>92</v>
      </c>
      <c r="C46" s="354"/>
      <c r="D46" s="354"/>
      <c r="E46" s="355"/>
      <c r="F46" s="139">
        <v>42</v>
      </c>
      <c r="G46" s="357" t="s">
        <v>422</v>
      </c>
      <c r="H46" s="558"/>
      <c r="I46" s="559"/>
      <c r="J46" s="560"/>
      <c r="K46" s="561"/>
      <c r="L46" s="561"/>
      <c r="M46" s="561"/>
      <c r="N46" s="560"/>
      <c r="O46" s="560"/>
      <c r="P46" s="562"/>
    </row>
    <row r="47" spans="1:16" s="9" customFormat="1" ht="12.75">
      <c r="A47" s="84"/>
      <c r="B47" s="142" t="s">
        <v>89</v>
      </c>
      <c r="C47" s="142"/>
      <c r="D47" s="142"/>
      <c r="E47" s="142"/>
      <c r="F47" s="358">
        <v>43</v>
      </c>
      <c r="G47" s="143" t="s">
        <v>90</v>
      </c>
      <c r="H47" s="563"/>
      <c r="I47" s="564"/>
      <c r="J47" s="565"/>
      <c r="K47" s="566"/>
      <c r="L47" s="566"/>
      <c r="M47" s="566"/>
      <c r="N47" s="565"/>
      <c r="O47" s="565"/>
      <c r="P47" s="567"/>
    </row>
    <row r="48" spans="1:16" s="9" customFormat="1" ht="13.5" thickBot="1">
      <c r="A48" s="140" t="s">
        <v>237</v>
      </c>
      <c r="B48" s="46"/>
      <c r="C48" s="46"/>
      <c r="D48" s="46"/>
      <c r="E48" s="791"/>
      <c r="F48" s="42">
        <v>44</v>
      </c>
      <c r="G48" s="141"/>
      <c r="H48" s="568"/>
      <c r="I48" s="569"/>
      <c r="J48" s="570"/>
      <c r="K48" s="571"/>
      <c r="L48" s="571"/>
      <c r="M48" s="571"/>
      <c r="N48" s="570"/>
      <c r="O48" s="570"/>
      <c r="P48" s="572"/>
    </row>
    <row r="49" spans="1:16" ht="13.5" thickBot="1">
      <c r="A49" s="86" t="s">
        <v>238</v>
      </c>
      <c r="B49" s="87"/>
      <c r="C49" s="87"/>
      <c r="D49" s="87"/>
      <c r="E49" s="87"/>
      <c r="F49" s="88">
        <v>45</v>
      </c>
      <c r="G49" s="89"/>
      <c r="H49" s="65">
        <f aca="true" t="shared" si="3" ref="H49:P49">H30-H3</f>
        <v>0</v>
      </c>
      <c r="I49" s="531">
        <f t="shared" si="3"/>
        <v>0</v>
      </c>
      <c r="J49" s="532">
        <f t="shared" si="3"/>
        <v>0</v>
      </c>
      <c r="K49" s="533">
        <f t="shared" si="3"/>
        <v>0</v>
      </c>
      <c r="L49" s="533">
        <f t="shared" si="3"/>
        <v>0</v>
      </c>
      <c r="M49" s="533">
        <f t="shared" si="3"/>
        <v>0</v>
      </c>
      <c r="N49" s="532">
        <f t="shared" si="3"/>
        <v>0</v>
      </c>
      <c r="O49" s="532">
        <f t="shared" si="3"/>
        <v>0</v>
      </c>
      <c r="P49" s="534">
        <f t="shared" si="3"/>
        <v>0</v>
      </c>
    </row>
    <row r="50" spans="1:7" ht="12.75">
      <c r="A50" s="8" t="s">
        <v>123</v>
      </c>
      <c r="B50" s="8"/>
      <c r="C50" s="8"/>
      <c r="D50" s="8"/>
      <c r="E50" s="8"/>
      <c r="F50" s="47"/>
      <c r="G50" s="48" t="s">
        <v>124</v>
      </c>
    </row>
    <row r="51" spans="6:16" s="8" customFormat="1" ht="12.75">
      <c r="F51" s="47"/>
      <c r="G51" s="48"/>
      <c r="H51" s="1"/>
      <c r="J51" s="93"/>
      <c r="K51" s="93"/>
      <c r="L51" s="93"/>
      <c r="M51" s="93"/>
      <c r="N51" s="93"/>
      <c r="O51" s="93"/>
      <c r="P51" s="98"/>
    </row>
    <row r="52" spans="1:16" s="8" customFormat="1" ht="12.75">
      <c r="A52" s="359" t="s">
        <v>239</v>
      </c>
      <c r="F52" s="47"/>
      <c r="G52" s="48"/>
      <c r="H52" s="1"/>
      <c r="J52" s="93"/>
      <c r="K52" s="93"/>
      <c r="L52" s="93"/>
      <c r="M52" s="93"/>
      <c r="N52" s="93"/>
      <c r="O52" s="93"/>
      <c r="P52" s="98"/>
    </row>
    <row r="53" spans="1:16" s="8" customFormat="1" ht="12.75">
      <c r="A53" s="359" t="s">
        <v>351</v>
      </c>
      <c r="F53" s="47"/>
      <c r="G53" s="48"/>
      <c r="H53" s="1"/>
      <c r="J53" s="93"/>
      <c r="K53" s="93"/>
      <c r="L53" s="93"/>
      <c r="M53" s="93"/>
      <c r="N53" s="93"/>
      <c r="O53" s="93"/>
      <c r="P53" s="98"/>
    </row>
    <row r="54" spans="1:16" s="8" customFormat="1" ht="12.75">
      <c r="A54" s="359" t="s">
        <v>240</v>
      </c>
      <c r="F54" s="47"/>
      <c r="G54" s="48"/>
      <c r="H54" s="360"/>
      <c r="J54" s="93"/>
      <c r="K54" s="93"/>
      <c r="L54" s="93"/>
      <c r="M54" s="93"/>
      <c r="N54" s="93"/>
      <c r="O54" s="93"/>
      <c r="P54" s="98"/>
    </row>
    <row r="55" spans="1:16" s="359" customFormat="1" ht="12.75">
      <c r="A55" s="1412" t="s">
        <v>241</v>
      </c>
      <c r="F55" s="361"/>
      <c r="G55" s="362"/>
      <c r="H55" s="363"/>
      <c r="J55" s="364"/>
      <c r="K55" s="364"/>
      <c r="L55" s="364"/>
      <c r="M55" s="364"/>
      <c r="N55" s="364"/>
      <c r="O55" s="364"/>
      <c r="P55" s="573"/>
    </row>
    <row r="56" spans="1:16" s="359" customFormat="1" ht="12.75">
      <c r="A56" s="359" t="s">
        <v>263</v>
      </c>
      <c r="F56" s="361"/>
      <c r="G56" s="362"/>
      <c r="H56" s="363"/>
      <c r="J56" s="364"/>
      <c r="K56" s="364"/>
      <c r="L56" s="364"/>
      <c r="M56" s="364"/>
      <c r="N56" s="364"/>
      <c r="O56" s="364"/>
      <c r="P56" s="573"/>
    </row>
    <row r="57" spans="1:16" s="359" customFormat="1" ht="12.75">
      <c r="A57" s="359" t="s">
        <v>242</v>
      </c>
      <c r="F57" s="361"/>
      <c r="G57" s="362"/>
      <c r="H57" s="363"/>
      <c r="J57" s="364"/>
      <c r="K57" s="364"/>
      <c r="L57" s="364"/>
      <c r="M57" s="364"/>
      <c r="N57" s="364"/>
      <c r="O57" s="364"/>
      <c r="P57" s="573"/>
    </row>
    <row r="58" spans="1:16" s="8" customFormat="1" ht="12.75">
      <c r="A58" s="359"/>
      <c r="B58" s="359"/>
      <c r="C58" s="359"/>
      <c r="D58" s="359"/>
      <c r="E58" s="359"/>
      <c r="F58" s="47"/>
      <c r="G58" s="48"/>
      <c r="H58" s="1"/>
      <c r="J58" s="93"/>
      <c r="K58" s="93"/>
      <c r="L58" s="93"/>
      <c r="M58" s="93"/>
      <c r="N58" s="93"/>
      <c r="O58" s="93"/>
      <c r="P58" s="98"/>
    </row>
    <row r="59" spans="1:15" s="98" customFormat="1" ht="12.75">
      <c r="A59" s="359"/>
      <c r="B59" s="359"/>
      <c r="C59" s="359"/>
      <c r="D59" s="359"/>
      <c r="E59" s="359"/>
      <c r="F59" s="104"/>
      <c r="G59" s="365"/>
      <c r="H59" s="1"/>
      <c r="J59" s="93"/>
      <c r="K59" s="93"/>
      <c r="L59" s="93"/>
      <c r="M59" s="93"/>
      <c r="N59" s="93"/>
      <c r="O59" s="93"/>
    </row>
    <row r="60" spans="1:15" s="98" customFormat="1" ht="12.75">
      <c r="A60" s="359"/>
      <c r="B60" s="359"/>
      <c r="C60" s="359"/>
      <c r="D60" s="359"/>
      <c r="E60" s="359"/>
      <c r="F60" s="104"/>
      <c r="G60" s="365"/>
      <c r="H60" s="1"/>
      <c r="J60" s="93"/>
      <c r="K60" s="93"/>
      <c r="L60" s="93"/>
      <c r="M60" s="93"/>
      <c r="N60" s="93"/>
      <c r="O60" s="93"/>
    </row>
    <row r="61" spans="1:15" s="98" customFormat="1" ht="12.75">
      <c r="A61" s="359"/>
      <c r="B61" s="359"/>
      <c r="C61" s="359"/>
      <c r="D61" s="359"/>
      <c r="E61" s="359"/>
      <c r="F61" s="104"/>
      <c r="G61" s="365"/>
      <c r="H61" s="1"/>
      <c r="J61" s="93"/>
      <c r="K61" s="93"/>
      <c r="L61" s="93"/>
      <c r="M61" s="93"/>
      <c r="N61" s="93"/>
      <c r="O61" s="93"/>
    </row>
  </sheetData>
  <mergeCells count="2">
    <mergeCell ref="A1:D1"/>
    <mergeCell ref="K1:O1"/>
  </mergeCells>
  <printOptions/>
  <pageMargins left="0.53" right="0.3" top="0.26" bottom="0.29" header="0.17" footer="0.2"/>
  <pageSetup horizontalDpi="600" verticalDpi="600" orientation="landscape" paperSize="9" scale="65" r:id="rId1"/>
  <headerFooter alignWithMargins="0">
    <oddFooter>&amp;R&amp;8Příloha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49"/>
  <sheetViews>
    <sheetView showGridLines="0" zoomScale="75" zoomScaleNormal="75" zoomScaleSheetLayoutView="75" workbookViewId="0" topLeftCell="B3">
      <selection activeCell="F20" sqref="F20"/>
    </sheetView>
  </sheetViews>
  <sheetFormatPr defaultColWidth="9.00390625" defaultRowHeight="33" customHeight="1"/>
  <cols>
    <col min="1" max="1" width="5.375" style="1008" hidden="1" customWidth="1"/>
    <col min="2" max="2" width="13.625" style="1009" customWidth="1"/>
    <col min="3" max="3" width="55.125" style="1010" customWidth="1"/>
    <col min="4" max="4" width="15.75390625" style="1011" customWidth="1"/>
    <col min="5" max="5" width="16.25390625" style="1012" customWidth="1"/>
    <col min="6" max="6" width="17.875" style="1013" customWidth="1"/>
    <col min="7" max="7" width="15.375" style="1013" hidden="1" customWidth="1"/>
    <col min="8" max="8" width="15.125" style="1014" hidden="1" customWidth="1"/>
    <col min="9" max="9" width="12.25390625" style="1014" hidden="1" customWidth="1"/>
    <col min="10" max="10" width="16.00390625" style="1011" hidden="1" customWidth="1"/>
    <col min="11" max="11" width="11.625" style="1011" hidden="1" customWidth="1"/>
    <col min="12" max="12" width="13.125" style="1011" hidden="1" customWidth="1"/>
    <col min="13" max="13" width="32.875" style="1011" hidden="1" customWidth="1"/>
    <col min="14" max="14" width="11.625" style="1016" hidden="1" customWidth="1"/>
    <col min="15" max="15" width="13.875" style="1016" hidden="1" customWidth="1"/>
    <col min="16" max="16" width="10.125" style="1016" hidden="1" customWidth="1"/>
    <col min="17" max="17" width="18.375" style="1016" hidden="1" customWidth="1"/>
    <col min="18" max="18" width="19.00390625" style="1015" hidden="1" customWidth="1"/>
    <col min="19" max="19" width="16.375" style="1013" customWidth="1"/>
    <col min="20" max="20" width="8.75390625" style="1013" customWidth="1"/>
    <col min="21" max="21" width="9.125" style="1013" hidden="1" customWidth="1"/>
    <col min="22" max="22" width="11.625" style="1013" bestFit="1" customWidth="1"/>
    <col min="23" max="56" width="9.125" style="1013" customWidth="1"/>
    <col min="57" max="16384" width="9.125" style="1008" customWidth="1"/>
  </cols>
  <sheetData>
    <row r="1" ht="33" customHeight="1" hidden="1">
      <c r="M1" s="1015" t="s">
        <v>429</v>
      </c>
    </row>
    <row r="2" spans="1:56" s="1022" customFormat="1" ht="36.75" customHeight="1" hidden="1">
      <c r="A2" s="1486"/>
      <c r="B2" s="1486"/>
      <c r="C2" s="1486"/>
      <c r="D2" s="1486"/>
      <c r="E2" s="1486"/>
      <c r="F2" s="1017"/>
      <c r="G2" s="1017"/>
      <c r="H2" s="1018"/>
      <c r="I2" s="1018"/>
      <c r="J2" s="1019"/>
      <c r="K2" s="1019"/>
      <c r="L2" s="1019"/>
      <c r="M2" s="1019"/>
      <c r="N2" s="1020"/>
      <c r="O2" s="1020"/>
      <c r="P2" s="1020"/>
      <c r="Q2" s="1020"/>
      <c r="R2" s="1021"/>
      <c r="S2" s="1017"/>
      <c r="T2" s="1017"/>
      <c r="U2" s="1017"/>
      <c r="V2" s="1017"/>
      <c r="W2" s="1017"/>
      <c r="X2" s="1017"/>
      <c r="Y2" s="1017"/>
      <c r="Z2" s="1017"/>
      <c r="AA2" s="1017"/>
      <c r="AB2" s="1017"/>
      <c r="AC2" s="1017"/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7"/>
      <c r="AQ2" s="1017"/>
      <c r="AR2" s="1017"/>
      <c r="AS2" s="1017"/>
      <c r="AT2" s="1017"/>
      <c r="AU2" s="1017"/>
      <c r="AV2" s="1017"/>
      <c r="AW2" s="1017"/>
      <c r="AX2" s="1017"/>
      <c r="AY2" s="1017"/>
      <c r="AZ2" s="1017"/>
      <c r="BA2" s="1017"/>
      <c r="BB2" s="1017"/>
      <c r="BC2" s="1017"/>
      <c r="BD2" s="1017"/>
    </row>
    <row r="3" spans="1:18" s="1046" customFormat="1" ht="51" customHeight="1" thickBot="1">
      <c r="A3" s="1045"/>
      <c r="B3" s="1487" t="s">
        <v>478</v>
      </c>
      <c r="C3" s="1487"/>
      <c r="D3" s="1487"/>
      <c r="E3" s="1487"/>
      <c r="H3" s="1047"/>
      <c r="I3" s="1047"/>
      <c r="J3" s="1048"/>
      <c r="K3" s="1048"/>
      <c r="L3" s="1048"/>
      <c r="M3" s="1048"/>
      <c r="N3" s="1049"/>
      <c r="O3" s="1049"/>
      <c r="P3" s="1049"/>
      <c r="Q3" s="1049"/>
      <c r="R3" s="1050"/>
    </row>
    <row r="4" spans="1:18" s="1059" customFormat="1" ht="15.75" thickBot="1">
      <c r="A4" s="1051" t="s">
        <v>430</v>
      </c>
      <c r="B4" s="1473" t="s">
        <v>431</v>
      </c>
      <c r="C4" s="1476" t="s">
        <v>252</v>
      </c>
      <c r="D4" s="1490" t="s">
        <v>253</v>
      </c>
      <c r="E4" s="1254" t="s">
        <v>316</v>
      </c>
      <c r="F4" s="1255" t="s">
        <v>46</v>
      </c>
      <c r="G4" s="1052" t="s">
        <v>432</v>
      </c>
      <c r="H4" s="1053" t="s">
        <v>433</v>
      </c>
      <c r="I4" s="1053" t="s">
        <v>434</v>
      </c>
      <c r="J4" s="1054" t="s">
        <v>435</v>
      </c>
      <c r="K4" s="1054" t="s">
        <v>436</v>
      </c>
      <c r="L4" s="1054" t="s">
        <v>437</v>
      </c>
      <c r="M4" s="1055" t="s">
        <v>438</v>
      </c>
      <c r="N4" s="1056" t="s">
        <v>439</v>
      </c>
      <c r="O4" s="1057"/>
      <c r="P4" s="1057"/>
      <c r="Q4" s="1057" t="s">
        <v>440</v>
      </c>
      <c r="R4" s="1058" t="s">
        <v>441</v>
      </c>
    </row>
    <row r="5" spans="1:18" s="1070" customFormat="1" ht="33" customHeight="1" hidden="1">
      <c r="A5" s="1060"/>
      <c r="B5" s="1474"/>
      <c r="C5" s="1477"/>
      <c r="D5" s="1491"/>
      <c r="E5" s="1204"/>
      <c r="F5" s="1061"/>
      <c r="G5" s="1062"/>
      <c r="H5" s="1063"/>
      <c r="I5" s="1063"/>
      <c r="J5" s="1064"/>
      <c r="K5" s="1064"/>
      <c r="L5" s="1065"/>
      <c r="M5" s="1066"/>
      <c r="N5" s="1067"/>
      <c r="O5" s="1068"/>
      <c r="P5" s="1068"/>
      <c r="Q5" s="1068"/>
      <c r="R5" s="1069"/>
    </row>
    <row r="6" spans="1:18" s="1070" customFormat="1" ht="33" customHeight="1" hidden="1">
      <c r="A6" s="1071"/>
      <c r="B6" s="1474"/>
      <c r="C6" s="1477"/>
      <c r="D6" s="1491"/>
      <c r="E6" s="1470"/>
      <c r="F6" s="1488"/>
      <c r="G6" s="1495"/>
      <c r="H6" s="1497"/>
      <c r="I6" s="1499">
        <f>F7-H6</f>
        <v>0</v>
      </c>
      <c r="J6" s="1465"/>
      <c r="K6" s="1493"/>
      <c r="L6" s="1073"/>
      <c r="M6" s="1458"/>
      <c r="N6" s="1468"/>
      <c r="O6" s="1469"/>
      <c r="P6" s="1469"/>
      <c r="Q6" s="1466">
        <f>N6+O6+P6</f>
        <v>0</v>
      </c>
      <c r="R6" s="1463">
        <f>H6-Q7</f>
        <v>0</v>
      </c>
    </row>
    <row r="7" spans="1:18" s="1070" customFormat="1" ht="33" customHeight="1" hidden="1">
      <c r="A7" s="1071"/>
      <c r="B7" s="1474"/>
      <c r="C7" s="1477"/>
      <c r="D7" s="1491"/>
      <c r="E7" s="1471"/>
      <c r="F7" s="1489"/>
      <c r="G7" s="1496"/>
      <c r="H7" s="1498"/>
      <c r="I7" s="1500"/>
      <c r="J7" s="1465"/>
      <c r="K7" s="1494"/>
      <c r="L7" s="1073"/>
      <c r="M7" s="1459"/>
      <c r="N7" s="1468"/>
      <c r="O7" s="1469"/>
      <c r="P7" s="1469"/>
      <c r="Q7" s="1467"/>
      <c r="R7" s="1463"/>
    </row>
    <row r="8" spans="1:18" s="1086" customFormat="1" ht="15" customHeight="1">
      <c r="A8" s="1077"/>
      <c r="B8" s="1475"/>
      <c r="C8" s="1478"/>
      <c r="D8" s="1492"/>
      <c r="E8" s="1479" t="s">
        <v>442</v>
      </c>
      <c r="F8" s="1480"/>
      <c r="G8" s="1078"/>
      <c r="H8" s="1079"/>
      <c r="I8" s="1080"/>
      <c r="J8" s="1064"/>
      <c r="K8" s="1080"/>
      <c r="L8" s="1081"/>
      <c r="M8" s="1082"/>
      <c r="N8" s="1083"/>
      <c r="O8" s="1084"/>
      <c r="P8" s="1084"/>
      <c r="Q8" s="1084"/>
      <c r="R8" s="1085"/>
    </row>
    <row r="9" spans="1:19" s="1070" customFormat="1" ht="18" customHeight="1">
      <c r="A9" s="1071"/>
      <c r="B9" s="1460" t="s">
        <v>11</v>
      </c>
      <c r="C9" s="1242" t="s">
        <v>443</v>
      </c>
      <c r="D9" s="1205" t="s">
        <v>254</v>
      </c>
      <c r="E9" s="1210">
        <v>1100000</v>
      </c>
      <c r="F9" s="1256">
        <v>1100000</v>
      </c>
      <c r="G9" s="1087" t="s">
        <v>444</v>
      </c>
      <c r="H9" s="1088" t="s">
        <v>444</v>
      </c>
      <c r="I9" s="1088" t="s">
        <v>444</v>
      </c>
      <c r="J9" s="1088" t="s">
        <v>444</v>
      </c>
      <c r="K9" s="1088" t="s">
        <v>444</v>
      </c>
      <c r="L9" s="1088" t="s">
        <v>444</v>
      </c>
      <c r="M9" s="1088" t="s">
        <v>444</v>
      </c>
      <c r="N9" s="1088" t="s">
        <v>444</v>
      </c>
      <c r="O9" s="1088" t="s">
        <v>444</v>
      </c>
      <c r="P9" s="1088" t="s">
        <v>444</v>
      </c>
      <c r="Q9" s="1088" t="s">
        <v>444</v>
      </c>
      <c r="R9" s="1089" t="s">
        <v>444</v>
      </c>
      <c r="S9" s="1090"/>
    </row>
    <row r="10" spans="1:18" s="1070" customFormat="1" ht="18" customHeight="1">
      <c r="A10" s="1091"/>
      <c r="B10" s="1461"/>
      <c r="C10" s="1244" t="s">
        <v>445</v>
      </c>
      <c r="D10" s="1206" t="s">
        <v>254</v>
      </c>
      <c r="E10" s="1211">
        <v>2700000</v>
      </c>
      <c r="F10" s="1257">
        <v>2700000</v>
      </c>
      <c r="G10" s="1092"/>
      <c r="H10" s="1093"/>
      <c r="I10" s="1094"/>
      <c r="J10" s="1095"/>
      <c r="K10" s="1095"/>
      <c r="L10" s="1072"/>
      <c r="M10" s="1096"/>
      <c r="N10" s="1097"/>
      <c r="O10" s="1075"/>
      <c r="P10" s="1075"/>
      <c r="Q10" s="1098">
        <f>N10+O10+P10</f>
        <v>0</v>
      </c>
      <c r="R10" s="1076">
        <f>H10-Q10</f>
        <v>0</v>
      </c>
    </row>
    <row r="11" spans="1:18" s="1070" customFormat="1" ht="18" customHeight="1">
      <c r="A11" s="1091"/>
      <c r="B11" s="1461"/>
      <c r="C11" s="1245" t="s">
        <v>446</v>
      </c>
      <c r="D11" s="1207" t="s">
        <v>254</v>
      </c>
      <c r="E11" s="1212">
        <v>1500000</v>
      </c>
      <c r="F11" s="1258">
        <v>0</v>
      </c>
      <c r="G11" s="1099"/>
      <c r="H11" s="1100"/>
      <c r="I11" s="1101"/>
      <c r="J11" s="1102"/>
      <c r="K11" s="1102"/>
      <c r="L11" s="1103"/>
      <c r="M11" s="1096"/>
      <c r="N11" s="1074"/>
      <c r="O11" s="1075"/>
      <c r="P11" s="1075"/>
      <c r="Q11" s="1098">
        <f>N11+O11+P11</f>
        <v>0</v>
      </c>
      <c r="R11" s="1076">
        <f>H11-Q11</f>
        <v>0</v>
      </c>
    </row>
    <row r="12" spans="1:18" s="1086" customFormat="1" ht="18" customHeight="1">
      <c r="A12" s="1104"/>
      <c r="B12" s="1462"/>
      <c r="C12" s="1246"/>
      <c r="D12" s="1239"/>
      <c r="E12" s="1240">
        <f>E9+E10+E11</f>
        <v>5300000</v>
      </c>
      <c r="F12" s="1259">
        <f>F9+F10+F11</f>
        <v>3800000</v>
      </c>
      <c r="G12" s="1106"/>
      <c r="H12" s="1107"/>
      <c r="I12" s="1107"/>
      <c r="J12" s="1107"/>
      <c r="K12" s="1107"/>
      <c r="L12" s="1107">
        <f>L6+L11</f>
        <v>0</v>
      </c>
      <c r="M12" s="1108"/>
      <c r="N12" s="1106"/>
      <c r="O12" s="1107"/>
      <c r="P12" s="1107"/>
      <c r="Q12" s="1107">
        <f>Q6+Q11</f>
        <v>0</v>
      </c>
      <c r="R12" s="1107">
        <f>R6+R11</f>
        <v>0</v>
      </c>
    </row>
    <row r="13" spans="1:22" s="1070" customFormat="1" ht="18" customHeight="1">
      <c r="A13" s="1060"/>
      <c r="B13" s="1460" t="s">
        <v>15</v>
      </c>
      <c r="C13" s="1247" t="s">
        <v>447</v>
      </c>
      <c r="D13" s="1205" t="s">
        <v>448</v>
      </c>
      <c r="E13" s="1213">
        <v>200000</v>
      </c>
      <c r="F13" s="1260">
        <v>200000</v>
      </c>
      <c r="G13" s="1110"/>
      <c r="H13" s="1111"/>
      <c r="I13" s="1094"/>
      <c r="J13" s="1112"/>
      <c r="K13" s="1113"/>
      <c r="L13" s="1113"/>
      <c r="M13" s="1114" t="s">
        <v>449</v>
      </c>
      <c r="N13" s="1097"/>
      <c r="O13" s="1075"/>
      <c r="P13" s="1075"/>
      <c r="Q13" s="1115">
        <f>N13+O13+P13</f>
        <v>0</v>
      </c>
      <c r="R13" s="1116"/>
      <c r="U13" s="1086"/>
      <c r="V13" s="1086"/>
    </row>
    <row r="14" spans="1:18" s="1070" customFormat="1" ht="18" customHeight="1">
      <c r="A14" s="1060">
        <v>2</v>
      </c>
      <c r="B14" s="1461"/>
      <c r="C14" s="1244" t="s">
        <v>450</v>
      </c>
      <c r="D14" s="1208" t="s">
        <v>451</v>
      </c>
      <c r="E14" s="1214">
        <v>100000</v>
      </c>
      <c r="F14" s="1261">
        <v>100000</v>
      </c>
      <c r="G14" s="1117"/>
      <c r="H14" s="1111"/>
      <c r="I14" s="1094"/>
      <c r="J14" s="1113"/>
      <c r="K14" s="1113"/>
      <c r="L14" s="1109"/>
      <c r="M14" s="1118"/>
      <c r="N14" s="1074"/>
      <c r="O14" s="1075"/>
      <c r="P14" s="1075"/>
      <c r="Q14" s="1115">
        <f>N14+O14+P14</f>
        <v>0</v>
      </c>
      <c r="R14" s="1116"/>
    </row>
    <row r="15" spans="1:18" s="1070" customFormat="1" ht="18" customHeight="1">
      <c r="A15" s="1060"/>
      <c r="B15" s="1461"/>
      <c r="C15" s="1244" t="s">
        <v>452</v>
      </c>
      <c r="D15" s="1208" t="s">
        <v>451</v>
      </c>
      <c r="E15" s="1214">
        <v>150000</v>
      </c>
      <c r="F15" s="1261">
        <v>150000</v>
      </c>
      <c r="G15" s="1117"/>
      <c r="H15" s="1111"/>
      <c r="I15" s="1094"/>
      <c r="J15" s="1113"/>
      <c r="K15" s="1113"/>
      <c r="L15" s="1109"/>
      <c r="M15" s="1118"/>
      <c r="N15" s="1074"/>
      <c r="O15" s="1075"/>
      <c r="P15" s="1075"/>
      <c r="Q15" s="1115"/>
      <c r="R15" s="1116"/>
    </row>
    <row r="16" spans="1:18" s="1070" customFormat="1" ht="18" customHeight="1">
      <c r="A16" s="1060"/>
      <c r="B16" s="1461"/>
      <c r="C16" s="1244" t="s">
        <v>453</v>
      </c>
      <c r="D16" s="1208" t="s">
        <v>109</v>
      </c>
      <c r="E16" s="1214">
        <v>150000</v>
      </c>
      <c r="F16" s="1261">
        <v>150000</v>
      </c>
      <c r="G16" s="1117"/>
      <c r="H16" s="1111"/>
      <c r="I16" s="1094"/>
      <c r="J16" s="1113"/>
      <c r="K16" s="1113"/>
      <c r="L16" s="1109"/>
      <c r="M16" s="1118"/>
      <c r="N16" s="1074"/>
      <c r="O16" s="1075"/>
      <c r="P16" s="1075"/>
      <c r="Q16" s="1115"/>
      <c r="R16" s="1116"/>
    </row>
    <row r="17" spans="1:18" s="1070" customFormat="1" ht="18" customHeight="1">
      <c r="A17" s="1060"/>
      <c r="B17" s="1461"/>
      <c r="C17" s="1244" t="s">
        <v>454</v>
      </c>
      <c r="D17" s="1208" t="s">
        <v>109</v>
      </c>
      <c r="E17" s="1214">
        <v>100000</v>
      </c>
      <c r="F17" s="1261">
        <v>100000</v>
      </c>
      <c r="G17" s="1117"/>
      <c r="H17" s="1111"/>
      <c r="I17" s="1094"/>
      <c r="J17" s="1113"/>
      <c r="K17" s="1113"/>
      <c r="L17" s="1109"/>
      <c r="M17" s="1118"/>
      <c r="N17" s="1074"/>
      <c r="O17" s="1075"/>
      <c r="P17" s="1075"/>
      <c r="Q17" s="1115"/>
      <c r="R17" s="1116"/>
    </row>
    <row r="18" spans="1:18" s="1070" customFormat="1" ht="18" customHeight="1">
      <c r="A18" s="1060"/>
      <c r="B18" s="1461"/>
      <c r="C18" s="1244" t="s">
        <v>455</v>
      </c>
      <c r="D18" s="1208" t="s">
        <v>451</v>
      </c>
      <c r="E18" s="1214">
        <v>70000</v>
      </c>
      <c r="F18" s="1261">
        <v>70000</v>
      </c>
      <c r="G18" s="1117"/>
      <c r="H18" s="1111"/>
      <c r="I18" s="1094"/>
      <c r="J18" s="1113"/>
      <c r="K18" s="1113"/>
      <c r="L18" s="1109"/>
      <c r="M18" s="1118"/>
      <c r="N18" s="1074"/>
      <c r="O18" s="1075"/>
      <c r="P18" s="1075"/>
      <c r="Q18" s="1115"/>
      <c r="R18" s="1116"/>
    </row>
    <row r="19" spans="1:22" s="1070" customFormat="1" ht="18" customHeight="1">
      <c r="A19" s="1060"/>
      <c r="B19" s="1461"/>
      <c r="C19" s="1248" t="s">
        <v>456</v>
      </c>
      <c r="D19" s="1209" t="s">
        <v>109</v>
      </c>
      <c r="E19" s="1212">
        <v>250000</v>
      </c>
      <c r="F19" s="1258">
        <v>250000</v>
      </c>
      <c r="G19" s="1117"/>
      <c r="H19" s="1111"/>
      <c r="I19" s="1094"/>
      <c r="J19" s="1113"/>
      <c r="K19" s="1113"/>
      <c r="L19" s="1109"/>
      <c r="M19" s="1118"/>
      <c r="N19" s="1074"/>
      <c r="O19" s="1075"/>
      <c r="P19" s="1075"/>
      <c r="Q19" s="1115"/>
      <c r="R19" s="1116"/>
      <c r="V19" s="1119"/>
    </row>
    <row r="20" spans="1:18" s="1070" customFormat="1" ht="18" customHeight="1">
      <c r="A20" s="1091">
        <v>9</v>
      </c>
      <c r="B20" s="1485"/>
      <c r="C20" s="1246"/>
      <c r="D20" s="1239"/>
      <c r="E20" s="1240">
        <f>SUM(E13:E19)</f>
        <v>1020000</v>
      </c>
      <c r="F20" s="1377">
        <f>SUM(F13:F19)</f>
        <v>1020000</v>
      </c>
      <c r="G20" s="1122"/>
      <c r="H20" s="1123"/>
      <c r="I20" s="1094"/>
      <c r="J20" s="1124"/>
      <c r="K20" s="1124"/>
      <c r="L20" s="1121"/>
      <c r="M20" s="1125"/>
      <c r="N20" s="1074"/>
      <c r="O20" s="1075"/>
      <c r="P20" s="1075"/>
      <c r="Q20" s="1068">
        <f>N20+O20+P20</f>
        <v>0</v>
      </c>
      <c r="R20" s="1116">
        <f>H20-Q20</f>
        <v>0</v>
      </c>
    </row>
    <row r="21" spans="1:18" s="1229" customFormat="1" ht="18" customHeight="1">
      <c r="A21" s="1216">
        <v>10</v>
      </c>
      <c r="B21" s="1262"/>
      <c r="C21" s="1249" t="s">
        <v>476</v>
      </c>
      <c r="D21" s="1217" t="s">
        <v>457</v>
      </c>
      <c r="E21" s="1218">
        <v>600</v>
      </c>
      <c r="F21" s="1263"/>
      <c r="G21" s="1219"/>
      <c r="H21" s="1220"/>
      <c r="I21" s="1221"/>
      <c r="J21" s="1222"/>
      <c r="K21" s="1222"/>
      <c r="L21" s="1223"/>
      <c r="M21" s="1224"/>
      <c r="N21" s="1225"/>
      <c r="O21" s="1226"/>
      <c r="P21" s="1226"/>
      <c r="Q21" s="1227">
        <f>N21+O21+P21</f>
        <v>0</v>
      </c>
      <c r="R21" s="1228">
        <f>H21-Q21</f>
        <v>0</v>
      </c>
    </row>
    <row r="22" spans="1:18" s="1070" customFormat="1" ht="18" customHeight="1">
      <c r="A22" s="1091">
        <v>12</v>
      </c>
      <c r="B22" s="1460" t="s">
        <v>16</v>
      </c>
      <c r="C22" s="1242" t="s">
        <v>458</v>
      </c>
      <c r="D22" s="1205" t="s">
        <v>310</v>
      </c>
      <c r="E22" s="1213">
        <v>1100000</v>
      </c>
      <c r="F22" s="1260">
        <v>0</v>
      </c>
      <c r="G22" s="1128"/>
      <c r="H22" s="1129"/>
      <c r="I22" s="1130"/>
      <c r="J22" s="1131"/>
      <c r="K22" s="1131"/>
      <c r="L22" s="1127"/>
      <c r="M22" s="1132"/>
      <c r="N22" s="1074"/>
      <c r="O22" s="1075"/>
      <c r="P22" s="1075"/>
      <c r="Q22" s="1075">
        <f>N22+O22+P22</f>
        <v>0</v>
      </c>
      <c r="R22" s="1133">
        <f>H22-Q22</f>
        <v>0</v>
      </c>
    </row>
    <row r="23" spans="1:18" s="1070" customFormat="1" ht="18" customHeight="1">
      <c r="A23" s="1091"/>
      <c r="B23" s="1461"/>
      <c r="C23" s="1243" t="s">
        <v>459</v>
      </c>
      <c r="D23" s="1207" t="s">
        <v>310</v>
      </c>
      <c r="E23" s="1215">
        <v>1500000</v>
      </c>
      <c r="F23" s="1264">
        <v>0</v>
      </c>
      <c r="G23" s="1128"/>
      <c r="H23" s="1129"/>
      <c r="I23" s="1130"/>
      <c r="J23" s="1131"/>
      <c r="K23" s="1131"/>
      <c r="L23" s="1127"/>
      <c r="M23" s="1132"/>
      <c r="N23" s="1074"/>
      <c r="O23" s="1075"/>
      <c r="P23" s="1075"/>
      <c r="Q23" s="1075"/>
      <c r="R23" s="1133"/>
    </row>
    <row r="24" spans="1:18" s="1086" customFormat="1" ht="18" customHeight="1">
      <c r="A24" s="1134">
        <v>13</v>
      </c>
      <c r="B24" s="1485"/>
      <c r="C24" s="1250"/>
      <c r="D24" s="1239"/>
      <c r="E24" s="1240">
        <f>E22+E23</f>
        <v>2600000</v>
      </c>
      <c r="F24" s="1259">
        <f>F22+F23</f>
        <v>0</v>
      </c>
      <c r="G24" s="1106"/>
      <c r="H24" s="1107"/>
      <c r="I24" s="1135"/>
      <c r="J24" s="1136"/>
      <c r="K24" s="1136"/>
      <c r="L24" s="1105"/>
      <c r="M24" s="1137"/>
      <c r="N24" s="1138"/>
      <c r="O24" s="1139"/>
      <c r="P24" s="1139"/>
      <c r="Q24" s="1139">
        <f>N24+O24+P24</f>
        <v>0</v>
      </c>
      <c r="R24" s="1140">
        <f>H24-Q24</f>
        <v>0</v>
      </c>
    </row>
    <row r="25" spans="1:18" s="1070" customFormat="1" ht="18" customHeight="1">
      <c r="A25" s="1091">
        <v>14</v>
      </c>
      <c r="B25" s="1460" t="s">
        <v>255</v>
      </c>
      <c r="C25" s="1242" t="s">
        <v>460</v>
      </c>
      <c r="D25" s="1205" t="s">
        <v>461</v>
      </c>
      <c r="E25" s="1213">
        <v>497000</v>
      </c>
      <c r="F25" s="1260">
        <v>497000</v>
      </c>
      <c r="G25" s="1144"/>
      <c r="H25" s="1145"/>
      <c r="I25" s="1094"/>
      <c r="J25" s="1146"/>
      <c r="K25" s="1146"/>
      <c r="L25" s="1143"/>
      <c r="M25" s="1147"/>
      <c r="N25" s="1074"/>
      <c r="O25" s="1075"/>
      <c r="P25" s="1075"/>
      <c r="Q25" s="1148">
        <f>N25+O25+P25</f>
        <v>0</v>
      </c>
      <c r="R25" s="1149">
        <f>H25-Q25</f>
        <v>0</v>
      </c>
    </row>
    <row r="26" spans="1:18" s="1070" customFormat="1" ht="18" customHeight="1">
      <c r="A26" s="1091">
        <v>15</v>
      </c>
      <c r="B26" s="1461"/>
      <c r="C26" s="1251" t="s">
        <v>462</v>
      </c>
      <c r="D26" s="1206" t="s">
        <v>461</v>
      </c>
      <c r="E26" s="1211">
        <v>195000</v>
      </c>
      <c r="F26" s="1265">
        <v>0</v>
      </c>
      <c r="G26" s="1144"/>
      <c r="H26" s="1145"/>
      <c r="I26" s="1094"/>
      <c r="J26" s="1146"/>
      <c r="K26" s="1146"/>
      <c r="L26" s="1143"/>
      <c r="M26" s="1147"/>
      <c r="N26" s="1074"/>
      <c r="O26" s="1075"/>
      <c r="P26" s="1075"/>
      <c r="Q26" s="1148">
        <f>N26+O26+P26</f>
        <v>0</v>
      </c>
      <c r="R26" s="1149"/>
    </row>
    <row r="27" spans="1:18" s="1070" customFormat="1" ht="18" customHeight="1">
      <c r="A27" s="1091"/>
      <c r="B27" s="1461"/>
      <c r="C27" s="1252" t="s">
        <v>463</v>
      </c>
      <c r="D27" s="1207" t="s">
        <v>464</v>
      </c>
      <c r="E27" s="1215">
        <v>1210000</v>
      </c>
      <c r="F27" s="1264">
        <v>1210000</v>
      </c>
      <c r="G27" s="1144"/>
      <c r="H27" s="1145"/>
      <c r="I27" s="1094"/>
      <c r="J27" s="1146"/>
      <c r="K27" s="1146"/>
      <c r="L27" s="1143"/>
      <c r="M27" s="1147"/>
      <c r="N27" s="1074"/>
      <c r="O27" s="1075"/>
      <c r="P27" s="1075"/>
      <c r="Q27" s="1148"/>
      <c r="R27" s="1151"/>
    </row>
    <row r="28" spans="1:18" s="1086" customFormat="1" ht="18" customHeight="1">
      <c r="A28" s="1134"/>
      <c r="B28" s="1462"/>
      <c r="C28" s="1250"/>
      <c r="D28" s="1239"/>
      <c r="E28" s="1240">
        <f>SUM(E25:E27)</f>
        <v>1902000</v>
      </c>
      <c r="F28" s="1259">
        <f>SUM(F25:F27)</f>
        <v>1707000</v>
      </c>
      <c r="G28" s="1106"/>
      <c r="H28" s="1107"/>
      <c r="I28" s="1135"/>
      <c r="J28" s="1136"/>
      <c r="K28" s="1136"/>
      <c r="L28" s="1105"/>
      <c r="M28" s="1137"/>
      <c r="N28" s="1138"/>
      <c r="O28" s="1139"/>
      <c r="P28" s="1139"/>
      <c r="Q28" s="1139"/>
      <c r="R28" s="1152"/>
    </row>
    <row r="29" spans="1:56" s="1142" customFormat="1" ht="18" customHeight="1">
      <c r="A29" s="1141"/>
      <c r="B29" s="1460" t="s">
        <v>13</v>
      </c>
      <c r="C29" s="1242" t="s">
        <v>465</v>
      </c>
      <c r="D29" s="1205" t="s">
        <v>311</v>
      </c>
      <c r="E29" s="1213">
        <v>100000</v>
      </c>
      <c r="F29" s="1260">
        <v>100000</v>
      </c>
      <c r="G29" s="1155">
        <v>500</v>
      </c>
      <c r="H29" s="1154">
        <v>500</v>
      </c>
      <c r="I29" s="1154">
        <v>500</v>
      </c>
      <c r="J29" s="1154">
        <v>500</v>
      </c>
      <c r="K29" s="1154">
        <v>500</v>
      </c>
      <c r="L29" s="1154">
        <v>500</v>
      </c>
      <c r="M29" s="1156"/>
      <c r="N29" s="1157"/>
      <c r="O29" s="1098"/>
      <c r="P29" s="1098"/>
      <c r="Q29" s="1098"/>
      <c r="R29" s="1158"/>
      <c r="S29" s="1086"/>
      <c r="T29" s="1086"/>
      <c r="U29" s="1086"/>
      <c r="V29" s="1086"/>
      <c r="W29" s="1086"/>
      <c r="X29" s="1086"/>
      <c r="Y29" s="1086"/>
      <c r="Z29" s="1086"/>
      <c r="AA29" s="1086"/>
      <c r="AB29" s="1086"/>
      <c r="AC29" s="1086"/>
      <c r="AD29" s="1086"/>
      <c r="AE29" s="1086"/>
      <c r="AF29" s="1086"/>
      <c r="AG29" s="1086"/>
      <c r="AH29" s="1086"/>
      <c r="AI29" s="1086"/>
      <c r="AJ29" s="1086"/>
      <c r="AK29" s="1086"/>
      <c r="AL29" s="1086"/>
      <c r="AM29" s="1086"/>
      <c r="AN29" s="1086"/>
      <c r="AO29" s="1086"/>
      <c r="AP29" s="1086"/>
      <c r="AQ29" s="1086"/>
      <c r="AR29" s="1086"/>
      <c r="AS29" s="1086"/>
      <c r="AT29" s="1086"/>
      <c r="AU29" s="1086"/>
      <c r="AV29" s="1086"/>
      <c r="AW29" s="1086"/>
      <c r="AX29" s="1086"/>
      <c r="AY29" s="1086"/>
      <c r="AZ29" s="1086"/>
      <c r="BA29" s="1086"/>
      <c r="BB29" s="1086"/>
      <c r="BC29" s="1086"/>
      <c r="BD29" s="1086"/>
    </row>
    <row r="30" spans="1:56" s="1142" customFormat="1" ht="18" customHeight="1">
      <c r="A30" s="1141"/>
      <c r="B30" s="1461"/>
      <c r="C30" s="1252" t="s">
        <v>466</v>
      </c>
      <c r="D30" s="1207" t="s">
        <v>311</v>
      </c>
      <c r="E30" s="1215">
        <v>200000</v>
      </c>
      <c r="F30" s="1264">
        <v>200000</v>
      </c>
      <c r="G30" s="1159"/>
      <c r="H30" s="1160"/>
      <c r="I30" s="1161"/>
      <c r="J30" s="1162"/>
      <c r="K30" s="1162"/>
      <c r="L30" s="1153"/>
      <c r="M30" s="1156"/>
      <c r="N30" s="1157"/>
      <c r="O30" s="1098"/>
      <c r="P30" s="1098"/>
      <c r="Q30" s="1098"/>
      <c r="R30" s="1158"/>
      <c r="S30" s="1086"/>
      <c r="T30" s="1086"/>
      <c r="U30" s="1086"/>
      <c r="V30" s="1086"/>
      <c r="W30" s="1086"/>
      <c r="X30" s="1086"/>
      <c r="Y30" s="1086"/>
      <c r="Z30" s="1086"/>
      <c r="AA30" s="1086"/>
      <c r="AB30" s="1086"/>
      <c r="AC30" s="1086"/>
      <c r="AD30" s="1086"/>
      <c r="AE30" s="1086"/>
      <c r="AF30" s="1086"/>
      <c r="AG30" s="1086"/>
      <c r="AH30" s="1086"/>
      <c r="AI30" s="1086"/>
      <c r="AJ30" s="1086"/>
      <c r="AK30" s="1086"/>
      <c r="AL30" s="1086"/>
      <c r="AM30" s="1086"/>
      <c r="AN30" s="1086"/>
      <c r="AO30" s="1086"/>
      <c r="AP30" s="1086"/>
      <c r="AQ30" s="1086"/>
      <c r="AR30" s="1086"/>
      <c r="AS30" s="1086"/>
      <c r="AT30" s="1086"/>
      <c r="AU30" s="1086"/>
      <c r="AV30" s="1086"/>
      <c r="AW30" s="1086"/>
      <c r="AX30" s="1086"/>
      <c r="AY30" s="1086"/>
      <c r="AZ30" s="1086"/>
      <c r="BA30" s="1086"/>
      <c r="BB30" s="1086"/>
      <c r="BC30" s="1086"/>
      <c r="BD30" s="1086"/>
    </row>
    <row r="31" spans="1:19" s="1070" customFormat="1" ht="18" customHeight="1">
      <c r="A31" s="1091"/>
      <c r="B31" s="1485"/>
      <c r="C31" s="1250"/>
      <c r="D31" s="1239"/>
      <c r="E31" s="1240">
        <f>SUM(E29:E30)</f>
        <v>300000</v>
      </c>
      <c r="F31" s="1259">
        <f>SUM(F29:F30)</f>
        <v>300000</v>
      </c>
      <c r="G31" s="1159"/>
      <c r="H31" s="1160"/>
      <c r="I31" s="1161"/>
      <c r="J31" s="1162"/>
      <c r="K31" s="1162"/>
      <c r="L31" s="1153"/>
      <c r="M31" s="1156"/>
      <c r="N31" s="1074"/>
      <c r="O31" s="1075"/>
      <c r="P31" s="1075"/>
      <c r="Q31" s="1068"/>
      <c r="R31" s="1116"/>
      <c r="S31" s="1150"/>
    </row>
    <row r="32" spans="1:18" s="1070" customFormat="1" ht="18" customHeight="1">
      <c r="A32" s="1091"/>
      <c r="B32" s="1460" t="s">
        <v>12</v>
      </c>
      <c r="C32" s="1253" t="s">
        <v>312</v>
      </c>
      <c r="D32" s="1230" t="s">
        <v>467</v>
      </c>
      <c r="E32" s="1231">
        <v>350000</v>
      </c>
      <c r="F32" s="1266">
        <v>350000</v>
      </c>
      <c r="G32" s="1163"/>
      <c r="H32" s="1164"/>
      <c r="I32" s="1165"/>
      <c r="J32" s="1166"/>
      <c r="K32" s="1166"/>
      <c r="L32" s="1167"/>
      <c r="M32" s="1156"/>
      <c r="N32" s="1074"/>
      <c r="O32" s="1075"/>
      <c r="P32" s="1075"/>
      <c r="Q32" s="1068"/>
      <c r="R32" s="1116"/>
    </row>
    <row r="33" spans="1:18" s="1070" customFormat="1" ht="18" customHeight="1">
      <c r="A33" s="1091">
        <v>20</v>
      </c>
      <c r="B33" s="1462"/>
      <c r="C33" s="1250"/>
      <c r="D33" s="1239"/>
      <c r="E33" s="1240">
        <f>E32</f>
        <v>350000</v>
      </c>
      <c r="F33" s="1259">
        <f>F32</f>
        <v>350000</v>
      </c>
      <c r="G33" s="1168"/>
      <c r="H33" s="1169"/>
      <c r="I33" s="1094"/>
      <c r="J33" s="1170"/>
      <c r="K33" s="1170"/>
      <c r="L33" s="1121"/>
      <c r="M33" s="1171"/>
      <c r="N33" s="1074"/>
      <c r="O33" s="1075"/>
      <c r="P33" s="1075"/>
      <c r="Q33" s="1068">
        <f>N33+O33+P33</f>
        <v>0</v>
      </c>
      <c r="R33" s="1116">
        <f>H33-Q33</f>
        <v>0</v>
      </c>
    </row>
    <row r="34" spans="1:18" s="1229" customFormat="1" ht="18" customHeight="1">
      <c r="A34" s="1216">
        <v>21</v>
      </c>
      <c r="B34" s="1460" t="s">
        <v>14</v>
      </c>
      <c r="C34" s="1253" t="s">
        <v>477</v>
      </c>
      <c r="D34" s="1230" t="s">
        <v>468</v>
      </c>
      <c r="E34" s="1231">
        <v>3500000</v>
      </c>
      <c r="F34" s="1266">
        <v>0</v>
      </c>
      <c r="G34" s="1232"/>
      <c r="H34" s="1233"/>
      <c r="I34" s="1234"/>
      <c r="J34" s="1235"/>
      <c r="K34" s="1235"/>
      <c r="L34" s="1236"/>
      <c r="M34" s="1172"/>
      <c r="N34" s="1225"/>
      <c r="O34" s="1226"/>
      <c r="P34" s="1226"/>
      <c r="Q34" s="1237">
        <f>N34+O34+P34</f>
        <v>0</v>
      </c>
      <c r="R34" s="1238">
        <f>H34-Q34</f>
        <v>0</v>
      </c>
    </row>
    <row r="35" spans="1:18" s="1070" customFormat="1" ht="18" customHeight="1">
      <c r="A35" s="1091">
        <v>23</v>
      </c>
      <c r="B35" s="1462"/>
      <c r="C35" s="1250"/>
      <c r="D35" s="1239"/>
      <c r="E35" s="1240">
        <f>E34</f>
        <v>3500000</v>
      </c>
      <c r="F35" s="1259">
        <f>F34</f>
        <v>0</v>
      </c>
      <c r="G35" s="1122"/>
      <c r="H35" s="1123"/>
      <c r="I35" s="1094"/>
      <c r="J35" s="1173"/>
      <c r="K35" s="1173"/>
      <c r="L35" s="1121"/>
      <c r="M35" s="1125"/>
      <c r="N35" s="1074"/>
      <c r="O35" s="1075"/>
      <c r="P35" s="1075"/>
      <c r="Q35" s="1068">
        <f>N35+O35+P35</f>
        <v>0</v>
      </c>
      <c r="R35" s="1116">
        <f>H35-Q35</f>
        <v>0</v>
      </c>
    </row>
    <row r="36" spans="1:18" s="1070" customFormat="1" ht="18" customHeight="1">
      <c r="A36" s="1091"/>
      <c r="B36" s="1460" t="s">
        <v>17</v>
      </c>
      <c r="C36" s="1242" t="s">
        <v>469</v>
      </c>
      <c r="D36" s="1205" t="s">
        <v>470</v>
      </c>
      <c r="E36" s="1213">
        <v>720000</v>
      </c>
      <c r="F36" s="1260">
        <v>0</v>
      </c>
      <c r="G36" s="1174"/>
      <c r="H36" s="1175"/>
      <c r="I36" s="1120"/>
      <c r="J36" s="1176"/>
      <c r="K36" s="1176"/>
      <c r="L36" s="1109"/>
      <c r="M36" s="1118"/>
      <c r="N36" s="1074"/>
      <c r="O36" s="1075"/>
      <c r="P36" s="1075"/>
      <c r="Q36" s="1068"/>
      <c r="R36" s="1116"/>
    </row>
    <row r="37" spans="1:18" s="1070" customFormat="1" ht="18" customHeight="1">
      <c r="A37" s="1091">
        <v>26</v>
      </c>
      <c r="B37" s="1461"/>
      <c r="C37" s="1243" t="s">
        <v>471</v>
      </c>
      <c r="D37" s="1207" t="s">
        <v>470</v>
      </c>
      <c r="E37" s="1215">
        <v>180000</v>
      </c>
      <c r="F37" s="1264">
        <v>180000</v>
      </c>
      <c r="G37" s="1117"/>
      <c r="H37" s="1111"/>
      <c r="I37" s="1120"/>
      <c r="J37" s="1113"/>
      <c r="K37" s="1113"/>
      <c r="L37" s="1109"/>
      <c r="M37" s="1118"/>
      <c r="N37" s="1074"/>
      <c r="O37" s="1075"/>
      <c r="P37" s="1075"/>
      <c r="Q37" s="1068">
        <f>N37+O37+P37</f>
        <v>0</v>
      </c>
      <c r="R37" s="1116">
        <f>H37-Q37</f>
        <v>0</v>
      </c>
    </row>
    <row r="38" spans="1:18" s="1070" customFormat="1" ht="18" customHeight="1">
      <c r="A38" s="1091"/>
      <c r="B38" s="1485"/>
      <c r="C38" s="1241"/>
      <c r="D38" s="1239"/>
      <c r="E38" s="1240">
        <f>E36+E37</f>
        <v>900000</v>
      </c>
      <c r="F38" s="1259">
        <f>F36+F37</f>
        <v>180000</v>
      </c>
      <c r="G38" s="1117"/>
      <c r="H38" s="1111"/>
      <c r="I38" s="1120"/>
      <c r="J38" s="1113"/>
      <c r="K38" s="1113"/>
      <c r="L38" s="1109"/>
      <c r="M38" s="1137"/>
      <c r="N38" s="1074"/>
      <c r="O38" s="1075"/>
      <c r="P38" s="1075"/>
      <c r="Q38" s="1068"/>
      <c r="R38" s="1116"/>
    </row>
    <row r="39" spans="1:18" s="1070" customFormat="1" ht="18" customHeight="1">
      <c r="A39" s="1091">
        <v>28</v>
      </c>
      <c r="B39" s="1460" t="s">
        <v>105</v>
      </c>
      <c r="C39" s="1242" t="s">
        <v>472</v>
      </c>
      <c r="D39" s="1205" t="s">
        <v>313</v>
      </c>
      <c r="E39" s="1213">
        <v>700000</v>
      </c>
      <c r="F39" s="1260">
        <v>700000</v>
      </c>
      <c r="G39" s="1144"/>
      <c r="H39" s="1145"/>
      <c r="I39" s="1177"/>
      <c r="J39" s="1146"/>
      <c r="K39" s="1146"/>
      <c r="L39" s="1143"/>
      <c r="M39" s="1147"/>
      <c r="N39" s="1074"/>
      <c r="O39" s="1075"/>
      <c r="P39" s="1075"/>
      <c r="Q39" s="1068">
        <f>N39+O39+P39</f>
        <v>0</v>
      </c>
      <c r="R39" s="1116">
        <f>H39-Q39</f>
        <v>0</v>
      </c>
    </row>
    <row r="40" spans="1:18" s="1070" customFormat="1" ht="24.75" customHeight="1">
      <c r="A40" s="1178"/>
      <c r="B40" s="1461"/>
      <c r="C40" s="1243" t="s">
        <v>473</v>
      </c>
      <c r="D40" s="1207" t="s">
        <v>474</v>
      </c>
      <c r="E40" s="1215">
        <v>10500000</v>
      </c>
      <c r="F40" s="1264">
        <v>0</v>
      </c>
      <c r="G40" s="1144"/>
      <c r="H40" s="1145"/>
      <c r="I40" s="1177"/>
      <c r="J40" s="1146"/>
      <c r="K40" s="1146"/>
      <c r="L40" s="1143"/>
      <c r="M40" s="1147"/>
      <c r="N40" s="1074"/>
      <c r="O40" s="1075"/>
      <c r="P40" s="1075"/>
      <c r="Q40" s="1068"/>
      <c r="R40" s="1116"/>
    </row>
    <row r="41" spans="1:18" s="1070" customFormat="1" ht="18" customHeight="1" thickBot="1">
      <c r="A41" s="1179">
        <v>30</v>
      </c>
      <c r="B41" s="1485"/>
      <c r="C41" s="1241"/>
      <c r="D41" s="1239"/>
      <c r="E41" s="1240">
        <f>E39+E40</f>
        <v>11200000</v>
      </c>
      <c r="F41" s="1259">
        <f>F39+F40</f>
        <v>700000</v>
      </c>
      <c r="G41" s="1168"/>
      <c r="H41" s="1169"/>
      <c r="I41" s="1094"/>
      <c r="J41" s="1170"/>
      <c r="K41" s="1170"/>
      <c r="L41" s="1121"/>
      <c r="M41" s="1125"/>
      <c r="N41" s="1074"/>
      <c r="O41" s="1075"/>
      <c r="P41" s="1075"/>
      <c r="Q41" s="1068">
        <f>N41+O41+P41</f>
        <v>0</v>
      </c>
      <c r="R41" s="1116">
        <f>H41-Q41</f>
        <v>0</v>
      </c>
    </row>
    <row r="42" spans="1:19" s="1191" customFormat="1" ht="18" customHeight="1">
      <c r="A42" s="1181"/>
      <c r="B42" s="1483" t="s">
        <v>264</v>
      </c>
      <c r="C42" s="1484"/>
      <c r="D42" s="1274"/>
      <c r="E42" s="1267">
        <f>E12+E20+E24+E28+E33+E35+E38+E41+E31</f>
        <v>27072000</v>
      </c>
      <c r="F42" s="1268">
        <f>F41+F38+F35+F33+F31+F28+F24+F20+F12</f>
        <v>8057000</v>
      </c>
      <c r="G42" s="1182"/>
      <c r="H42" s="1183"/>
      <c r="I42" s="1184"/>
      <c r="J42" s="1185"/>
      <c r="K42" s="1185"/>
      <c r="L42" s="1185"/>
      <c r="M42" s="1186"/>
      <c r="N42" s="1187"/>
      <c r="O42" s="1188"/>
      <c r="P42" s="1188"/>
      <c r="Q42" s="1188" t="e">
        <f>Q6+Q11+Q13+Q14+#REF!+#REF!+#REF!+#REF!+#REF!+#REF!+Q22+Q24+Q25+Q26+#REF!+#REF!</f>
        <v>#REF!</v>
      </c>
      <c r="R42" s="1189" t="e">
        <f>R6+R11+R13+R14+#REF!+#REF!+#REF!+#REF!+#REF!+#REF!+R22+R24+R25+R26+#REF!+#REF!</f>
        <v>#REF!</v>
      </c>
      <c r="S42" s="1190"/>
    </row>
    <row r="43" spans="1:19" s="1126" customFormat="1" ht="18" customHeight="1" thickBot="1">
      <c r="A43" s="1180"/>
      <c r="B43" s="1481" t="s">
        <v>257</v>
      </c>
      <c r="C43" s="1482"/>
      <c r="D43" s="1276"/>
      <c r="E43" s="1275"/>
      <c r="F43" s="1203">
        <f>F44-F42</f>
        <v>1943000</v>
      </c>
      <c r="G43" s="1192"/>
      <c r="H43" s="1193"/>
      <c r="I43" s="1194"/>
      <c r="J43" s="1195"/>
      <c r="K43" s="1195"/>
      <c r="L43" s="1195"/>
      <c r="M43" s="1196"/>
      <c r="N43" s="1197"/>
      <c r="O43" s="1197"/>
      <c r="P43" s="1197"/>
      <c r="Q43" s="1197"/>
      <c r="R43" s="1197"/>
      <c r="S43" s="1198"/>
    </row>
    <row r="44" spans="1:19" s="1126" customFormat="1" ht="18" customHeight="1" thickBot="1">
      <c r="A44" s="1180"/>
      <c r="B44" s="1270" t="s">
        <v>19</v>
      </c>
      <c r="C44" s="1272"/>
      <c r="D44" s="1273"/>
      <c r="E44" s="1271"/>
      <c r="F44" s="1269">
        <v>10000000</v>
      </c>
      <c r="G44" s="1199"/>
      <c r="H44" s="1199"/>
      <c r="I44" s="1200"/>
      <c r="J44" s="1201"/>
      <c r="K44" s="1201"/>
      <c r="L44" s="1201"/>
      <c r="M44" s="1202"/>
      <c r="N44" s="1197"/>
      <c r="O44" s="1197"/>
      <c r="P44" s="1197"/>
      <c r="Q44" s="1197"/>
      <c r="R44" s="1197"/>
      <c r="S44" s="1198"/>
    </row>
    <row r="45" spans="2:18" s="1023" customFormat="1" ht="33" customHeight="1">
      <c r="B45" s="1472" t="s">
        <v>475</v>
      </c>
      <c r="C45" s="1472"/>
      <c r="D45" s="1024"/>
      <c r="E45" s="1025"/>
      <c r="F45" s="1026"/>
      <c r="G45" s="1027"/>
      <c r="H45" s="1028"/>
      <c r="I45" s="1028"/>
      <c r="J45" s="1029"/>
      <c r="K45" s="1029"/>
      <c r="L45" s="1024"/>
      <c r="M45" s="1030"/>
      <c r="N45" s="1031"/>
      <c r="O45" s="1031"/>
      <c r="P45" s="1031"/>
      <c r="Q45" s="1031"/>
      <c r="R45" s="1032"/>
    </row>
    <row r="46" spans="2:13" ht="33" customHeight="1">
      <c r="B46" s="1033"/>
      <c r="D46" s="1034"/>
      <c r="E46" s="1035"/>
      <c r="F46" s="1036"/>
      <c r="G46" s="1037"/>
      <c r="H46" s="1038"/>
      <c r="I46" s="1038"/>
      <c r="J46" s="1039"/>
      <c r="K46" s="1039"/>
      <c r="L46" s="1040"/>
      <c r="M46" s="1041"/>
    </row>
    <row r="47" spans="3:13" ht="33" customHeight="1"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</row>
    <row r="48" spans="3:12" ht="33" customHeight="1">
      <c r="C48" s="1042"/>
      <c r="D48" s="1034"/>
      <c r="E48" s="1035"/>
      <c r="F48" s="1043"/>
      <c r="G48" s="1043"/>
      <c r="H48" s="1044"/>
      <c r="I48" s="1044"/>
      <c r="J48" s="1034"/>
      <c r="K48" s="1034"/>
      <c r="L48" s="1034"/>
    </row>
    <row r="49" spans="3:12" ht="33" customHeight="1">
      <c r="C49" s="1042"/>
      <c r="D49" s="1034"/>
      <c r="E49" s="1035"/>
      <c r="F49" s="1043"/>
      <c r="G49" s="1043"/>
      <c r="H49" s="1044"/>
      <c r="I49" s="1044"/>
      <c r="J49" s="1034"/>
      <c r="K49" s="1034"/>
      <c r="L49" s="1034"/>
    </row>
  </sheetData>
  <mergeCells count="32">
    <mergeCell ref="B13:B20"/>
    <mergeCell ref="B22:B24"/>
    <mergeCell ref="B25:B28"/>
    <mergeCell ref="B29:B31"/>
    <mergeCell ref="K6:K7"/>
    <mergeCell ref="G6:G7"/>
    <mergeCell ref="H6:H7"/>
    <mergeCell ref="I6:I7"/>
    <mergeCell ref="A2:E2"/>
    <mergeCell ref="B3:E3"/>
    <mergeCell ref="F6:F7"/>
    <mergeCell ref="D4:D8"/>
    <mergeCell ref="B45:C45"/>
    <mergeCell ref="B4:B8"/>
    <mergeCell ref="C4:C8"/>
    <mergeCell ref="E8:F8"/>
    <mergeCell ref="B43:C43"/>
    <mergeCell ref="B42:C42"/>
    <mergeCell ref="B32:B33"/>
    <mergeCell ref="B34:B35"/>
    <mergeCell ref="B36:B38"/>
    <mergeCell ref="B39:B41"/>
    <mergeCell ref="M6:M7"/>
    <mergeCell ref="B9:B12"/>
    <mergeCell ref="R6:R7"/>
    <mergeCell ref="C47:M47"/>
    <mergeCell ref="J6:J7"/>
    <mergeCell ref="Q6:Q7"/>
    <mergeCell ref="N6:N7"/>
    <mergeCell ref="O6:O7"/>
    <mergeCell ref="P6:P7"/>
    <mergeCell ref="E6:E7"/>
  </mergeCells>
  <printOptions/>
  <pageMargins left="0.65" right="0.1968503937007874" top="0.39" bottom="0" header="0.71" footer="0.31496062992125984"/>
  <pageSetup horizontalDpi="300" verticalDpi="300" orientation="portrait" paperSize="9" scale="77" r:id="rId1"/>
  <headerFooter alignWithMargins="0">
    <oddHeader>&amp;R&amp;8Příloha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4" sqref="A4"/>
    </sheetView>
  </sheetViews>
  <sheetFormatPr defaultColWidth="9.00390625" defaultRowHeight="12.75"/>
  <cols>
    <col min="1" max="1" width="4.375" style="285" customWidth="1"/>
    <col min="2" max="2" width="8.00390625" style="284" customWidth="1"/>
    <col min="3" max="3" width="12.00390625" style="284" hidden="1" customWidth="1"/>
    <col min="4" max="4" width="10.625" style="284" hidden="1" customWidth="1"/>
    <col min="5" max="5" width="10.875" style="284" hidden="1" customWidth="1"/>
    <col min="6" max="6" width="8.25390625" style="286" customWidth="1"/>
    <col min="7" max="7" width="9.75390625" style="286" customWidth="1"/>
    <col min="8" max="9" width="8.25390625" style="286" customWidth="1"/>
    <col min="10" max="10" width="9.75390625" style="286" customWidth="1"/>
    <col min="11" max="11" width="8.25390625" style="286" customWidth="1"/>
    <col min="12" max="16384" width="9.125" style="286" customWidth="1"/>
  </cols>
  <sheetData>
    <row r="1" ht="12">
      <c r="A1" s="283" t="s">
        <v>479</v>
      </c>
    </row>
    <row r="2" spans="1:11" ht="14.25" customHeight="1" thickBot="1">
      <c r="A2" s="287"/>
      <c r="F2" s="1501"/>
      <c r="G2" s="1501"/>
      <c r="H2" s="1501"/>
      <c r="I2" s="1501"/>
      <c r="J2" s="1501"/>
      <c r="K2" s="1501"/>
    </row>
    <row r="3" spans="1:11" ht="34.5" customHeight="1">
      <c r="A3" s="288"/>
      <c r="B3" s="289"/>
      <c r="C3" s="1502" t="s">
        <v>352</v>
      </c>
      <c r="D3" s="1503"/>
      <c r="E3" s="1503"/>
      <c r="F3" s="1504" t="s">
        <v>480</v>
      </c>
      <c r="G3" s="1505"/>
      <c r="H3" s="1506"/>
      <c r="I3" s="1504" t="s">
        <v>481</v>
      </c>
      <c r="J3" s="1505"/>
      <c r="K3" s="1506"/>
    </row>
    <row r="4" spans="1:11" ht="18" customHeight="1">
      <c r="A4" s="290" t="s">
        <v>107</v>
      </c>
      <c r="B4" s="291"/>
      <c r="C4" s="292" t="s">
        <v>137</v>
      </c>
      <c r="D4" s="293" t="s">
        <v>138</v>
      </c>
      <c r="E4" s="294" t="s">
        <v>19</v>
      </c>
      <c r="F4" s="292" t="s">
        <v>137</v>
      </c>
      <c r="G4" s="293" t="s">
        <v>138</v>
      </c>
      <c r="H4" s="294" t="s">
        <v>19</v>
      </c>
      <c r="I4" s="292" t="s">
        <v>137</v>
      </c>
      <c r="J4" s="295" t="s">
        <v>138</v>
      </c>
      <c r="K4" s="294" t="s">
        <v>19</v>
      </c>
    </row>
    <row r="5" spans="1:11" s="298" customFormat="1" ht="11.25">
      <c r="A5" s="296"/>
      <c r="B5" s="297"/>
      <c r="C5" s="581"/>
      <c r="D5" s="581"/>
      <c r="E5" s="581"/>
      <c r="F5" s="450">
        <v>4</v>
      </c>
      <c r="G5" s="451">
        <v>5</v>
      </c>
      <c r="H5" s="452">
        <v>6</v>
      </c>
      <c r="I5" s="450">
        <v>7</v>
      </c>
      <c r="J5" s="453">
        <v>8</v>
      </c>
      <c r="K5" s="452">
        <v>9</v>
      </c>
    </row>
    <row r="6" spans="1:11" ht="15" customHeight="1">
      <c r="A6" s="299">
        <v>11</v>
      </c>
      <c r="B6" s="300" t="s">
        <v>9</v>
      </c>
      <c r="C6" s="301">
        <v>2742318.57</v>
      </c>
      <c r="D6" s="583">
        <v>1297319.05</v>
      </c>
      <c r="E6" s="584">
        <f>SUM(C6:D6)</f>
        <v>4039637.62</v>
      </c>
      <c r="F6" s="514">
        <v>33747</v>
      </c>
      <c r="G6" s="521">
        <v>13577</v>
      </c>
      <c r="H6" s="303">
        <f aca="true" t="shared" si="0" ref="H6:H25">SUM(F6:G6)</f>
        <v>47324</v>
      </c>
      <c r="I6" s="309"/>
      <c r="J6" s="523"/>
      <c r="K6" s="303">
        <f aca="true" t="shared" si="1" ref="K6:K25">SUM(I6:J6)</f>
        <v>0</v>
      </c>
    </row>
    <row r="7" spans="1:11" ht="15" customHeight="1">
      <c r="A7" s="304">
        <v>21</v>
      </c>
      <c r="B7" s="305" t="s">
        <v>10</v>
      </c>
      <c r="C7" s="307">
        <v>362249.44</v>
      </c>
      <c r="D7" s="520">
        <v>235967.8</v>
      </c>
      <c r="E7" s="585">
        <f aca="true" t="shared" si="2" ref="E7:E19">SUM(C7:D7)</f>
        <v>598217.24</v>
      </c>
      <c r="F7" s="302">
        <v>4243</v>
      </c>
      <c r="G7" s="522">
        <v>2867</v>
      </c>
      <c r="H7" s="311">
        <f t="shared" si="0"/>
        <v>7110</v>
      </c>
      <c r="I7" s="309"/>
      <c r="J7" s="523"/>
      <c r="K7" s="311">
        <f t="shared" si="1"/>
        <v>0</v>
      </c>
    </row>
    <row r="8" spans="1:11" ht="15" customHeight="1">
      <c r="A8" s="304">
        <v>22</v>
      </c>
      <c r="B8" s="305" t="s">
        <v>11</v>
      </c>
      <c r="C8" s="307">
        <v>116466</v>
      </c>
      <c r="D8" s="520">
        <v>116624</v>
      </c>
      <c r="E8" s="585">
        <f t="shared" si="2"/>
        <v>233090</v>
      </c>
      <c r="F8" s="309">
        <v>1430</v>
      </c>
      <c r="G8" s="523">
        <v>1400</v>
      </c>
      <c r="H8" s="311">
        <f t="shared" si="0"/>
        <v>2830</v>
      </c>
      <c r="I8" s="514"/>
      <c r="J8" s="521"/>
      <c r="K8" s="311">
        <f t="shared" si="1"/>
        <v>0</v>
      </c>
    </row>
    <row r="9" spans="1:11" ht="15" customHeight="1">
      <c r="A9" s="304">
        <v>23</v>
      </c>
      <c r="B9" s="305" t="s">
        <v>12</v>
      </c>
      <c r="C9" s="307">
        <v>456646.06</v>
      </c>
      <c r="D9" s="520">
        <v>132859.94</v>
      </c>
      <c r="E9" s="585">
        <f t="shared" si="2"/>
        <v>589506</v>
      </c>
      <c r="F9" s="309">
        <v>5386</v>
      </c>
      <c r="G9" s="523">
        <v>1515</v>
      </c>
      <c r="H9" s="311">
        <f t="shared" si="0"/>
        <v>6901</v>
      </c>
      <c r="I9" s="514"/>
      <c r="J9" s="521"/>
      <c r="K9" s="311">
        <f t="shared" si="1"/>
        <v>0</v>
      </c>
    </row>
    <row r="10" spans="1:11" ht="15" customHeight="1">
      <c r="A10" s="304">
        <v>31</v>
      </c>
      <c r="B10" s="305" t="s">
        <v>13</v>
      </c>
      <c r="C10" s="307">
        <v>6119865.77</v>
      </c>
      <c r="D10" s="520">
        <v>1500528.88</v>
      </c>
      <c r="E10" s="585">
        <f t="shared" si="2"/>
        <v>7620394.649999999</v>
      </c>
      <c r="F10" s="309">
        <v>83082</v>
      </c>
      <c r="G10" s="523">
        <v>18894</v>
      </c>
      <c r="H10" s="311">
        <f t="shared" si="0"/>
        <v>101976</v>
      </c>
      <c r="I10" s="514"/>
      <c r="J10" s="521"/>
      <c r="K10" s="311">
        <f t="shared" si="1"/>
        <v>0</v>
      </c>
    </row>
    <row r="11" spans="1:11" ht="15" customHeight="1">
      <c r="A11" s="304">
        <v>33</v>
      </c>
      <c r="B11" s="305" t="s">
        <v>14</v>
      </c>
      <c r="C11" s="307">
        <v>1203447.4</v>
      </c>
      <c r="D11" s="520">
        <v>96568.62</v>
      </c>
      <c r="E11" s="585">
        <f t="shared" si="2"/>
        <v>1300016.02</v>
      </c>
      <c r="F11" s="309">
        <v>14543</v>
      </c>
      <c r="G11" s="523">
        <v>980</v>
      </c>
      <c r="H11" s="311">
        <f t="shared" si="0"/>
        <v>15523</v>
      </c>
      <c r="I11" s="514"/>
      <c r="J11" s="521"/>
      <c r="K11" s="311">
        <f t="shared" si="1"/>
        <v>0</v>
      </c>
    </row>
    <row r="12" spans="1:11" ht="15" customHeight="1">
      <c r="A12" s="304">
        <v>41</v>
      </c>
      <c r="B12" s="305" t="s">
        <v>15</v>
      </c>
      <c r="C12" s="307">
        <v>609933.75</v>
      </c>
      <c r="D12" s="520">
        <v>130633.66</v>
      </c>
      <c r="E12" s="585">
        <f t="shared" si="2"/>
        <v>740567.41</v>
      </c>
      <c r="F12" s="309">
        <v>8452</v>
      </c>
      <c r="G12" s="523">
        <v>1239</v>
      </c>
      <c r="H12" s="311">
        <f t="shared" si="0"/>
        <v>9691</v>
      </c>
      <c r="I12" s="514"/>
      <c r="J12" s="521"/>
      <c r="K12" s="311">
        <f t="shared" si="1"/>
        <v>0</v>
      </c>
    </row>
    <row r="13" spans="1:11" ht="15" customHeight="1">
      <c r="A13" s="304">
        <v>51</v>
      </c>
      <c r="B13" s="305" t="s">
        <v>16</v>
      </c>
      <c r="C13" s="307">
        <v>53347</v>
      </c>
      <c r="D13" s="520">
        <v>138585</v>
      </c>
      <c r="E13" s="585">
        <f t="shared" si="2"/>
        <v>191932</v>
      </c>
      <c r="F13" s="309">
        <v>909</v>
      </c>
      <c r="G13" s="528">
        <v>1340</v>
      </c>
      <c r="H13" s="311">
        <f t="shared" si="0"/>
        <v>2249</v>
      </c>
      <c r="I13" s="514"/>
      <c r="J13" s="521"/>
      <c r="K13" s="311">
        <f t="shared" si="1"/>
        <v>0</v>
      </c>
    </row>
    <row r="14" spans="1:11" ht="15" customHeight="1">
      <c r="A14" s="312">
        <v>56</v>
      </c>
      <c r="B14" s="313" t="s">
        <v>17</v>
      </c>
      <c r="C14" s="314">
        <v>383333.32</v>
      </c>
      <c r="D14" s="586">
        <v>197622.6</v>
      </c>
      <c r="E14" s="587">
        <f t="shared" si="2"/>
        <v>580955.92</v>
      </c>
      <c r="F14" s="515">
        <v>4942</v>
      </c>
      <c r="G14" s="317">
        <v>2314</v>
      </c>
      <c r="H14" s="318">
        <f t="shared" si="0"/>
        <v>7256</v>
      </c>
      <c r="I14" s="316"/>
      <c r="J14" s="1277"/>
      <c r="K14" s="318">
        <f t="shared" si="1"/>
        <v>0</v>
      </c>
    </row>
    <row r="15" spans="1:11" ht="15" customHeight="1">
      <c r="A15" s="304">
        <v>81</v>
      </c>
      <c r="B15" s="305" t="s">
        <v>105</v>
      </c>
      <c r="C15" s="307">
        <v>403446.78</v>
      </c>
      <c r="D15" s="520">
        <v>573711.19</v>
      </c>
      <c r="E15" s="588">
        <f t="shared" si="2"/>
        <v>977157.97</v>
      </c>
      <c r="F15" s="514">
        <v>4737</v>
      </c>
      <c r="G15" s="524">
        <v>7705</v>
      </c>
      <c r="H15" s="319">
        <f t="shared" si="0"/>
        <v>12442</v>
      </c>
      <c r="I15" s="514"/>
      <c r="J15" s="521">
        <v>0</v>
      </c>
      <c r="K15" s="319">
        <f t="shared" si="1"/>
        <v>0</v>
      </c>
    </row>
    <row r="16" spans="1:11" ht="15" customHeight="1">
      <c r="A16" s="304">
        <v>82</v>
      </c>
      <c r="B16" s="305" t="s">
        <v>2</v>
      </c>
      <c r="C16" s="307">
        <v>4486004</v>
      </c>
      <c r="D16" s="520"/>
      <c r="E16" s="588">
        <f t="shared" si="2"/>
        <v>4486004</v>
      </c>
      <c r="F16" s="514">
        <v>54187</v>
      </c>
      <c r="G16" s="521">
        <v>0</v>
      </c>
      <c r="H16" s="311">
        <f t="shared" si="0"/>
        <v>54187</v>
      </c>
      <c r="I16" s="514"/>
      <c r="J16" s="526">
        <f>G16</f>
        <v>0</v>
      </c>
      <c r="K16" s="311">
        <f t="shared" si="1"/>
        <v>0</v>
      </c>
    </row>
    <row r="17" spans="1:11" ht="15" customHeight="1">
      <c r="A17" s="304">
        <v>83</v>
      </c>
      <c r="B17" s="305" t="s">
        <v>140</v>
      </c>
      <c r="C17" s="307">
        <v>242</v>
      </c>
      <c r="D17" s="520">
        <v>38257.31</v>
      </c>
      <c r="E17" s="585">
        <f t="shared" si="2"/>
        <v>38499.31</v>
      </c>
      <c r="F17" s="320">
        <v>3</v>
      </c>
      <c r="G17" s="523">
        <v>261</v>
      </c>
      <c r="H17" s="311">
        <f t="shared" si="0"/>
        <v>264</v>
      </c>
      <c r="I17" s="514"/>
      <c r="J17" s="526">
        <f>G17</f>
        <v>261</v>
      </c>
      <c r="K17" s="311">
        <f t="shared" si="1"/>
        <v>261</v>
      </c>
    </row>
    <row r="18" spans="1:11" ht="15" customHeight="1">
      <c r="A18" s="304">
        <v>84</v>
      </c>
      <c r="B18" s="305" t="s">
        <v>139</v>
      </c>
      <c r="C18" s="307">
        <v>51485</v>
      </c>
      <c r="D18" s="520">
        <v>10255</v>
      </c>
      <c r="E18" s="585">
        <f t="shared" si="2"/>
        <v>61740</v>
      </c>
      <c r="F18" s="309">
        <v>624</v>
      </c>
      <c r="G18" s="310">
        <v>124</v>
      </c>
      <c r="H18" s="311">
        <f t="shared" si="0"/>
        <v>748</v>
      </c>
      <c r="I18" s="514"/>
      <c r="J18" s="526">
        <f>G18</f>
        <v>124</v>
      </c>
      <c r="K18" s="311">
        <f t="shared" si="1"/>
        <v>124</v>
      </c>
    </row>
    <row r="19" spans="1:11" ht="15" customHeight="1">
      <c r="A19" s="304">
        <v>85</v>
      </c>
      <c r="B19" s="305" t="s">
        <v>209</v>
      </c>
      <c r="C19" s="307">
        <v>28503</v>
      </c>
      <c r="D19" s="520">
        <v>20136.65</v>
      </c>
      <c r="E19" s="585">
        <f t="shared" si="2"/>
        <v>48639.65</v>
      </c>
      <c r="F19" s="309">
        <v>339</v>
      </c>
      <c r="G19" s="310">
        <v>305</v>
      </c>
      <c r="H19" s="468">
        <f t="shared" si="0"/>
        <v>644</v>
      </c>
      <c r="I19" s="309"/>
      <c r="J19" s="523">
        <v>0</v>
      </c>
      <c r="K19" s="468">
        <f t="shared" si="1"/>
        <v>0</v>
      </c>
    </row>
    <row r="20" spans="1:11" ht="15" customHeight="1" hidden="1">
      <c r="A20" s="304">
        <v>87</v>
      </c>
      <c r="B20" s="305" t="s">
        <v>291</v>
      </c>
      <c r="C20" s="582"/>
      <c r="D20" s="590"/>
      <c r="E20" s="582"/>
      <c r="F20" s="466">
        <v>0</v>
      </c>
      <c r="G20" s="467">
        <v>0</v>
      </c>
      <c r="H20" s="311">
        <f t="shared" si="0"/>
        <v>0</v>
      </c>
      <c r="I20" s="309"/>
      <c r="J20" s="523">
        <f>G20</f>
        <v>0</v>
      </c>
      <c r="K20" s="311">
        <f t="shared" si="1"/>
        <v>0</v>
      </c>
    </row>
    <row r="21" spans="1:11" ht="15" customHeight="1">
      <c r="A21" s="304">
        <v>92</v>
      </c>
      <c r="B21" s="305" t="s">
        <v>20</v>
      </c>
      <c r="C21" s="307">
        <v>3782413.1</v>
      </c>
      <c r="D21" s="308">
        <v>1094582.64</v>
      </c>
      <c r="E21" s="585">
        <f>SUM(C21:D21)</f>
        <v>4876995.74</v>
      </c>
      <c r="F21" s="309">
        <v>44510</v>
      </c>
      <c r="G21" s="310">
        <v>10540</v>
      </c>
      <c r="H21" s="311">
        <f t="shared" si="0"/>
        <v>55050</v>
      </c>
      <c r="I21" s="309"/>
      <c r="J21" s="525">
        <f>G21</f>
        <v>10540</v>
      </c>
      <c r="K21" s="311">
        <f t="shared" si="1"/>
        <v>10540</v>
      </c>
    </row>
    <row r="22" spans="1:11" ht="15" customHeight="1">
      <c r="A22" s="304">
        <v>96</v>
      </c>
      <c r="B22" s="305" t="s">
        <v>44</v>
      </c>
      <c r="C22" s="307">
        <v>664</v>
      </c>
      <c r="D22" s="308">
        <v>13114</v>
      </c>
      <c r="E22" s="585">
        <f>SUM(C22:D22)</f>
        <v>13778</v>
      </c>
      <c r="F22" s="309">
        <v>8</v>
      </c>
      <c r="G22" s="310">
        <v>159</v>
      </c>
      <c r="H22" s="311">
        <f t="shared" si="0"/>
        <v>167</v>
      </c>
      <c r="I22" s="309"/>
      <c r="J22" s="525">
        <f>G22</f>
        <v>159</v>
      </c>
      <c r="K22" s="311">
        <f t="shared" si="1"/>
        <v>159</v>
      </c>
    </row>
    <row r="23" spans="1:11" ht="15" customHeight="1">
      <c r="A23" s="304">
        <v>97</v>
      </c>
      <c r="B23" s="305" t="s">
        <v>45</v>
      </c>
      <c r="C23" s="307">
        <v>823</v>
      </c>
      <c r="D23" s="308">
        <v>7516</v>
      </c>
      <c r="E23" s="585">
        <f>SUM(C23:D23)</f>
        <v>8339</v>
      </c>
      <c r="F23" s="309">
        <v>10</v>
      </c>
      <c r="G23" s="310">
        <v>90</v>
      </c>
      <c r="H23" s="311">
        <f t="shared" si="0"/>
        <v>100</v>
      </c>
      <c r="I23" s="309"/>
      <c r="J23" s="525">
        <f>G23</f>
        <v>90</v>
      </c>
      <c r="K23" s="311">
        <f t="shared" si="1"/>
        <v>90</v>
      </c>
    </row>
    <row r="24" spans="1:11" ht="15" customHeight="1">
      <c r="A24" s="312">
        <v>99</v>
      </c>
      <c r="B24" s="313" t="s">
        <v>21</v>
      </c>
      <c r="C24" s="314">
        <v>232647</v>
      </c>
      <c r="D24" s="315">
        <v>181501.41</v>
      </c>
      <c r="E24" s="589">
        <f>SUM(C24:D24)</f>
        <v>414148.41000000003</v>
      </c>
      <c r="F24" s="316">
        <v>2990</v>
      </c>
      <c r="G24" s="310">
        <v>1638</v>
      </c>
      <c r="H24" s="321">
        <f t="shared" si="0"/>
        <v>4628</v>
      </c>
      <c r="I24" s="309"/>
      <c r="J24" s="525">
        <f>G24</f>
        <v>1638</v>
      </c>
      <c r="K24" s="321">
        <f t="shared" si="1"/>
        <v>1638</v>
      </c>
    </row>
    <row r="25" spans="1:11" ht="11.25">
      <c r="A25" s="322" t="s">
        <v>19</v>
      </c>
      <c r="B25" s="323"/>
      <c r="C25" s="513">
        <f>SUM(C6:C24)</f>
        <v>21033835.19</v>
      </c>
      <c r="D25" s="512">
        <f>SUM(D6:D24)</f>
        <v>5785783.75</v>
      </c>
      <c r="E25" s="511">
        <f>SUM(E6:E24)</f>
        <v>26819618.939999994</v>
      </c>
      <c r="F25" s="324">
        <f>SUM(F6:F24)</f>
        <v>264142</v>
      </c>
      <c r="G25" s="325">
        <f>SUM(G6:G24)</f>
        <v>64948</v>
      </c>
      <c r="H25" s="326">
        <f t="shared" si="0"/>
        <v>329090</v>
      </c>
      <c r="I25" s="324">
        <f>SUM(I6:I24)</f>
        <v>0</v>
      </c>
      <c r="J25" s="327">
        <f>SUM(J6:J24)</f>
        <v>12812</v>
      </c>
      <c r="K25" s="326">
        <f t="shared" si="1"/>
        <v>12812</v>
      </c>
    </row>
    <row r="26" spans="1:11" ht="11.25">
      <c r="A26" s="328" t="s">
        <v>210</v>
      </c>
      <c r="B26" s="329"/>
      <c r="C26" s="330">
        <f>SUM(C6:C14)</f>
        <v>12047607.31</v>
      </c>
      <c r="D26" s="306">
        <f>SUM(D6:D14)</f>
        <v>3846709.5500000003</v>
      </c>
      <c r="E26" s="331">
        <f>SUM(E6:E14)</f>
        <v>15894316.86</v>
      </c>
      <c r="F26" s="332">
        <f aca="true" t="shared" si="3" ref="F26:K26">SUM(F6:F14)</f>
        <v>156734</v>
      </c>
      <c r="G26" s="310">
        <f t="shared" si="3"/>
        <v>44126</v>
      </c>
      <c r="H26" s="333">
        <f t="shared" si="3"/>
        <v>200860</v>
      </c>
      <c r="I26" s="332">
        <f t="shared" si="3"/>
        <v>0</v>
      </c>
      <c r="J26" s="503">
        <f t="shared" si="3"/>
        <v>0</v>
      </c>
      <c r="K26" s="333">
        <f t="shared" si="3"/>
        <v>0</v>
      </c>
    </row>
    <row r="27" spans="1:11" ht="12" thickBot="1">
      <c r="A27" s="334" t="s">
        <v>23</v>
      </c>
      <c r="B27" s="335"/>
      <c r="C27" s="336">
        <f>SUM(C15:C24)</f>
        <v>8986227.88</v>
      </c>
      <c r="D27" s="337">
        <f>SUM(D15:D24)</f>
        <v>1939074.2</v>
      </c>
      <c r="E27" s="338">
        <f>SUM(E15:E24)</f>
        <v>10925302.08</v>
      </c>
      <c r="F27" s="339">
        <f aca="true" t="shared" si="4" ref="F27:K27">SUM(F15:F24)</f>
        <v>107408</v>
      </c>
      <c r="G27" s="340">
        <f t="shared" si="4"/>
        <v>20822</v>
      </c>
      <c r="H27" s="341">
        <f t="shared" si="4"/>
        <v>128230</v>
      </c>
      <c r="I27" s="339">
        <f t="shared" si="4"/>
        <v>0</v>
      </c>
      <c r="J27" s="504">
        <f t="shared" si="4"/>
        <v>12812</v>
      </c>
      <c r="K27" s="341">
        <f t="shared" si="4"/>
        <v>12812</v>
      </c>
    </row>
    <row r="28" spans="6:11" ht="11.25" customHeight="1" hidden="1">
      <c r="F28" s="342">
        <f aca="true" t="shared" si="5" ref="F28:F33">F25/H25*100</f>
        <v>80.26436537117506</v>
      </c>
      <c r="G28" s="342">
        <f aca="true" t="shared" si="6" ref="G28:G33">G25/H25*100</f>
        <v>19.73563462882494</v>
      </c>
      <c r="H28" s="342">
        <f aca="true" t="shared" si="7" ref="H28:H33">F28+G28</f>
        <v>100</v>
      </c>
      <c r="I28" s="342">
        <f>I25/K25*100</f>
        <v>0</v>
      </c>
      <c r="J28" s="342">
        <f>J25/K25*100</f>
        <v>100</v>
      </c>
      <c r="K28" s="342">
        <f>I28+J28</f>
        <v>100</v>
      </c>
    </row>
    <row r="29" spans="6:11" ht="11.25" customHeight="1" hidden="1">
      <c r="F29" s="342">
        <f t="shared" si="5"/>
        <v>78.03146470178234</v>
      </c>
      <c r="G29" s="342">
        <f t="shared" si="6"/>
        <v>21.968535298217663</v>
      </c>
      <c r="H29" s="342">
        <f t="shared" si="7"/>
        <v>100</v>
      </c>
      <c r="I29" s="342" t="e">
        <f>I26/K26*100</f>
        <v>#DIV/0!</v>
      </c>
      <c r="J29" s="342" t="e">
        <f>J26/K26*100</f>
        <v>#DIV/0!</v>
      </c>
      <c r="K29" s="342" t="e">
        <f>I29+J29</f>
        <v>#DIV/0!</v>
      </c>
    </row>
    <row r="30" spans="6:11" ht="11.25" customHeight="1" hidden="1">
      <c r="F30" s="342">
        <f t="shared" si="5"/>
        <v>83.76199017390627</v>
      </c>
      <c r="G30" s="342">
        <f t="shared" si="6"/>
        <v>16.238009826093737</v>
      </c>
      <c r="H30" s="342">
        <f t="shared" si="7"/>
        <v>100</v>
      </c>
      <c r="I30" s="342">
        <f>I27/K27*100</f>
        <v>0</v>
      </c>
      <c r="J30" s="342">
        <f>J27/K27*100</f>
        <v>100</v>
      </c>
      <c r="K30" s="342">
        <f>I30+J30</f>
        <v>100</v>
      </c>
    </row>
    <row r="31" spans="6:11" ht="11.25">
      <c r="F31" s="342">
        <f t="shared" si="5"/>
        <v>80.26436537117506</v>
      </c>
      <c r="G31" s="342">
        <f t="shared" si="6"/>
        <v>19.73563462882494</v>
      </c>
      <c r="H31" s="342">
        <f t="shared" si="7"/>
        <v>100</v>
      </c>
      <c r="I31" s="342"/>
      <c r="J31" s="342"/>
      <c r="K31" s="342"/>
    </row>
    <row r="32" spans="1:11" ht="11.25">
      <c r="A32" s="343"/>
      <c r="B32" s="344"/>
      <c r="C32" s="344"/>
      <c r="D32" s="344"/>
      <c r="E32" s="344"/>
      <c r="F32" s="342">
        <f t="shared" si="5"/>
        <v>78.03146470178234</v>
      </c>
      <c r="G32" s="342">
        <f t="shared" si="6"/>
        <v>21.968535298217663</v>
      </c>
      <c r="H32" s="342">
        <f t="shared" si="7"/>
        <v>100</v>
      </c>
      <c r="I32" s="342"/>
      <c r="J32" s="342"/>
      <c r="K32" s="342"/>
    </row>
    <row r="33" spans="6:11" ht="11.25">
      <c r="F33" s="342">
        <f t="shared" si="5"/>
        <v>83.76199017390627</v>
      </c>
      <c r="G33" s="342">
        <f t="shared" si="6"/>
        <v>16.238009826093737</v>
      </c>
      <c r="H33" s="342">
        <f t="shared" si="7"/>
        <v>100</v>
      </c>
      <c r="I33" s="342"/>
      <c r="J33" s="342"/>
      <c r="K33" s="342"/>
    </row>
    <row r="34" spans="1:5" s="298" customFormat="1" ht="11.25">
      <c r="A34" s="591"/>
      <c r="B34" s="345"/>
      <c r="C34" s="345"/>
      <c r="D34" s="345"/>
      <c r="E34" s="345"/>
    </row>
    <row r="35" spans="1:5" s="298" customFormat="1" ht="11.25">
      <c r="A35" s="592"/>
      <c r="B35" s="345"/>
      <c r="C35" s="345"/>
      <c r="D35" s="345"/>
      <c r="E35" s="345"/>
    </row>
    <row r="37" spans="1:5" ht="11.25">
      <c r="A37" s="1278" t="s">
        <v>482</v>
      </c>
      <c r="B37" s="527"/>
      <c r="C37" s="527"/>
      <c r="D37" s="527"/>
      <c r="E37" s="527"/>
    </row>
    <row r="38" spans="1:2" ht="11.25">
      <c r="A38" s="1278" t="s">
        <v>211</v>
      </c>
      <c r="B38" s="527"/>
    </row>
    <row r="39" ht="11.25">
      <c r="A39" s="287"/>
    </row>
  </sheetData>
  <mergeCells count="5">
    <mergeCell ref="F2:H2"/>
    <mergeCell ref="I2:K2"/>
    <mergeCell ref="C3:E3"/>
    <mergeCell ref="F3:H3"/>
    <mergeCell ref="I3:K3"/>
  </mergeCells>
  <printOptions/>
  <pageMargins left="0.41" right="0.32" top="0.64" bottom="0.57" header="0.4921259845" footer="0.4921259845"/>
  <pageSetup horizontalDpi="600" verticalDpi="600" orientation="portrait" paperSize="9" scale="90" r:id="rId1"/>
  <headerFooter alignWithMargins="0">
    <oddHeader>&amp;R&amp;8Příloha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Foukalova</cp:lastModifiedBy>
  <cp:lastPrinted>2010-03-02T14:33:09Z</cp:lastPrinted>
  <dcterms:created xsi:type="dcterms:W3CDTF">2002-02-05T08:08:05Z</dcterms:created>
  <dcterms:modified xsi:type="dcterms:W3CDTF">2010-03-03T18:24:20Z</dcterms:modified>
  <cp:category/>
  <cp:version/>
  <cp:contentType/>
  <cp:contentStatus/>
</cp:coreProperties>
</file>