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Default Extension="vml" ContentType="application/vnd.openxmlformats-officedocument.vmlDrawing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050" windowHeight="12780" tabRatio="893" activeTab="0"/>
  </bookViews>
  <sheets>
    <sheet name="titl" sheetId="1" r:id="rId1"/>
    <sheet name="MU_plan" sheetId="2" r:id="rId2"/>
    <sheet name="fak plan" sheetId="3" r:id="rId3"/>
    <sheet name="ostatni plan" sheetId="4" r:id="rId4"/>
    <sheet name="LF" sheetId="5" r:id="rId5"/>
    <sheet name="FF" sheetId="6" r:id="rId6"/>
    <sheet name="PrF" sheetId="7" r:id="rId7"/>
    <sheet name="FSS" sheetId="8" r:id="rId8"/>
    <sheet name="PřF" sheetId="9" r:id="rId9"/>
    <sheet name="FI" sheetId="10" r:id="rId10"/>
    <sheet name="PdF" sheetId="11" r:id="rId11"/>
    <sheet name="FSpS" sheetId="12" r:id="rId12"/>
    <sheet name="ESF" sheetId="13" r:id="rId13"/>
    <sheet name="fak" sheetId="14" r:id="rId14"/>
    <sheet name="CEITEC MU" sheetId="15" r:id="rId15"/>
    <sheet name="CEITEC-CŘS" sheetId="16" r:id="rId16"/>
    <sheet name="SKM" sheetId="17" r:id="rId17"/>
    <sheet name="SUKB" sheetId="18" r:id="rId18"/>
    <sheet name="UCT" sheetId="19" r:id="rId19"/>
    <sheet name="SPSSN" sheetId="20" r:id="rId20"/>
    <sheet name="IBA" sheetId="21" r:id="rId21"/>
    <sheet name="CTT" sheetId="22" r:id="rId22"/>
    <sheet name="ÚVT" sheetId="23" r:id="rId23"/>
    <sheet name="CJV" sheetId="24" r:id="rId24"/>
    <sheet name="CZS" sheetId="25" r:id="rId25"/>
    <sheet name="RMU" sheetId="26" r:id="rId26"/>
    <sheet name="ostatni" sheetId="27" r:id="rId27"/>
    <sheet name="MU_skut" sheetId="28" state="hidden" r:id="rId28"/>
    <sheet name="fak-skut." sheetId="29" state="hidden" r:id="rId29"/>
    <sheet name="ostatni_skut" sheetId="30" state="hidden" r:id="rId30"/>
    <sheet name="MU_odhad" sheetId="31" state="hidden" r:id="rId31"/>
    <sheet name="fak-odhad" sheetId="32" state="hidden" r:id="rId32"/>
    <sheet name="ostatni_odhad" sheetId="33" state="hidden" r:id="rId33"/>
    <sheet name="osnova2011" sheetId="34" r:id="rId34"/>
    <sheet name="osnova2010" sheetId="35" r:id="rId35"/>
  </sheets>
  <externalReferences>
    <externalReference r:id="rId38"/>
  </externalReferences>
  <definedNames>
    <definedName name="bla" localSheetId="33">#REF!</definedName>
    <definedName name="bla">#REF!</definedName>
    <definedName name="_xlnm.Print_Area" localSheetId="31">'fak-odhad'!$A$1:$R$49</definedName>
    <definedName name="_xlnm.Print_Area" localSheetId="30">'MU_odhad'!$A$1:$K$50</definedName>
    <definedName name="_xlnm.Print_Area" localSheetId="1">'MU_plan'!$A$1:$Q$50</definedName>
    <definedName name="_xlnm.Print_Area" localSheetId="3">'ostatni plan'!$A$1:$AA$50</definedName>
  </definedNames>
  <calcPr fullCalcOnLoad="1"/>
</workbook>
</file>

<file path=xl/comments24.xml><?xml version="1.0" encoding="utf-8"?>
<comments xmlns="http://schemas.openxmlformats.org/spreadsheetml/2006/main">
  <authors>
    <author>Sulcova</author>
  </authors>
  <commentList>
    <comment ref="N15" authorId="0">
      <text>
        <r>
          <rPr>
            <b/>
            <sz val="8"/>
            <rFont val="Tahoma"/>
            <family val="0"/>
          </rPr>
          <t>Sulcova:</t>
        </r>
        <r>
          <rPr>
            <sz val="8"/>
            <rFont val="Tahoma"/>
            <family val="0"/>
          </rPr>
          <t xml:space="preserve">
zahrnut SF v souladu s RUMBUREM</t>
        </r>
      </text>
    </comment>
  </commentList>
</comments>
</file>

<file path=xl/sharedStrings.xml><?xml version="1.0" encoding="utf-8"?>
<sst xmlns="http://schemas.openxmlformats.org/spreadsheetml/2006/main" count="2646" uniqueCount="244">
  <si>
    <t>Plán</t>
  </si>
  <si>
    <t>Upravený</t>
  </si>
  <si>
    <t>bez</t>
  </si>
  <si>
    <t>Převody z fondů/použití fondů</t>
  </si>
  <si>
    <t>Skutečnost</t>
  </si>
  <si>
    <t>č.ř.</t>
  </si>
  <si>
    <t>činnost</t>
  </si>
  <si>
    <t>plán</t>
  </si>
  <si>
    <t>fondů</t>
  </si>
  <si>
    <t>FPP</t>
  </si>
  <si>
    <t>FÚUP</t>
  </si>
  <si>
    <t>FO</t>
  </si>
  <si>
    <t>Fstip</t>
  </si>
  <si>
    <t>Náklady celkem (ř.2+14až25)</t>
  </si>
  <si>
    <t xml:space="preserve">   z toho:</t>
  </si>
  <si>
    <t xml:space="preserve"> A-vzděl.č.,specif.VaV,SKM,vlastní,fondy:</t>
  </si>
  <si>
    <t xml:space="preserve">v tom - </t>
  </si>
  <si>
    <t>mzdy</t>
  </si>
  <si>
    <t>OON</t>
  </si>
  <si>
    <t>odvody</t>
  </si>
  <si>
    <t>energie</t>
  </si>
  <si>
    <t>opravy, údržba</t>
  </si>
  <si>
    <t>materiál</t>
  </si>
  <si>
    <t>služby</t>
  </si>
  <si>
    <t>cestovné</t>
  </si>
  <si>
    <t>odpisy</t>
  </si>
  <si>
    <t>stipendia</t>
  </si>
  <si>
    <t>ostatní</t>
  </si>
  <si>
    <t>C-doktorská stipendia</t>
  </si>
  <si>
    <t>112*</t>
  </si>
  <si>
    <t>D-zahr.st.,CEEPUS,AKTION,Socrates</t>
  </si>
  <si>
    <t>113*</t>
  </si>
  <si>
    <t>F-vzdělávací projekty, I-rozvojové programy, J,M,H,E</t>
  </si>
  <si>
    <t>115*,118*,114*</t>
  </si>
  <si>
    <t>G-FRVŠ</t>
  </si>
  <si>
    <t>116*</t>
  </si>
  <si>
    <t>Ostatní dotace ze SR a od úz.celků bez VaV</t>
  </si>
  <si>
    <t>13* bez 139*,14*</t>
  </si>
  <si>
    <t>OPRLZ, strukturální fondy aj.proj.spoluf.EU</t>
  </si>
  <si>
    <t>119*, 139*</t>
  </si>
  <si>
    <t xml:space="preserve">Účelové příspěvky bez VaV </t>
  </si>
  <si>
    <t>151*,161*</t>
  </si>
  <si>
    <t>Výzkumné záměry</t>
  </si>
  <si>
    <t>Projekty VaV ze SR a od úz.celků</t>
  </si>
  <si>
    <t>Projekty VaV z dotací ze zahr.</t>
  </si>
  <si>
    <t xml:space="preserve">Účelové příspěvky na VaV </t>
  </si>
  <si>
    <t>251*</t>
  </si>
  <si>
    <t>Doplňková činnost</t>
  </si>
  <si>
    <t>8*</t>
  </si>
  <si>
    <t>Výnosy celkem (ř.27 až 43)</t>
  </si>
  <si>
    <t>A-příspěvek na vzdělávací činnost</t>
  </si>
  <si>
    <t>111*</t>
  </si>
  <si>
    <t>Dotace na SKM, přísp.na ubytovací a soc.stip.</t>
  </si>
  <si>
    <t>12*, 117*</t>
  </si>
  <si>
    <t>Účelové příspěvky bez VaV</t>
  </si>
  <si>
    <t xml:space="preserve">VaV - dotace na specif. výzkum </t>
  </si>
  <si>
    <t>VaV - Výzkumné záměry</t>
  </si>
  <si>
    <t>VaV - ze SR a od úz.celků</t>
  </si>
  <si>
    <t xml:space="preserve">Účelové příspěvky  na VaV </t>
  </si>
  <si>
    <t>Vlastní zdroje (hl.č.za úplatu)</t>
  </si>
  <si>
    <t>Čerpání fondů</t>
  </si>
  <si>
    <t>Hospodářský výsledek dílčí (ř.27+32+36+41+42+43-2-25)</t>
  </si>
  <si>
    <t>Hospodářský výsledek (ř.26-1)</t>
  </si>
  <si>
    <t>Schváleno v AS fakulty dne:</t>
  </si>
  <si>
    <t>Podpis:</t>
  </si>
  <si>
    <t>Komentář:</t>
  </si>
  <si>
    <t>Náklady na tvorbu sociálního fondu ve výši 2 % z mezd (z ř.3) plánujte na ř. 5, tj. plán celkových odvodů bude 35+2=37 % resp. u dotačních projektů na řádky odpovídající příslušnému zdroji financování</t>
  </si>
  <si>
    <t>Výměnu NEI příspěvku za příspěvek na kapitálové výdaje plánujte v nákladech do ř.13 a plánovanou částku uveďte zde:</t>
  </si>
  <si>
    <t>Příspěvek na nedotační odpisy plánujte ve výnosech na ř. 27 (výnos bude součástí rozpisu rozdělení příspěvku na HS), náklad je součástí celkových nákladů na účetní odpisy na ř.11)</t>
  </si>
  <si>
    <t>Náklady na dotační odpisy plánujte na ř. 11, odpovídající částku účtovanou dle vyhl.504 do výnosů plánujte na ř. 41.</t>
  </si>
  <si>
    <t>Prostředky získané ze SR jako spolupříjemci (partneři) dotačních projektů plánujte - projekty VaV na ř. 24 a 40, ostatní (většinou projekty spolufinancované EU) na ř. 20 a 35</t>
  </si>
  <si>
    <r>
      <t xml:space="preserve">Hosp.středisko: </t>
    </r>
    <r>
      <rPr>
        <b/>
        <i/>
        <sz val="10"/>
        <rFont val="Arial CE"/>
        <family val="2"/>
      </rPr>
      <t>doplnit č.HS a název</t>
    </r>
  </si>
  <si>
    <r>
      <t>152*,153*,157*,159*,167*,169*,</t>
    </r>
    <r>
      <rPr>
        <sz val="8"/>
        <color indexed="10"/>
        <rFont val="Arial CE"/>
        <family val="0"/>
      </rPr>
      <t>19*</t>
    </r>
    <r>
      <rPr>
        <sz val="8"/>
        <rFont val="Arial CE"/>
        <family val="2"/>
      </rPr>
      <t>,257*,259*,267*,269*</t>
    </r>
  </si>
  <si>
    <t>11 - Lékařská fakulta</t>
  </si>
  <si>
    <t>21 - Filozofická fakulta</t>
  </si>
  <si>
    <t>22 - Právnická fakulta</t>
  </si>
  <si>
    <t>23 - Fakulta sociálních studií</t>
  </si>
  <si>
    <t>31 - Přírodovědecká fakulta</t>
  </si>
  <si>
    <t>33 - Fakulta informatiky</t>
  </si>
  <si>
    <t>41 - Pedagogická fakulta</t>
  </si>
  <si>
    <t>51 - Fakulta sportovních studií</t>
  </si>
  <si>
    <t>56 - Ekonomicko správní fakulta</t>
  </si>
  <si>
    <t>81 - SKM</t>
  </si>
  <si>
    <t>82 - SUKB</t>
  </si>
  <si>
    <t>83 - UCT</t>
  </si>
  <si>
    <t>84 - SPSSN</t>
  </si>
  <si>
    <t>85 - IBA</t>
  </si>
  <si>
    <t>92 - ÚVT</t>
  </si>
  <si>
    <t>96 - CJV</t>
  </si>
  <si>
    <t>97 - CZS</t>
  </si>
  <si>
    <t>Plán výměny NEI příspěvku za příspěvek na kapitálové výdaje je uveden v nákladech na ř.13 a činí částku:</t>
  </si>
  <si>
    <t>zak 1002</t>
  </si>
  <si>
    <t>součet</t>
  </si>
  <si>
    <t>zak 1921</t>
  </si>
  <si>
    <t>součet SUKB</t>
  </si>
  <si>
    <t>(+)</t>
  </si>
  <si>
    <t>(-)</t>
  </si>
  <si>
    <t>LF</t>
  </si>
  <si>
    <t>PřF</t>
  </si>
  <si>
    <t>SKM</t>
  </si>
  <si>
    <t>SUKB</t>
  </si>
  <si>
    <t>UCT</t>
  </si>
  <si>
    <t>SPSSN</t>
  </si>
  <si>
    <t>IBA</t>
  </si>
  <si>
    <t>ÚVT</t>
  </si>
  <si>
    <t>CJV</t>
  </si>
  <si>
    <t>CZS</t>
  </si>
  <si>
    <t>RMU</t>
  </si>
  <si>
    <t>celkem</t>
  </si>
  <si>
    <t>FF</t>
  </si>
  <si>
    <t>PrF</t>
  </si>
  <si>
    <t>FSS</t>
  </si>
  <si>
    <t>FI</t>
  </si>
  <si>
    <t>PdF</t>
  </si>
  <si>
    <t>FSpS</t>
  </si>
  <si>
    <t>ESF</t>
  </si>
  <si>
    <t>MU celkem - plán</t>
  </si>
  <si>
    <t>fakulty</t>
  </si>
  <si>
    <t>přehled po fakultách - plán</t>
  </si>
  <si>
    <t>přehled režijních součástí MU - plán</t>
  </si>
  <si>
    <t>Masarykova univerzita</t>
  </si>
  <si>
    <t>Žerotínovo nám. 9, 601 77  Brno</t>
  </si>
  <si>
    <t>sl.1+2</t>
  </si>
  <si>
    <t>ze sl.1</t>
  </si>
  <si>
    <t>CTT</t>
  </si>
  <si>
    <t>Odbor financování</t>
  </si>
  <si>
    <t>Fsoc</t>
  </si>
  <si>
    <t xml:space="preserve">Hosp.středisko: </t>
  </si>
  <si>
    <t>zak 50*</t>
  </si>
  <si>
    <t>zak 7101</t>
  </si>
  <si>
    <t>zak. 2001</t>
  </si>
  <si>
    <t>Přeúčtování na jiná HS</t>
  </si>
  <si>
    <t>zak 1666</t>
  </si>
  <si>
    <t>sl.3 až 8</t>
  </si>
  <si>
    <t>k.s.</t>
  </si>
  <si>
    <t>2a</t>
  </si>
  <si>
    <t>2b</t>
  </si>
  <si>
    <t>2c</t>
  </si>
  <si>
    <t>2d</t>
  </si>
  <si>
    <t>2e</t>
  </si>
  <si>
    <t>2f</t>
  </si>
  <si>
    <t>Zpracovala:Jana Foukalová, hlavní ekonom</t>
  </si>
  <si>
    <t>za období</t>
  </si>
  <si>
    <t>1 -</t>
  </si>
  <si>
    <t>Čerpání</t>
  </si>
  <si>
    <t>Odhad</t>
  </si>
  <si>
    <t>přehled po fakultách - skutečnost</t>
  </si>
  <si>
    <t>skuteč.</t>
  </si>
  <si>
    <t>přehled režij.součástí - skutečnost</t>
  </si>
  <si>
    <t>MU celkem - skutečnost</t>
  </si>
  <si>
    <t>Skuteč.</t>
  </si>
  <si>
    <t>přehled po fakultách - odhad</t>
  </si>
  <si>
    <t>odhad</t>
  </si>
  <si>
    <t>přehled režij.součástí - odhad</t>
  </si>
  <si>
    <t>MU celkem - odhad</t>
  </si>
  <si>
    <t xml:space="preserve">sumář fakult </t>
  </si>
  <si>
    <t xml:space="preserve">sumář režijních součástí MU </t>
  </si>
  <si>
    <t>1515-VpK- MU =partner</t>
  </si>
  <si>
    <t>2195-VaVpI, MU příjemce</t>
  </si>
  <si>
    <t>2515-VaVpI, MU=partner</t>
  </si>
  <si>
    <t>1195-VpK, MU=příjemce, 1398-FM(Norska)</t>
  </si>
  <si>
    <t>přij.říz.</t>
  </si>
  <si>
    <t>99 - RMU</t>
  </si>
  <si>
    <t>za přij.řízení</t>
  </si>
  <si>
    <t xml:space="preserve">Plán výměny NEI příspěvku za příspěvek na kapitálové výdaje </t>
  </si>
  <si>
    <t>za přijímací řízení</t>
  </si>
  <si>
    <t>Plán výměny NEI příspěvku za příspěvek na kapitálové výdaje</t>
  </si>
  <si>
    <t>stav FPP</t>
  </si>
  <si>
    <t>zak 1001</t>
  </si>
  <si>
    <t>zak 1005</t>
  </si>
  <si>
    <t>VaV - dotace na institucionální podporu</t>
  </si>
  <si>
    <t>z toho vnitro - ú.549 ?</t>
  </si>
  <si>
    <t>13a</t>
  </si>
  <si>
    <t xml:space="preserve">            SPN (režie) - ú.547*</t>
  </si>
  <si>
    <t>13b</t>
  </si>
  <si>
    <t>strukturální fondy aj.proj.spoluf.EU</t>
  </si>
  <si>
    <t>VaV - institucionální podpora</t>
  </si>
  <si>
    <t>4* bez FÚUP z dotací</t>
  </si>
  <si>
    <t>Náklady na tvorbu sociálního fondu ve výši 2 % z mezd (z ř.3) plánujte na ř. 5, tj. plán celkových odvodů bude 34+2=36 % resp. u dotačních projektů na řádky odpovídající příslušnému zdroji financování</t>
  </si>
  <si>
    <r>
      <t>Rozpočet 2010</t>
    </r>
    <r>
      <rPr>
        <b/>
        <sz val="12"/>
        <color indexed="10"/>
        <rFont val="Arial CE"/>
        <family val="0"/>
      </rPr>
      <t xml:space="preserve"> (v tis.Kč)</t>
    </r>
  </si>
  <si>
    <r>
      <t xml:space="preserve">Hosp.středisko: </t>
    </r>
    <r>
      <rPr>
        <sz val="10"/>
        <color indexed="12"/>
        <rFont val="Arial CE"/>
        <family val="0"/>
      </rPr>
      <t>&lt;</t>
    </r>
    <r>
      <rPr>
        <b/>
        <i/>
        <sz val="10"/>
        <color indexed="12"/>
        <rFont val="Arial CE"/>
        <family val="0"/>
      </rPr>
      <t>doplnit č.HS a název&gt;</t>
    </r>
  </si>
  <si>
    <r>
      <t>111*,12*,117*,152*,153*,157*,159*,167*,169*,</t>
    </r>
    <r>
      <rPr>
        <sz val="8"/>
        <rFont val="Arial CE"/>
        <family val="0"/>
      </rPr>
      <t>19*</t>
    </r>
    <r>
      <rPr>
        <sz val="8"/>
        <rFont val="Arial CE"/>
        <family val="2"/>
      </rPr>
      <t xml:space="preserve">,211* </t>
    </r>
    <r>
      <rPr>
        <sz val="8"/>
        <color indexed="10"/>
        <rFont val="Arial CE"/>
        <family val="0"/>
      </rPr>
      <t>- 2115</t>
    </r>
    <r>
      <rPr>
        <sz val="8"/>
        <rFont val="Arial CE"/>
        <family val="2"/>
      </rPr>
      <t>,257*,259*,267*,269*,4*</t>
    </r>
  </si>
  <si>
    <r>
      <t>213*,214*,22*,</t>
    </r>
    <r>
      <rPr>
        <sz val="8"/>
        <color indexed="10"/>
        <rFont val="Arial CE"/>
        <family val="0"/>
      </rPr>
      <t>2115,2125,2126</t>
    </r>
  </si>
  <si>
    <r>
      <t xml:space="preserve">Projekty VaV z dotací ze zahr., </t>
    </r>
    <r>
      <rPr>
        <sz val="9"/>
        <color indexed="10"/>
        <rFont val="Arial CE"/>
        <family val="0"/>
      </rPr>
      <t>VaVpI</t>
    </r>
  </si>
  <si>
    <r>
      <t>261*,</t>
    </r>
    <r>
      <rPr>
        <sz val="8"/>
        <color indexed="10"/>
        <rFont val="Arial CE"/>
        <family val="0"/>
      </rPr>
      <t>2195</t>
    </r>
  </si>
  <si>
    <r>
      <t xml:space="preserve">2111, </t>
    </r>
    <r>
      <rPr>
        <sz val="8"/>
        <color indexed="10"/>
        <rFont val="Arial CE"/>
        <family val="0"/>
      </rPr>
      <t>2112</t>
    </r>
  </si>
  <si>
    <t>Projekty VaV z dotací ze zahr., VaVpI</t>
  </si>
  <si>
    <t xml:space="preserve">zak </t>
  </si>
  <si>
    <t>stav FÚUP</t>
  </si>
  <si>
    <t>skutečnost</t>
  </si>
  <si>
    <t>stav FPP (tis.Kč)</t>
  </si>
  <si>
    <t>Dotační odpisy z řádku 41</t>
  </si>
  <si>
    <t>Hospodářská činnost ř.č 41+43 bez dotačních odpisů</t>
  </si>
  <si>
    <t>Dary nezaúčtované v ř.41 (IBA)</t>
  </si>
  <si>
    <t>Hospodářská činnost ř.č 41+43 bez dotačních odpisů+dary nezaúčtované v řádku 41</t>
  </si>
  <si>
    <t>z toho 4%</t>
  </si>
  <si>
    <t>Hosp.činnost ř.č 41+43 bez dot.odpisy+dary nezaúčt.v řádku 41</t>
  </si>
  <si>
    <t>přijímací řízení odečíst po zaúčtování</t>
  </si>
  <si>
    <t>HV po snížení o 4%</t>
  </si>
  <si>
    <t>Náklady na tvorbu sociálního fondu ve výši 1 % z mezd (z ř.3) plánujte na ř. 5, tj. plán celkových odvodů bude 34+1=35 % resp. u dotačních projektů na řádky odpovídající příslušnému zdroji financování</t>
  </si>
  <si>
    <r>
      <t xml:space="preserve">Rozpočet 2011 </t>
    </r>
    <r>
      <rPr>
        <b/>
        <sz val="10"/>
        <rFont val="Arial CE"/>
        <family val="0"/>
      </rPr>
      <t>- v tis. Kč</t>
    </r>
  </si>
  <si>
    <r>
      <t>Rozpočet 2011</t>
    </r>
    <r>
      <rPr>
        <sz val="10"/>
        <rFont val="Arial CE"/>
        <family val="0"/>
      </rPr>
      <t xml:space="preserve"> - v tis. Kč</t>
    </r>
  </si>
  <si>
    <t>Projekty VaV z dotací ze zahr. a OP VaV</t>
  </si>
  <si>
    <t>261*,2195</t>
  </si>
  <si>
    <t>152*,153*,157*,159*,167*,169*,19*,257*,259*,267*,269*</t>
  </si>
  <si>
    <t>Příspěvek na nedotační odpisy plánujte ve výnosech na ř. 27 (výnos je součástí rozpisu rozdělení příspěvku na HS, č.č.1112), náklad je součástí celkových nákladů na účetní odpisy na ř.11)</t>
  </si>
  <si>
    <t>Prostředky získané ze SR jako spolupříjemci (partneři) dotačních projektů plánujte - projekty VaV na ř. 24 a 40, ostatní na ř. 20 a 35</t>
  </si>
  <si>
    <r>
      <t>Rozpočet 2011</t>
    </r>
    <r>
      <rPr>
        <b/>
        <sz val="12"/>
        <color indexed="10"/>
        <rFont val="Arial CE"/>
        <family val="0"/>
      </rPr>
      <t xml:space="preserve"> (v tis.Kč)</t>
    </r>
  </si>
  <si>
    <r>
      <t>213*,214*,22*,2115,2125,2126,2112</t>
    </r>
    <r>
      <rPr>
        <sz val="8"/>
        <color indexed="10"/>
        <rFont val="Arial CE"/>
        <family val="0"/>
      </rPr>
      <t>,2151</t>
    </r>
  </si>
  <si>
    <r>
      <t>213*,214*,22*,2115,2125,2126,</t>
    </r>
    <r>
      <rPr>
        <sz val="8"/>
        <color indexed="10"/>
        <rFont val="Arial CE"/>
        <family val="0"/>
      </rPr>
      <t>2151</t>
    </r>
  </si>
  <si>
    <t>Rozpočet MU 2011 - část neinvestiční</t>
  </si>
  <si>
    <t>Skutečnost 2010</t>
  </si>
  <si>
    <t>79 - CEITEC - CŘS</t>
  </si>
  <si>
    <t>71 - CEITEC MU</t>
  </si>
  <si>
    <t>87 - CTT</t>
  </si>
  <si>
    <t>CEITEC MU</t>
  </si>
  <si>
    <t>CEITEC CŘS</t>
  </si>
  <si>
    <t>Hort</t>
  </si>
  <si>
    <t>bez mezd Hort (CP - převod)</t>
  </si>
  <si>
    <t>ze sl.2</t>
  </si>
  <si>
    <t>CEITEC</t>
  </si>
  <si>
    <t>zak 2005</t>
  </si>
  <si>
    <t>zak 3002</t>
  </si>
  <si>
    <t>MK</t>
  </si>
  <si>
    <t>2g</t>
  </si>
  <si>
    <t>Schváleno v AS fakulty dne: 9.3.2011</t>
  </si>
  <si>
    <t>Schváleno v AS fakulty dne: 7.3.2011</t>
  </si>
  <si>
    <t>Schváleno v AS fakulty dne: 8.3.2011</t>
  </si>
  <si>
    <t>Schváleno v AS fakulty dne: 11.3.2011</t>
  </si>
  <si>
    <t>Schváleno v AS fakulty dne: 14.3.2011</t>
  </si>
  <si>
    <t>Schváleno v AS fakulty dne: 15.3.2011</t>
  </si>
  <si>
    <t xml:space="preserve">Schváleno v AS fakulty dne: 14.3.2011 </t>
  </si>
  <si>
    <t>Plán výměny IP NEI za IP na kapitálové výdaje je uveden v nákladech na ř.13 a činí částku:</t>
  </si>
  <si>
    <t>původní</t>
  </si>
  <si>
    <t>plán bez fondů</t>
  </si>
  <si>
    <t>Plán (v tis. Kč)</t>
  </si>
  <si>
    <t>Rozpočet 2011 v tis. Kč</t>
  </si>
  <si>
    <r>
      <t xml:space="preserve">bez </t>
    </r>
    <r>
      <rPr>
        <vertAlign val="superscript"/>
        <sz val="8"/>
        <rFont val="Arial CE"/>
        <family val="0"/>
      </rPr>
      <t>*)</t>
    </r>
  </si>
  <si>
    <r>
      <t xml:space="preserve">opravený </t>
    </r>
    <r>
      <rPr>
        <vertAlign val="superscript"/>
        <sz val="8"/>
        <rFont val="Arial CE"/>
        <family val="0"/>
      </rPr>
      <t>*)</t>
    </r>
  </si>
  <si>
    <r>
      <t xml:space="preserve"> </t>
    </r>
    <r>
      <rPr>
        <vertAlign val="superscript"/>
        <sz val="8"/>
        <color indexed="10"/>
        <rFont val="Arial CE"/>
        <family val="0"/>
      </rPr>
      <t xml:space="preserve">*) </t>
    </r>
    <r>
      <rPr>
        <sz val="8"/>
        <color indexed="10"/>
        <rFont val="Arial CE"/>
        <family val="0"/>
      </rPr>
      <t>v rozpočtu si plánovali na ř. 36 převod z PřF ve výši 51 293 tis. Kč, ale současně tuto částku má ve schváleném  plánu PřF, proto v této tabulce pro AS MU odečteno (celkový součet za MU musí odpovídat přidělené dotaci)</t>
    </r>
  </si>
  <si>
    <t>obdobně je zkreslen údaj ve sl. FÚUP, neboť tato částka je uvedena u PřF (zde ponecháno bez opravy)</t>
  </si>
  <si>
    <r>
      <t xml:space="preserve">Projekty VaV ze SR a od úz.celků </t>
    </r>
    <r>
      <rPr>
        <vertAlign val="superscript"/>
        <sz val="9"/>
        <color indexed="10"/>
        <rFont val="Arial CE"/>
        <family val="2"/>
      </rPr>
      <t>*)</t>
    </r>
  </si>
  <si>
    <r>
      <t xml:space="preserve"> </t>
    </r>
    <r>
      <rPr>
        <vertAlign val="superscript"/>
        <sz val="8"/>
        <color indexed="10"/>
        <rFont val="Arial CE"/>
        <family val="0"/>
      </rPr>
      <t xml:space="preserve">*) </t>
    </r>
    <r>
      <rPr>
        <sz val="8"/>
        <color indexed="10"/>
        <rFont val="Arial CE"/>
        <family val="2"/>
      </rPr>
      <t>následně opraveno na ř. 3, 4,13 a 24 z důvodu sjednocení struktury celouniverzitního rozpočtu)</t>
    </r>
  </si>
  <si>
    <t>V Brně dne 21.3.2011</t>
  </si>
</sst>
</file>

<file path=xl/styles.xml><?xml version="1.0" encoding="utf-8"?>
<styleSheet xmlns="http://schemas.openxmlformats.org/spreadsheetml/2006/main">
  <numFmts count="5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"/>
    <numFmt numFmtId="167" formatCode="#,##0.0"/>
    <numFmt numFmtId="168" formatCode="0.000000"/>
    <numFmt numFmtId="169" formatCode="0.0000000"/>
    <numFmt numFmtId="170" formatCode="0.000"/>
    <numFmt numFmtId="171" formatCode="0.000000000"/>
    <numFmt numFmtId="172" formatCode="#,##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0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%"/>
    <numFmt numFmtId="186" formatCode="#,##0\ &quot;Kč&quot;"/>
    <numFmt numFmtId="187" formatCode="#,##0.00000000"/>
    <numFmt numFmtId="188" formatCode="0.00000000"/>
    <numFmt numFmtId="189" formatCode="#,##0.000000"/>
    <numFmt numFmtId="190" formatCode="#,##0.0000000"/>
    <numFmt numFmtId="191" formatCode="_-* #,##0.0\ _K_č_-;\-* #,##0.0\ _K_č_-;_-* &quot;-&quot;??\ _K_č_-;_-@_-"/>
    <numFmt numFmtId="192" formatCode="#,##0.00000"/>
    <numFmt numFmtId="193" formatCode="_-* #,##0\ _K_č_-;\-* #,##0\ _K_č_-;_-* &quot;-&quot;??\ _K_č_-;_-@_-"/>
    <numFmt numFmtId="194" formatCode="#,##0\ _K_č"/>
    <numFmt numFmtId="195" formatCode="#,##0.00\ &quot;Kč&quot;"/>
    <numFmt numFmtId="196" formatCode="#,##0.00\ _K_č"/>
    <numFmt numFmtId="197" formatCode="#,##0.0\ _K_č"/>
    <numFmt numFmtId="198" formatCode="0.0000000000"/>
    <numFmt numFmtId="199" formatCode="0.00000000000"/>
    <numFmt numFmtId="200" formatCode="[$-405]d\.\ mmmm\ yyyy"/>
    <numFmt numFmtId="201" formatCode="[$-F400]h:mm:ss\ AM/PM"/>
    <numFmt numFmtId="202" formatCode="#,"/>
    <numFmt numFmtId="203" formatCode="dd/mm/yy;@"/>
    <numFmt numFmtId="204" formatCode="0\4\-0\5"/>
    <numFmt numFmtId="205" formatCode="_-* #,##0.0\ &quot;Kč&quot;_-;\-* #,##0.0\ &quot;Kč&quot;_-;_-* &quot;-&quot;??\ &quot;Kč&quot;_-;_-@_-"/>
    <numFmt numFmtId="206" formatCode="_-* #,##0\ &quot;Kč&quot;_-;\-* #,##0\ &quot;Kč&quot;_-;_-* &quot;-&quot;??\ &quot;Kč&quot;_-;_-@_-"/>
  </numFmts>
  <fonts count="8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b/>
      <i/>
      <sz val="10"/>
      <name val="Arial CE"/>
      <family val="2"/>
    </font>
    <font>
      <sz val="10"/>
      <color indexed="10"/>
      <name val="Arial CE"/>
      <family val="2"/>
    </font>
    <font>
      <b/>
      <sz val="8"/>
      <name val="Arial CE"/>
      <family val="2"/>
    </font>
    <font>
      <b/>
      <sz val="9"/>
      <name val="Arial CE"/>
      <family val="0"/>
    </font>
    <font>
      <sz val="8"/>
      <color indexed="10"/>
      <name val="Arial CE"/>
      <family val="0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sz val="9"/>
      <color indexed="12"/>
      <name val="Arial CE"/>
      <family val="0"/>
    </font>
    <font>
      <b/>
      <sz val="10"/>
      <color indexed="12"/>
      <name val="Arial CE"/>
      <family val="2"/>
    </font>
    <font>
      <i/>
      <sz val="9"/>
      <name val="Arial CE"/>
      <family val="0"/>
    </font>
    <font>
      <i/>
      <sz val="8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b/>
      <i/>
      <sz val="9"/>
      <name val="Arial CE"/>
      <family val="0"/>
    </font>
    <font>
      <sz val="12"/>
      <name val="Arial CE"/>
      <family val="0"/>
    </font>
    <font>
      <b/>
      <sz val="24"/>
      <name val="Arial CE"/>
      <family val="0"/>
    </font>
    <font>
      <b/>
      <sz val="16"/>
      <name val="Arial CE"/>
      <family val="0"/>
    </font>
    <font>
      <b/>
      <sz val="20"/>
      <name val="Arial CE"/>
      <family val="0"/>
    </font>
    <font>
      <b/>
      <sz val="8"/>
      <color indexed="10"/>
      <name val="Arial CE"/>
      <family val="0"/>
    </font>
    <font>
      <i/>
      <sz val="8"/>
      <color indexed="10"/>
      <name val="Arial CE"/>
      <family val="0"/>
    </font>
    <font>
      <b/>
      <sz val="12"/>
      <color indexed="10"/>
      <name val="Arial CE"/>
      <family val="0"/>
    </font>
    <font>
      <sz val="8"/>
      <color indexed="9"/>
      <name val="Arial CE"/>
      <family val="0"/>
    </font>
    <font>
      <i/>
      <sz val="8"/>
      <color indexed="8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9"/>
      <name val="Arial CE"/>
      <family val="0"/>
    </font>
    <font>
      <sz val="9"/>
      <color indexed="9"/>
      <name val="Arial CE"/>
      <family val="0"/>
    </font>
    <font>
      <i/>
      <sz val="9"/>
      <color indexed="9"/>
      <name val="Arial CE"/>
      <family val="0"/>
    </font>
    <font>
      <sz val="8"/>
      <color indexed="9"/>
      <name val="Arial"/>
      <family val="2"/>
    </font>
    <font>
      <b/>
      <i/>
      <sz val="8"/>
      <name val="Arial CE"/>
      <family val="0"/>
    </font>
    <font>
      <b/>
      <sz val="8"/>
      <color indexed="12"/>
      <name val="Arial CE"/>
      <family val="0"/>
    </font>
    <font>
      <i/>
      <sz val="8"/>
      <color indexed="12"/>
      <name val="Arial CE"/>
      <family val="0"/>
    </font>
    <font>
      <i/>
      <sz val="8"/>
      <name val="Arial"/>
      <family val="2"/>
    </font>
    <font>
      <i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color indexed="12"/>
      <name val="Arial CE"/>
      <family val="0"/>
    </font>
    <font>
      <sz val="9"/>
      <color indexed="10"/>
      <name val="Arial CE"/>
      <family val="0"/>
    </font>
    <font>
      <sz val="16"/>
      <name val="Arial CE"/>
      <family val="0"/>
    </font>
    <font>
      <sz val="9"/>
      <color indexed="12"/>
      <name val="Arial"/>
      <family val="2"/>
    </font>
    <font>
      <sz val="8"/>
      <color indexed="10"/>
      <name val="Arial"/>
      <family val="2"/>
    </font>
    <font>
      <i/>
      <sz val="10"/>
      <name val="Arial CE"/>
      <family val="2"/>
    </font>
    <font>
      <sz val="9"/>
      <color indexed="8"/>
      <name val="Arial CE"/>
      <family val="2"/>
    </font>
    <font>
      <i/>
      <sz val="8"/>
      <color indexed="9"/>
      <name val="Arial CE"/>
      <family val="0"/>
    </font>
    <font>
      <i/>
      <sz val="9"/>
      <color indexed="10"/>
      <name val="Arial CE"/>
      <family val="0"/>
    </font>
    <font>
      <vertAlign val="superscript"/>
      <sz val="8"/>
      <name val="Arial CE"/>
      <family val="0"/>
    </font>
    <font>
      <vertAlign val="superscript"/>
      <sz val="8"/>
      <color indexed="10"/>
      <name val="Arial CE"/>
      <family val="0"/>
    </font>
    <font>
      <vertAlign val="superscript"/>
      <sz val="9"/>
      <color indexed="10"/>
      <name val="Arial CE"/>
      <family val="2"/>
    </font>
    <font>
      <sz val="8"/>
      <color indexed="21"/>
      <name val="Arial CE"/>
      <family val="2"/>
    </font>
    <font>
      <sz val="10"/>
      <color indexed="21"/>
      <name val="Arial CE"/>
      <family val="2"/>
    </font>
    <font>
      <sz val="9"/>
      <color indexed="21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>
        <color indexed="63"/>
      </left>
      <right style="hair"/>
      <top style="medium"/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hair"/>
      <top style="medium"/>
      <bottom style="medium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17" borderId="0" applyNumberFormat="0" applyBorder="0" applyAlignment="0" applyProtection="0"/>
    <xf numFmtId="0" fontId="0" fillId="0" borderId="0">
      <alignment/>
      <protection/>
    </xf>
    <xf numFmtId="0" fontId="35" fillId="18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7" borderId="8" applyNumberFormat="0" applyAlignment="0" applyProtection="0"/>
    <xf numFmtId="0" fontId="62" fillId="19" borderId="8" applyNumberFormat="0" applyAlignment="0" applyProtection="0"/>
    <xf numFmtId="0" fontId="63" fillId="19" borderId="9" applyNumberFormat="0" applyAlignment="0" applyProtection="0"/>
    <xf numFmtId="0" fontId="64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23" borderId="0" applyNumberFormat="0" applyBorder="0" applyAlignment="0" applyProtection="0"/>
  </cellStyleXfs>
  <cellXfs count="1080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5" fillId="17" borderId="15" xfId="0" applyFont="1" applyFill="1" applyBorder="1" applyAlignment="1">
      <alignment/>
    </xf>
    <xf numFmtId="0" fontId="5" fillId="17" borderId="16" xfId="0" applyFont="1" applyFill="1" applyBorder="1" applyAlignment="1">
      <alignment/>
    </xf>
    <xf numFmtId="0" fontId="6" fillId="17" borderId="21" xfId="0" applyFont="1" applyFill="1" applyBorder="1" applyAlignment="1">
      <alignment horizontal="center"/>
    </xf>
    <xf numFmtId="0" fontId="9" fillId="17" borderId="18" xfId="0" applyFont="1" applyFill="1" applyBorder="1" applyAlignment="1">
      <alignment horizontal="left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6" fillId="0" borderId="29" xfId="0" applyFont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5" fillId="17" borderId="31" xfId="0" applyFont="1" applyFill="1" applyBorder="1" applyAlignment="1">
      <alignment/>
    </xf>
    <xf numFmtId="0" fontId="5" fillId="17" borderId="32" xfId="0" applyFont="1" applyFill="1" applyBorder="1" applyAlignment="1">
      <alignment/>
    </xf>
    <xf numFmtId="0" fontId="9" fillId="17" borderId="33" xfId="0" applyFont="1" applyFill="1" applyBorder="1" applyAlignment="1">
      <alignment horizontal="left"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0" fillId="7" borderId="38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16" fillId="0" borderId="22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6" xfId="0" applyFont="1" applyBorder="1" applyAlignment="1">
      <alignment/>
    </xf>
    <xf numFmtId="0" fontId="16" fillId="0" borderId="27" xfId="0" applyFont="1" applyBorder="1" applyAlignment="1">
      <alignment horizontal="center"/>
    </xf>
    <xf numFmtId="0" fontId="16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12" fillId="0" borderId="0" xfId="0" applyFont="1" applyAlignment="1">
      <alignment/>
    </xf>
    <xf numFmtId="3" fontId="4" fillId="0" borderId="41" xfId="47" applyNumberFormat="1" applyFont="1" applyBorder="1">
      <alignment/>
      <protection/>
    </xf>
    <xf numFmtId="3" fontId="4" fillId="0" borderId="27" xfId="47" applyNumberFormat="1" applyFont="1" applyBorder="1">
      <alignment/>
      <protection/>
    </xf>
    <xf numFmtId="3" fontId="5" fillId="17" borderId="32" xfId="0" applyNumberFormat="1" applyFont="1" applyFill="1" applyBorder="1" applyAlignment="1">
      <alignment/>
    </xf>
    <xf numFmtId="3" fontId="9" fillId="17" borderId="32" xfId="0" applyNumberFormat="1" applyFont="1" applyFill="1" applyBorder="1" applyAlignment="1">
      <alignment/>
    </xf>
    <xf numFmtId="3" fontId="9" fillId="17" borderId="21" xfId="0" applyNumberFormat="1" applyFont="1" applyFill="1" applyBorder="1" applyAlignment="1">
      <alignment/>
    </xf>
    <xf numFmtId="3" fontId="4" fillId="17" borderId="42" xfId="0" applyNumberFormat="1" applyFont="1" applyFill="1" applyBorder="1" applyAlignment="1">
      <alignment/>
    </xf>
    <xf numFmtId="3" fontId="6" fillId="0" borderId="23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3" fontId="16" fillId="0" borderId="26" xfId="0" applyNumberFormat="1" applyFont="1" applyBorder="1" applyAlignment="1">
      <alignment/>
    </xf>
    <xf numFmtId="3" fontId="17" fillId="0" borderId="41" xfId="0" applyNumberFormat="1" applyFont="1" applyBorder="1" applyAlignment="1">
      <alignment/>
    </xf>
    <xf numFmtId="3" fontId="17" fillId="0" borderId="27" xfId="0" applyNumberFormat="1" applyFont="1" applyBorder="1" applyAlignment="1">
      <alignment/>
    </xf>
    <xf numFmtId="3" fontId="17" fillId="0" borderId="26" xfId="0" applyNumberFormat="1" applyFont="1" applyBorder="1" applyAlignment="1">
      <alignment/>
    </xf>
    <xf numFmtId="3" fontId="17" fillId="0" borderId="44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45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47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3" fontId="4" fillId="0" borderId="44" xfId="47" applyNumberFormat="1" applyFont="1" applyBorder="1">
      <alignment/>
      <protection/>
    </xf>
    <xf numFmtId="3" fontId="4" fillId="0" borderId="24" xfId="47" applyNumberFormat="1" applyFont="1" applyBorder="1">
      <alignment/>
      <protection/>
    </xf>
    <xf numFmtId="3" fontId="4" fillId="0" borderId="23" xfId="47" applyNumberFormat="1" applyFont="1" applyBorder="1">
      <alignment/>
      <protection/>
    </xf>
    <xf numFmtId="3" fontId="4" fillId="0" borderId="45" xfId="47" applyNumberFormat="1" applyFont="1" applyBorder="1">
      <alignment/>
      <protection/>
    </xf>
    <xf numFmtId="3" fontId="4" fillId="0" borderId="29" xfId="47" applyNumberFormat="1" applyFont="1" applyBorder="1">
      <alignment/>
      <protection/>
    </xf>
    <xf numFmtId="0" fontId="4" fillId="0" borderId="38" xfId="0" applyFont="1" applyBorder="1" applyAlignment="1">
      <alignment/>
    </xf>
    <xf numFmtId="3" fontId="10" fillId="17" borderId="42" xfId="0" applyNumberFormat="1" applyFont="1" applyFill="1" applyBorder="1" applyAlignment="1">
      <alignment/>
    </xf>
    <xf numFmtId="3" fontId="6" fillId="0" borderId="43" xfId="0" applyNumberFormat="1" applyFont="1" applyBorder="1" applyAlignment="1">
      <alignment/>
    </xf>
    <xf numFmtId="3" fontId="4" fillId="0" borderId="48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6" xfId="0" applyFont="1" applyBorder="1" applyAlignment="1">
      <alignment/>
    </xf>
    <xf numFmtId="0" fontId="17" fillId="0" borderId="27" xfId="0" applyFont="1" applyBorder="1" applyAlignment="1">
      <alignment/>
    </xf>
    <xf numFmtId="0" fontId="17" fillId="0" borderId="26" xfId="0" applyFont="1" applyBorder="1" applyAlignment="1">
      <alignment/>
    </xf>
    <xf numFmtId="3" fontId="4" fillId="0" borderId="45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49" xfId="0" applyNumberFormat="1" applyFont="1" applyBorder="1" applyAlignment="1">
      <alignment/>
    </xf>
    <xf numFmtId="3" fontId="17" fillId="0" borderId="45" xfId="0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9" fillId="17" borderId="50" xfId="0" applyNumberFormat="1" applyFont="1" applyFill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44" xfId="34" applyNumberFormat="1" applyFont="1" applyBorder="1" applyAlignment="1">
      <alignment/>
    </xf>
    <xf numFmtId="3" fontId="4" fillId="0" borderId="26" xfId="47" applyNumberFormat="1" applyFont="1" applyBorder="1">
      <alignment/>
      <protection/>
    </xf>
    <xf numFmtId="3" fontId="4" fillId="0" borderId="28" xfId="47" applyNumberFormat="1" applyFont="1" applyBorder="1">
      <alignment/>
      <protection/>
    </xf>
    <xf numFmtId="3" fontId="4" fillId="0" borderId="0" xfId="47" applyNumberFormat="1" applyFont="1" applyBorder="1">
      <alignment/>
      <protection/>
    </xf>
    <xf numFmtId="3" fontId="4" fillId="0" borderId="52" xfId="47" applyNumberFormat="1" applyFont="1" applyBorder="1">
      <alignment/>
      <protection/>
    </xf>
    <xf numFmtId="3" fontId="4" fillId="0" borderId="53" xfId="47" applyNumberFormat="1" applyFont="1" applyBorder="1">
      <alignment/>
      <protection/>
    </xf>
    <xf numFmtId="3" fontId="4" fillId="0" borderId="35" xfId="47" applyNumberFormat="1" applyFont="1" applyBorder="1">
      <alignment/>
      <protection/>
    </xf>
    <xf numFmtId="3" fontId="4" fillId="0" borderId="36" xfId="47" applyNumberFormat="1" applyFont="1" applyBorder="1">
      <alignment/>
      <protection/>
    </xf>
    <xf numFmtId="3" fontId="4" fillId="0" borderId="43" xfId="34" applyNumberFormat="1" applyFont="1" applyBorder="1" applyAlignment="1">
      <alignment/>
    </xf>
    <xf numFmtId="3" fontId="4" fillId="0" borderId="46" xfId="34" applyNumberFormat="1" applyFont="1" applyBorder="1" applyAlignment="1">
      <alignment/>
    </xf>
    <xf numFmtId="3" fontId="4" fillId="0" borderId="47" xfId="34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3" fontId="4" fillId="17" borderId="38" xfId="0" applyNumberFormat="1" applyFont="1" applyFill="1" applyBorder="1" applyAlignment="1">
      <alignment/>
    </xf>
    <xf numFmtId="3" fontId="4" fillId="0" borderId="57" xfId="0" applyNumberFormat="1" applyFont="1" applyBorder="1" applyAlignment="1">
      <alignment/>
    </xf>
    <xf numFmtId="3" fontId="17" fillId="0" borderId="56" xfId="0" applyNumberFormat="1" applyFont="1" applyBorder="1" applyAlignment="1">
      <alignment/>
    </xf>
    <xf numFmtId="3" fontId="17" fillId="24" borderId="57" xfId="0" applyNumberFormat="1" applyFont="1" applyFill="1" applyBorder="1" applyAlignment="1">
      <alignment/>
    </xf>
    <xf numFmtId="3" fontId="17" fillId="0" borderId="57" xfId="0" applyNumberFormat="1" applyFont="1" applyBorder="1" applyAlignment="1">
      <alignment/>
    </xf>
    <xf numFmtId="3" fontId="17" fillId="7" borderId="57" xfId="0" applyNumberFormat="1" applyFont="1" applyFill="1" applyBorder="1" applyAlignment="1">
      <alignment/>
    </xf>
    <xf numFmtId="3" fontId="17" fillId="25" borderId="57" xfId="0" applyNumberFormat="1" applyFont="1" applyFill="1" applyBorder="1" applyAlignment="1">
      <alignment/>
    </xf>
    <xf numFmtId="3" fontId="4" fillId="0" borderId="57" xfId="0" applyNumberFormat="1" applyFont="1" applyFill="1" applyBorder="1" applyAlignment="1">
      <alignment/>
    </xf>
    <xf numFmtId="3" fontId="4" fillId="0" borderId="58" xfId="0" applyNumberFormat="1" applyFont="1" applyBorder="1" applyAlignment="1">
      <alignment/>
    </xf>
    <xf numFmtId="3" fontId="4" fillId="7" borderId="58" xfId="0" applyNumberFormat="1" applyFont="1" applyFill="1" applyBorder="1" applyAlignment="1">
      <alignment/>
    </xf>
    <xf numFmtId="0" fontId="4" fillId="0" borderId="54" xfId="0" applyFont="1" applyBorder="1" applyAlignment="1">
      <alignment horizontal="center" wrapText="1"/>
    </xf>
    <xf numFmtId="0" fontId="17" fillId="0" borderId="0" xfId="0" applyFont="1" applyAlignment="1">
      <alignment/>
    </xf>
    <xf numFmtId="3" fontId="4" fillId="7" borderId="38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4" fillId="0" borderId="44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45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52" xfId="0" applyNumberFormat="1" applyFont="1" applyFill="1" applyBorder="1" applyAlignment="1">
      <alignment/>
    </xf>
    <xf numFmtId="3" fontId="17" fillId="0" borderId="59" xfId="0" applyNumberFormat="1" applyFont="1" applyBorder="1" applyAlignment="1">
      <alignment/>
    </xf>
    <xf numFmtId="3" fontId="17" fillId="0" borderId="51" xfId="0" applyNumberFormat="1" applyFont="1" applyBorder="1" applyAlignment="1">
      <alignment/>
    </xf>
    <xf numFmtId="3" fontId="17" fillId="0" borderId="46" xfId="0" applyNumberFormat="1" applyFont="1" applyBorder="1" applyAlignment="1">
      <alignment/>
    </xf>
    <xf numFmtId="3" fontId="4" fillId="0" borderId="59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0" fontId="6" fillId="0" borderId="61" xfId="0" applyFont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17" borderId="63" xfId="0" applyFont="1" applyFill="1" applyBorder="1" applyAlignment="1">
      <alignment horizontal="center"/>
    </xf>
    <xf numFmtId="3" fontId="10" fillId="17" borderId="42" xfId="0" applyNumberFormat="1" applyFont="1" applyFill="1" applyBorder="1" applyAlignment="1">
      <alignment/>
    </xf>
    <xf numFmtId="3" fontId="17" fillId="0" borderId="36" xfId="0" applyNumberFormat="1" applyFont="1" applyBorder="1" applyAlignment="1">
      <alignment/>
    </xf>
    <xf numFmtId="3" fontId="4" fillId="0" borderId="64" xfId="0" applyNumberFormat="1" applyFont="1" applyBorder="1" applyAlignment="1">
      <alignment/>
    </xf>
    <xf numFmtId="0" fontId="4" fillId="0" borderId="6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3" fontId="10" fillId="17" borderId="31" xfId="0" applyNumberFormat="1" applyFont="1" applyFill="1" applyBorder="1" applyAlignment="1">
      <alignment/>
    </xf>
    <xf numFmtId="3" fontId="6" fillId="0" borderId="66" xfId="0" applyNumberFormat="1" applyFont="1" applyBorder="1" applyAlignment="1">
      <alignment/>
    </xf>
    <xf numFmtId="3" fontId="10" fillId="17" borderId="31" xfId="0" applyNumberFormat="1" applyFont="1" applyFill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3" fontId="10" fillId="17" borderId="33" xfId="0" applyNumberFormat="1" applyFont="1" applyFill="1" applyBorder="1" applyAlignment="1">
      <alignment/>
    </xf>
    <xf numFmtId="3" fontId="6" fillId="0" borderId="25" xfId="0" applyNumberFormat="1" applyFont="1" applyBorder="1" applyAlignment="1">
      <alignment/>
    </xf>
    <xf numFmtId="3" fontId="17" fillId="0" borderId="30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10" fillId="17" borderId="33" xfId="0" applyNumberFormat="1" applyFont="1" applyFill="1" applyBorder="1" applyAlignment="1">
      <alignment/>
    </xf>
    <xf numFmtId="3" fontId="4" fillId="0" borderId="18" xfId="0" applyNumberFormat="1" applyFont="1" applyBorder="1" applyAlignment="1">
      <alignment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3" fontId="10" fillId="17" borderId="69" xfId="0" applyNumberFormat="1" applyFont="1" applyFill="1" applyBorder="1" applyAlignment="1">
      <alignment/>
    </xf>
    <xf numFmtId="3" fontId="6" fillId="0" borderId="70" xfId="0" applyNumberFormat="1" applyFont="1" applyBorder="1" applyAlignment="1">
      <alignment/>
    </xf>
    <xf numFmtId="3" fontId="17" fillId="0" borderId="58" xfId="0" applyNumberFormat="1" applyFont="1" applyBorder="1" applyAlignment="1">
      <alignment/>
    </xf>
    <xf numFmtId="3" fontId="10" fillId="17" borderId="69" xfId="0" applyNumberFormat="1" applyFont="1" applyFill="1" applyBorder="1" applyAlignment="1">
      <alignment/>
    </xf>
    <xf numFmtId="3" fontId="4" fillId="0" borderId="71" xfId="0" applyNumberFormat="1" applyFont="1" applyBorder="1" applyAlignment="1">
      <alignment/>
    </xf>
    <xf numFmtId="3" fontId="4" fillId="0" borderId="68" xfId="0" applyNumberFormat="1" applyFont="1" applyBorder="1" applyAlignment="1">
      <alignment/>
    </xf>
    <xf numFmtId="3" fontId="9" fillId="17" borderId="42" xfId="0" applyNumberFormat="1" applyFont="1" applyFill="1" applyBorder="1" applyAlignment="1">
      <alignment/>
    </xf>
    <xf numFmtId="3" fontId="4" fillId="0" borderId="43" xfId="0" applyNumberFormat="1" applyFont="1" applyBorder="1" applyAlignment="1">
      <alignment/>
    </xf>
    <xf numFmtId="3" fontId="17" fillId="0" borderId="44" xfId="0" applyNumberFormat="1" applyFont="1" applyBorder="1" applyAlignment="1">
      <alignment/>
    </xf>
    <xf numFmtId="3" fontId="4" fillId="0" borderId="47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72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3" fontId="10" fillId="17" borderId="32" xfId="0" applyNumberFormat="1" applyFont="1" applyFill="1" applyBorder="1" applyAlignment="1">
      <alignment/>
    </xf>
    <xf numFmtId="3" fontId="16" fillId="0" borderId="29" xfId="0" applyNumberFormat="1" applyFont="1" applyBorder="1" applyAlignment="1">
      <alignment/>
    </xf>
    <xf numFmtId="3" fontId="16" fillId="0" borderId="26" xfId="0" applyNumberFormat="1" applyFont="1" applyBorder="1" applyAlignment="1">
      <alignment/>
    </xf>
    <xf numFmtId="3" fontId="16" fillId="0" borderId="75" xfId="0" applyNumberFormat="1" applyFont="1" applyBorder="1" applyAlignment="1">
      <alignment/>
    </xf>
    <xf numFmtId="0" fontId="10" fillId="0" borderId="12" xfId="0" applyFont="1" applyBorder="1" applyAlignment="1">
      <alignment horizontal="center"/>
    </xf>
    <xf numFmtId="3" fontId="10" fillId="17" borderId="76" xfId="0" applyNumberFormat="1" applyFont="1" applyFill="1" applyBorder="1" applyAlignment="1">
      <alignment/>
    </xf>
    <xf numFmtId="3" fontId="6" fillId="0" borderId="77" xfId="0" applyNumberFormat="1" applyFont="1" applyBorder="1" applyAlignment="1">
      <alignment/>
    </xf>
    <xf numFmtId="3" fontId="16" fillId="0" borderId="78" xfId="0" applyNumberFormat="1" applyFont="1" applyBorder="1" applyAlignment="1">
      <alignment/>
    </xf>
    <xf numFmtId="3" fontId="16" fillId="0" borderId="79" xfId="0" applyNumberFormat="1" applyFont="1" applyBorder="1" applyAlignment="1">
      <alignment/>
    </xf>
    <xf numFmtId="3" fontId="16" fillId="0" borderId="80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6" fillId="0" borderId="19" xfId="0" applyNumberFormat="1" applyFont="1" applyBorder="1" applyAlignment="1">
      <alignment/>
    </xf>
    <xf numFmtId="3" fontId="17" fillId="0" borderId="29" xfId="0" applyNumberFormat="1" applyFont="1" applyBorder="1" applyAlignment="1">
      <alignment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3" fontId="10" fillId="0" borderId="43" xfId="0" applyNumberFormat="1" applyFont="1" applyBorder="1" applyAlignment="1">
      <alignment/>
    </xf>
    <xf numFmtId="3" fontId="20" fillId="0" borderId="46" xfId="0" applyNumberFormat="1" applyFont="1" applyBorder="1" applyAlignment="1">
      <alignment/>
    </xf>
    <xf numFmtId="3" fontId="20" fillId="0" borderId="44" xfId="0" applyNumberFormat="1" applyFont="1" applyBorder="1" applyAlignment="1">
      <alignment/>
    </xf>
    <xf numFmtId="3" fontId="20" fillId="0" borderId="81" xfId="0" applyNumberFormat="1" applyFont="1" applyBorder="1" applyAlignment="1">
      <alignment/>
    </xf>
    <xf numFmtId="3" fontId="10" fillId="0" borderId="40" xfId="0" applyNumberFormat="1" applyFont="1" applyBorder="1" applyAlignment="1">
      <alignment/>
    </xf>
    <xf numFmtId="0" fontId="10" fillId="0" borderId="0" xfId="0" applyFont="1" applyAlignment="1">
      <alignment/>
    </xf>
    <xf numFmtId="3" fontId="4" fillId="0" borderId="29" xfId="0" applyNumberFormat="1" applyFont="1" applyFill="1" applyBorder="1" applyAlignment="1">
      <alignment/>
    </xf>
    <xf numFmtId="3" fontId="4" fillId="0" borderId="46" xfId="0" applyNumberFormat="1" applyFont="1" applyFill="1" applyBorder="1" applyAlignment="1">
      <alignment/>
    </xf>
    <xf numFmtId="14" fontId="4" fillId="0" borderId="0" xfId="0" applyNumberFormat="1" applyFont="1" applyFill="1" applyAlignment="1">
      <alignment horizontal="left"/>
    </xf>
    <xf numFmtId="0" fontId="21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5" fillId="0" borderId="0" xfId="0" applyFont="1" applyAlignment="1">
      <alignment/>
    </xf>
    <xf numFmtId="3" fontId="9" fillId="17" borderId="82" xfId="0" applyNumberFormat="1" applyFont="1" applyFill="1" applyBorder="1" applyAlignment="1">
      <alignment/>
    </xf>
    <xf numFmtId="3" fontId="4" fillId="0" borderId="83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" fontId="17" fillId="0" borderId="41" xfId="0" applyNumberFormat="1" applyFont="1" applyFill="1" applyBorder="1" applyAlignment="1">
      <alignment/>
    </xf>
    <xf numFmtId="3" fontId="17" fillId="0" borderId="27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3" fontId="9" fillId="17" borderId="33" xfId="0" applyNumberFormat="1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3" fontId="9" fillId="17" borderId="84" xfId="0" applyNumberFormat="1" applyFont="1" applyFill="1" applyBorder="1" applyAlignment="1">
      <alignment/>
    </xf>
    <xf numFmtId="0" fontId="4" fillId="0" borderId="49" xfId="0" applyFont="1" applyBorder="1" applyAlignment="1">
      <alignment horizontal="center"/>
    </xf>
    <xf numFmtId="3" fontId="9" fillId="17" borderId="21" xfId="0" applyNumberFormat="1" applyFont="1" applyFill="1" applyBorder="1" applyAlignment="1">
      <alignment/>
    </xf>
    <xf numFmtId="3" fontId="9" fillId="17" borderId="33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12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4" fillId="0" borderId="85" xfId="0" applyNumberFormat="1" applyFont="1" applyBorder="1" applyAlignment="1">
      <alignment horizontal="center"/>
    </xf>
    <xf numFmtId="3" fontId="4" fillId="0" borderId="86" xfId="47" applyNumberFormat="1" applyFont="1" applyBorder="1">
      <alignment/>
      <protection/>
    </xf>
    <xf numFmtId="3" fontId="4" fillId="0" borderId="47" xfId="47" applyNumberFormat="1" applyFont="1" applyBorder="1">
      <alignment/>
      <protection/>
    </xf>
    <xf numFmtId="3" fontId="4" fillId="0" borderId="23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3" fontId="17" fillId="0" borderId="26" xfId="0" applyNumberFormat="1" applyFont="1" applyFill="1" applyBorder="1" applyAlignment="1">
      <alignment/>
    </xf>
    <xf numFmtId="0" fontId="5" fillId="0" borderId="6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3" fontId="5" fillId="17" borderId="31" xfId="0" applyNumberFormat="1" applyFont="1" applyFill="1" applyBorder="1" applyAlignment="1">
      <alignment/>
    </xf>
    <xf numFmtId="3" fontId="16" fillId="0" borderId="87" xfId="0" applyNumberFormat="1" applyFont="1" applyBorder="1" applyAlignment="1">
      <alignment/>
    </xf>
    <xf numFmtId="3" fontId="6" fillId="0" borderId="87" xfId="0" applyNumberFormat="1" applyFont="1" applyBorder="1" applyAlignment="1">
      <alignment/>
    </xf>
    <xf numFmtId="3" fontId="6" fillId="0" borderId="59" xfId="0" applyNumberFormat="1" applyFont="1" applyBorder="1" applyAlignment="1">
      <alignment/>
    </xf>
    <xf numFmtId="3" fontId="6" fillId="0" borderId="60" xfId="0" applyNumberFormat="1" applyFont="1" applyBorder="1" applyAlignment="1">
      <alignment/>
    </xf>
    <xf numFmtId="0" fontId="0" fillId="0" borderId="88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6" fillId="17" borderId="90" xfId="0" applyFont="1" applyFill="1" applyBorder="1" applyAlignment="1">
      <alignment horizontal="center"/>
    </xf>
    <xf numFmtId="0" fontId="6" fillId="0" borderId="91" xfId="0" applyFont="1" applyBorder="1" applyAlignment="1">
      <alignment horizontal="center"/>
    </xf>
    <xf numFmtId="0" fontId="16" fillId="0" borderId="92" xfId="0" applyFont="1" applyBorder="1" applyAlignment="1">
      <alignment horizontal="center"/>
    </xf>
    <xf numFmtId="0" fontId="6" fillId="0" borderId="92" xfId="0" applyFont="1" applyBorder="1" applyAlignment="1">
      <alignment horizontal="center"/>
    </xf>
    <xf numFmtId="0" fontId="6" fillId="0" borderId="92" xfId="0" applyFont="1" applyFill="1" applyBorder="1" applyAlignment="1">
      <alignment horizontal="center"/>
    </xf>
    <xf numFmtId="0" fontId="6" fillId="0" borderId="93" xfId="0" applyFont="1" applyBorder="1" applyAlignment="1">
      <alignment horizontal="center"/>
    </xf>
    <xf numFmtId="3" fontId="5" fillId="17" borderId="76" xfId="0" applyNumberFormat="1" applyFont="1" applyFill="1" applyBorder="1" applyAlignment="1">
      <alignment/>
    </xf>
    <xf numFmtId="3" fontId="10" fillId="17" borderId="32" xfId="0" applyNumberFormat="1" applyFont="1" applyFill="1" applyBorder="1" applyAlignment="1">
      <alignment/>
    </xf>
    <xf numFmtId="3" fontId="10" fillId="17" borderId="21" xfId="0" applyNumberFormat="1" applyFont="1" applyFill="1" applyBorder="1" applyAlignment="1">
      <alignment/>
    </xf>
    <xf numFmtId="3" fontId="0" fillId="0" borderId="77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0" fontId="17" fillId="0" borderId="28" xfId="0" applyFont="1" applyBorder="1" applyAlignment="1">
      <alignment horizontal="left"/>
    </xf>
    <xf numFmtId="3" fontId="16" fillId="0" borderId="41" xfId="0" applyNumberFormat="1" applyFont="1" applyBorder="1" applyAlignment="1">
      <alignment/>
    </xf>
    <xf numFmtId="3" fontId="16" fillId="0" borderId="27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6" fillId="0" borderId="41" xfId="0" applyNumberFormat="1" applyFont="1" applyBorder="1" applyAlignment="1">
      <alignment/>
    </xf>
    <xf numFmtId="3" fontId="0" fillId="0" borderId="78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45" xfId="0" applyNumberFormat="1" applyFont="1" applyBorder="1" applyAlignment="1">
      <alignment/>
    </xf>
    <xf numFmtId="3" fontId="0" fillId="0" borderId="94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3" fontId="17" fillId="0" borderId="86" xfId="0" applyNumberFormat="1" applyFont="1" applyBorder="1" applyAlignment="1">
      <alignment/>
    </xf>
    <xf numFmtId="3" fontId="4" fillId="0" borderId="86" xfId="0" applyNumberFormat="1" applyFont="1" applyBorder="1" applyAlignment="1">
      <alignment/>
    </xf>
    <xf numFmtId="3" fontId="4" fillId="0" borderId="95" xfId="0" applyNumberFormat="1" applyFont="1" applyBorder="1" applyAlignment="1">
      <alignment/>
    </xf>
    <xf numFmtId="0" fontId="4" fillId="0" borderId="73" xfId="0" applyFont="1" applyBorder="1" applyAlignment="1">
      <alignment horizontal="center"/>
    </xf>
    <xf numFmtId="3" fontId="9" fillId="17" borderId="63" xfId="0" applyNumberFormat="1" applyFont="1" applyFill="1" applyBorder="1" applyAlignment="1">
      <alignment/>
    </xf>
    <xf numFmtId="3" fontId="4" fillId="0" borderId="74" xfId="0" applyNumberFormat="1" applyFont="1" applyBorder="1" applyAlignment="1">
      <alignment/>
    </xf>
    <xf numFmtId="3" fontId="17" fillId="0" borderId="61" xfId="0" applyNumberFormat="1" applyFont="1" applyBorder="1" applyAlignment="1">
      <alignment/>
    </xf>
    <xf numFmtId="3" fontId="4" fillId="0" borderId="61" xfId="0" applyNumberFormat="1" applyFont="1" applyBorder="1" applyAlignment="1">
      <alignment/>
    </xf>
    <xf numFmtId="3" fontId="4" fillId="0" borderId="86" xfId="0" applyNumberFormat="1" applyFont="1" applyBorder="1" applyAlignment="1">
      <alignment/>
    </xf>
    <xf numFmtId="3" fontId="4" fillId="0" borderId="62" xfId="0" applyNumberFormat="1" applyFont="1" applyBorder="1" applyAlignment="1">
      <alignment/>
    </xf>
    <xf numFmtId="3" fontId="17" fillId="0" borderId="62" xfId="0" applyNumberFormat="1" applyFont="1" applyBorder="1" applyAlignment="1">
      <alignment/>
    </xf>
    <xf numFmtId="0" fontId="17" fillId="0" borderId="61" xfId="0" applyFont="1" applyBorder="1" applyAlignment="1">
      <alignment/>
    </xf>
    <xf numFmtId="0" fontId="4" fillId="0" borderId="61" xfId="0" applyFont="1" applyBorder="1" applyAlignment="1">
      <alignment/>
    </xf>
    <xf numFmtId="3" fontId="17" fillId="0" borderId="61" xfId="0" applyNumberFormat="1" applyFont="1" applyFill="1" applyBorder="1" applyAlignment="1">
      <alignment/>
    </xf>
    <xf numFmtId="3" fontId="4" fillId="0" borderId="86" xfId="0" applyNumberFormat="1" applyFont="1" applyFill="1" applyBorder="1" applyAlignment="1">
      <alignment/>
    </xf>
    <xf numFmtId="3" fontId="4" fillId="0" borderId="61" xfId="0" applyNumberFormat="1" applyFont="1" applyFill="1" applyBorder="1" applyAlignment="1">
      <alignment/>
    </xf>
    <xf numFmtId="3" fontId="4" fillId="0" borderId="96" xfId="0" applyNumberFormat="1" applyFont="1" applyFill="1" applyBorder="1" applyAlignment="1">
      <alignment/>
    </xf>
    <xf numFmtId="3" fontId="4" fillId="0" borderId="61" xfId="47" applyNumberFormat="1" applyFont="1" applyBorder="1">
      <alignment/>
      <protection/>
    </xf>
    <xf numFmtId="3" fontId="4" fillId="0" borderId="96" xfId="47" applyNumberFormat="1" applyFont="1" applyBorder="1">
      <alignment/>
      <protection/>
    </xf>
    <xf numFmtId="3" fontId="4" fillId="0" borderId="62" xfId="47" applyNumberFormat="1" applyFont="1" applyBorder="1">
      <alignment/>
      <protection/>
    </xf>
    <xf numFmtId="3" fontId="4" fillId="0" borderId="17" xfId="0" applyNumberFormat="1" applyFont="1" applyBorder="1" applyAlignment="1">
      <alignment/>
    </xf>
    <xf numFmtId="3" fontId="6" fillId="0" borderId="61" xfId="0" applyNumberFormat="1" applyFont="1" applyBorder="1" applyAlignment="1">
      <alignment/>
    </xf>
    <xf numFmtId="3" fontId="4" fillId="0" borderId="74" xfId="47" applyNumberFormat="1" applyFont="1" applyBorder="1">
      <alignment/>
      <protection/>
    </xf>
    <xf numFmtId="3" fontId="17" fillId="0" borderId="44" xfId="0" applyNumberFormat="1" applyFont="1" applyFill="1" applyBorder="1" applyAlignment="1">
      <alignment/>
    </xf>
    <xf numFmtId="3" fontId="4" fillId="25" borderId="43" xfId="0" applyNumberFormat="1" applyFont="1" applyFill="1" applyBorder="1" applyAlignment="1">
      <alignment/>
    </xf>
    <xf numFmtId="3" fontId="4" fillId="25" borderId="46" xfId="0" applyNumberFormat="1" applyFont="1" applyFill="1" applyBorder="1" applyAlignment="1">
      <alignment/>
    </xf>
    <xf numFmtId="3" fontId="4" fillId="25" borderId="47" xfId="0" applyNumberFormat="1" applyFont="1" applyFill="1" applyBorder="1" applyAlignment="1">
      <alignment/>
    </xf>
    <xf numFmtId="3" fontId="4" fillId="25" borderId="40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58" xfId="0" applyNumberFormat="1" applyFont="1" applyFill="1" applyBorder="1" applyAlignment="1">
      <alignment/>
    </xf>
    <xf numFmtId="3" fontId="17" fillId="0" borderId="47" xfId="0" applyNumberFormat="1" applyFont="1" applyBorder="1" applyAlignment="1">
      <alignment/>
    </xf>
    <xf numFmtId="3" fontId="17" fillId="0" borderId="40" xfId="0" applyNumberFormat="1" applyFont="1" applyBorder="1" applyAlignment="1">
      <alignment/>
    </xf>
    <xf numFmtId="3" fontId="4" fillId="0" borderId="87" xfId="0" applyNumberFormat="1" applyFont="1" applyBorder="1" applyAlignment="1">
      <alignment/>
    </xf>
    <xf numFmtId="3" fontId="17" fillId="0" borderId="86" xfId="0" applyNumberFormat="1" applyFont="1" applyBorder="1" applyAlignment="1" applyProtection="1">
      <alignment/>
      <protection locked="0"/>
    </xf>
    <xf numFmtId="3" fontId="4" fillId="0" borderId="97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28" fillId="0" borderId="13" xfId="0" applyNumberFormat="1" applyFont="1" applyBorder="1" applyAlignment="1">
      <alignment/>
    </xf>
    <xf numFmtId="0" fontId="4" fillId="7" borderId="38" xfId="0" applyFont="1" applyFill="1" applyBorder="1" applyAlignment="1">
      <alignment/>
    </xf>
    <xf numFmtId="0" fontId="4" fillId="7" borderId="0" xfId="0" applyFont="1" applyFill="1" applyAlignment="1">
      <alignment/>
    </xf>
    <xf numFmtId="3" fontId="4" fillId="7" borderId="0" xfId="0" applyNumberFormat="1" applyFont="1" applyFill="1" applyAlignment="1">
      <alignment/>
    </xf>
    <xf numFmtId="0" fontId="4" fillId="0" borderId="13" xfId="0" applyFont="1" applyBorder="1" applyAlignment="1">
      <alignment/>
    </xf>
    <xf numFmtId="0" fontId="30" fillId="17" borderId="15" xfId="0" applyFont="1" applyFill="1" applyBorder="1" applyAlignment="1">
      <alignment/>
    </xf>
    <xf numFmtId="0" fontId="30" fillId="17" borderId="16" xfId="0" applyFont="1" applyFill="1" applyBorder="1" applyAlignment="1">
      <alignment/>
    </xf>
    <xf numFmtId="0" fontId="31" fillId="17" borderId="21" xfId="0" applyFont="1" applyFill="1" applyBorder="1" applyAlignment="1">
      <alignment horizontal="center"/>
    </xf>
    <xf numFmtId="3" fontId="32" fillId="17" borderId="32" xfId="0" applyNumberFormat="1" applyFont="1" applyFill="1" applyBorder="1" applyAlignment="1">
      <alignment/>
    </xf>
    <xf numFmtId="3" fontId="32" fillId="17" borderId="21" xfId="0" applyNumberFormat="1" applyFont="1" applyFill="1" applyBorder="1" applyAlignment="1">
      <alignment/>
    </xf>
    <xf numFmtId="3" fontId="32" fillId="17" borderId="63" xfId="0" applyNumberFormat="1" applyFont="1" applyFill="1" applyBorder="1" applyAlignment="1">
      <alignment/>
    </xf>
    <xf numFmtId="3" fontId="33" fillId="17" borderId="42" xfId="0" applyNumberFormat="1" applyFont="1" applyFill="1" applyBorder="1" applyAlignment="1">
      <alignment/>
    </xf>
    <xf numFmtId="0" fontId="31" fillId="0" borderId="22" xfId="0" applyFont="1" applyBorder="1" applyAlignment="1">
      <alignment/>
    </xf>
    <xf numFmtId="0" fontId="31" fillId="0" borderId="23" xfId="0" applyFont="1" applyBorder="1" applyAlignment="1">
      <alignment/>
    </xf>
    <xf numFmtId="0" fontId="31" fillId="0" borderId="24" xfId="0" applyFont="1" applyBorder="1" applyAlignment="1">
      <alignment horizontal="center"/>
    </xf>
    <xf numFmtId="3" fontId="33" fillId="0" borderId="23" xfId="0" applyNumberFormat="1" applyFont="1" applyBorder="1" applyAlignment="1">
      <alignment/>
    </xf>
    <xf numFmtId="3" fontId="33" fillId="0" borderId="24" xfId="0" applyNumberFormat="1" applyFont="1" applyBorder="1" applyAlignment="1">
      <alignment/>
    </xf>
    <xf numFmtId="3" fontId="33" fillId="0" borderId="74" xfId="0" applyNumberFormat="1" applyFont="1" applyBorder="1" applyAlignment="1">
      <alignment/>
    </xf>
    <xf numFmtId="3" fontId="33" fillId="0" borderId="43" xfId="0" applyNumberFormat="1" applyFont="1" applyBorder="1" applyAlignment="1">
      <alignment/>
    </xf>
    <xf numFmtId="0" fontId="34" fillId="0" borderId="22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26" xfId="0" applyFont="1" applyBorder="1" applyAlignment="1">
      <alignment/>
    </xf>
    <xf numFmtId="0" fontId="34" fillId="0" borderId="27" xfId="0" applyFont="1" applyBorder="1" applyAlignment="1">
      <alignment horizontal="center"/>
    </xf>
    <xf numFmtId="3" fontId="33" fillId="0" borderId="41" xfId="0" applyNumberFormat="1" applyFont="1" applyBorder="1" applyAlignment="1">
      <alignment/>
    </xf>
    <xf numFmtId="3" fontId="33" fillId="0" borderId="27" xfId="0" applyNumberFormat="1" applyFont="1" applyBorder="1" applyAlignment="1">
      <alignment/>
    </xf>
    <xf numFmtId="3" fontId="33" fillId="0" borderId="61" xfId="0" applyNumberFormat="1" applyFont="1" applyBorder="1" applyAlignment="1">
      <alignment/>
    </xf>
    <xf numFmtId="3" fontId="33" fillId="0" borderId="26" xfId="0" applyNumberFormat="1" applyFont="1" applyBorder="1" applyAlignment="1">
      <alignment/>
    </xf>
    <xf numFmtId="3" fontId="33" fillId="0" borderId="44" xfId="0" applyNumberFormat="1" applyFont="1" applyBorder="1" applyAlignment="1">
      <alignment/>
    </xf>
    <xf numFmtId="0" fontId="31" fillId="0" borderId="29" xfId="0" applyFont="1" applyBorder="1" applyAlignment="1">
      <alignment/>
    </xf>
    <xf numFmtId="0" fontId="31" fillId="0" borderId="26" xfId="0" applyFont="1" applyBorder="1" applyAlignment="1">
      <alignment/>
    </xf>
    <xf numFmtId="0" fontId="31" fillId="0" borderId="27" xfId="0" applyFont="1" applyBorder="1" applyAlignment="1">
      <alignment horizontal="center"/>
    </xf>
    <xf numFmtId="0" fontId="31" fillId="0" borderId="29" xfId="0" applyFont="1" applyFill="1" applyBorder="1" applyAlignment="1">
      <alignment/>
    </xf>
    <xf numFmtId="0" fontId="31" fillId="0" borderId="26" xfId="0" applyFont="1" applyFill="1" applyBorder="1" applyAlignment="1">
      <alignment/>
    </xf>
    <xf numFmtId="0" fontId="31" fillId="0" borderId="27" xfId="0" applyFont="1" applyFill="1" applyBorder="1" applyAlignment="1">
      <alignment horizontal="center"/>
    </xf>
    <xf numFmtId="0" fontId="30" fillId="17" borderId="31" xfId="0" applyFont="1" applyFill="1" applyBorder="1" applyAlignment="1">
      <alignment/>
    </xf>
    <xf numFmtId="0" fontId="30" fillId="17" borderId="32" xfId="0" applyFont="1" applyFill="1" applyBorder="1" applyAlignment="1">
      <alignment/>
    </xf>
    <xf numFmtId="3" fontId="33" fillId="0" borderId="29" xfId="0" applyNumberFormat="1" applyFont="1" applyBorder="1" applyAlignment="1">
      <alignment/>
    </xf>
    <xf numFmtId="3" fontId="33" fillId="0" borderId="45" xfId="0" applyNumberFormat="1" applyFont="1" applyBorder="1" applyAlignment="1">
      <alignment/>
    </xf>
    <xf numFmtId="3" fontId="33" fillId="0" borderId="86" xfId="0" applyNumberFormat="1" applyFont="1" applyBorder="1" applyAlignment="1">
      <alignment/>
    </xf>
    <xf numFmtId="3" fontId="33" fillId="0" borderId="46" xfId="0" applyNumberFormat="1" applyFont="1" applyBorder="1" applyAlignment="1">
      <alignment/>
    </xf>
    <xf numFmtId="0" fontId="31" fillId="0" borderId="34" xfId="0" applyFont="1" applyBorder="1" applyAlignment="1">
      <alignment/>
    </xf>
    <xf numFmtId="0" fontId="31" fillId="0" borderId="35" xfId="0" applyFont="1" applyBorder="1" applyAlignment="1">
      <alignment/>
    </xf>
    <xf numFmtId="0" fontId="31" fillId="0" borderId="36" xfId="0" applyFont="1" applyBorder="1" applyAlignment="1">
      <alignment horizontal="center"/>
    </xf>
    <xf numFmtId="3" fontId="33" fillId="0" borderId="35" xfId="0" applyNumberFormat="1" applyFont="1" applyBorder="1" applyAlignment="1">
      <alignment/>
    </xf>
    <xf numFmtId="3" fontId="33" fillId="0" borderId="36" xfId="0" applyNumberFormat="1" applyFont="1" applyBorder="1" applyAlignment="1">
      <alignment/>
    </xf>
    <xf numFmtId="3" fontId="33" fillId="0" borderId="62" xfId="0" applyNumberFormat="1" applyFont="1" applyBorder="1" applyAlignment="1">
      <alignment/>
    </xf>
    <xf numFmtId="3" fontId="33" fillId="0" borderId="47" xfId="0" applyNumberFormat="1" applyFont="1" applyBorder="1" applyAlignment="1">
      <alignment/>
    </xf>
    <xf numFmtId="0" fontId="31" fillId="0" borderId="15" xfId="0" applyFont="1" applyBorder="1" applyAlignment="1">
      <alignment/>
    </xf>
    <xf numFmtId="0" fontId="31" fillId="0" borderId="16" xfId="0" applyFont="1" applyBorder="1" applyAlignment="1">
      <alignment/>
    </xf>
    <xf numFmtId="3" fontId="33" fillId="0" borderId="40" xfId="0" applyNumberFormat="1" applyFont="1" applyBorder="1" applyAlignment="1">
      <alignment/>
    </xf>
    <xf numFmtId="3" fontId="33" fillId="0" borderId="16" xfId="0" applyNumberFormat="1" applyFont="1" applyBorder="1" applyAlignment="1">
      <alignment/>
    </xf>
    <xf numFmtId="3" fontId="33" fillId="0" borderId="17" xfId="0" applyNumberFormat="1" applyFont="1" applyBorder="1" applyAlignment="1">
      <alignment/>
    </xf>
    <xf numFmtId="0" fontId="35" fillId="0" borderId="10" xfId="0" applyFont="1" applyBorder="1" applyAlignment="1">
      <alignment horizontal="center"/>
    </xf>
    <xf numFmtId="0" fontId="35" fillId="0" borderId="0" xfId="0" applyFont="1" applyAlignment="1">
      <alignment/>
    </xf>
    <xf numFmtId="0" fontId="35" fillId="0" borderId="15" xfId="0" applyFont="1" applyBorder="1" applyAlignment="1">
      <alignment/>
    </xf>
    <xf numFmtId="0" fontId="30" fillId="0" borderId="16" xfId="0" applyFont="1" applyBorder="1" applyAlignment="1">
      <alignment/>
    </xf>
    <xf numFmtId="0" fontId="35" fillId="0" borderId="17" xfId="0" applyFont="1" applyBorder="1" applyAlignment="1">
      <alignment horizontal="center"/>
    </xf>
    <xf numFmtId="0" fontId="31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14" fontId="33" fillId="0" borderId="0" xfId="0" applyNumberFormat="1" applyFont="1" applyAlignment="1">
      <alignment horizontal="left"/>
    </xf>
    <xf numFmtId="0" fontId="33" fillId="0" borderId="0" xfId="0" applyFont="1" applyAlignment="1">
      <alignment horizontal="center"/>
    </xf>
    <xf numFmtId="0" fontId="38" fillId="0" borderId="0" xfId="0" applyFont="1" applyAlignment="1">
      <alignment/>
    </xf>
    <xf numFmtId="3" fontId="33" fillId="7" borderId="38" xfId="0" applyNumberFormat="1" applyFont="1" applyFill="1" applyBorder="1" applyAlignment="1">
      <alignment/>
    </xf>
    <xf numFmtId="0" fontId="35" fillId="0" borderId="0" xfId="0" applyFont="1" applyAlignment="1">
      <alignment horizontal="center"/>
    </xf>
    <xf numFmtId="3" fontId="28" fillId="0" borderId="0" xfId="0" applyNumberFormat="1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28" fillId="0" borderId="0" xfId="0" applyFont="1" applyAlignment="1">
      <alignment/>
    </xf>
    <xf numFmtId="3" fontId="42" fillId="0" borderId="0" xfId="0" applyNumberFormat="1" applyFont="1" applyAlignment="1">
      <alignment/>
    </xf>
    <xf numFmtId="3" fontId="28" fillId="0" borderId="0" xfId="0" applyNumberFormat="1" applyFont="1" applyBorder="1" applyAlignment="1">
      <alignment/>
    </xf>
    <xf numFmtId="0" fontId="3" fillId="11" borderId="0" xfId="0" applyFont="1" applyFill="1" applyAlignment="1">
      <alignment horizontal="right"/>
    </xf>
    <xf numFmtId="0" fontId="3" fillId="11" borderId="0" xfId="0" applyFont="1" applyFill="1" applyAlignment="1">
      <alignment/>
    </xf>
    <xf numFmtId="10" fontId="4" fillId="0" borderId="43" xfId="0" applyNumberFormat="1" applyFont="1" applyBorder="1" applyAlignment="1">
      <alignment/>
    </xf>
    <xf numFmtId="10" fontId="4" fillId="0" borderId="39" xfId="0" applyNumberFormat="1" applyFont="1" applyBorder="1" applyAlignment="1">
      <alignment/>
    </xf>
    <xf numFmtId="10" fontId="4" fillId="0" borderId="44" xfId="0" applyNumberFormat="1" applyFont="1" applyBorder="1" applyAlignment="1">
      <alignment/>
    </xf>
    <xf numFmtId="10" fontId="4" fillId="17" borderId="42" xfId="0" applyNumberFormat="1" applyFont="1" applyFill="1" applyBorder="1" applyAlignment="1">
      <alignment/>
    </xf>
    <xf numFmtId="10" fontId="4" fillId="0" borderId="46" xfId="0" applyNumberFormat="1" applyFont="1" applyBorder="1" applyAlignment="1">
      <alignment/>
    </xf>
    <xf numFmtId="10" fontId="4" fillId="0" borderId="47" xfId="0" applyNumberFormat="1" applyFont="1" applyBorder="1" applyAlignment="1">
      <alignment/>
    </xf>
    <xf numFmtId="10" fontId="4" fillId="0" borderId="40" xfId="0" applyNumberFormat="1" applyFont="1" applyBorder="1" applyAlignment="1">
      <alignment/>
    </xf>
    <xf numFmtId="3" fontId="4" fillId="8" borderId="43" xfId="0" applyNumberFormat="1" applyFont="1" applyFill="1" applyBorder="1" applyAlignment="1">
      <alignment/>
    </xf>
    <xf numFmtId="3" fontId="17" fillId="8" borderId="44" xfId="0" applyNumberFormat="1" applyFont="1" applyFill="1" applyBorder="1" applyAlignment="1">
      <alignment/>
    </xf>
    <xf numFmtId="3" fontId="4" fillId="8" borderId="44" xfId="0" applyNumberFormat="1" applyFont="1" applyFill="1" applyBorder="1" applyAlignment="1">
      <alignment/>
    </xf>
    <xf numFmtId="3" fontId="4" fillId="8" borderId="46" xfId="0" applyNumberFormat="1" applyFont="1" applyFill="1" applyBorder="1" applyAlignment="1">
      <alignment/>
    </xf>
    <xf numFmtId="3" fontId="4" fillId="8" borderId="47" xfId="0" applyNumberFormat="1" applyFont="1" applyFill="1" applyBorder="1" applyAlignment="1">
      <alignment/>
    </xf>
    <xf numFmtId="3" fontId="4" fillId="8" borderId="40" xfId="0" applyNumberFormat="1" applyFont="1" applyFill="1" applyBorder="1" applyAlignment="1">
      <alignment/>
    </xf>
    <xf numFmtId="10" fontId="17" fillId="0" borderId="44" xfId="0" applyNumberFormat="1" applyFont="1" applyFill="1" applyBorder="1" applyAlignment="1">
      <alignment/>
    </xf>
    <xf numFmtId="10" fontId="4" fillId="0" borderId="44" xfId="0" applyNumberFormat="1" applyFont="1" applyFill="1" applyBorder="1" applyAlignment="1">
      <alignment/>
    </xf>
    <xf numFmtId="10" fontId="4" fillId="25" borderId="46" xfId="0" applyNumberFormat="1" applyFont="1" applyFill="1" applyBorder="1" applyAlignment="1">
      <alignment/>
    </xf>
    <xf numFmtId="10" fontId="4" fillId="25" borderId="47" xfId="0" applyNumberFormat="1" applyFont="1" applyFill="1" applyBorder="1" applyAlignment="1">
      <alignment/>
    </xf>
    <xf numFmtId="10" fontId="4" fillId="25" borderId="40" xfId="0" applyNumberFormat="1" applyFont="1" applyFill="1" applyBorder="1" applyAlignment="1">
      <alignment/>
    </xf>
    <xf numFmtId="10" fontId="17" fillId="0" borderId="44" xfId="0" applyNumberFormat="1" applyFont="1" applyBorder="1" applyAlignment="1">
      <alignment/>
    </xf>
    <xf numFmtId="10" fontId="4" fillId="0" borderId="98" xfId="0" applyNumberFormat="1" applyFont="1" applyBorder="1" applyAlignment="1">
      <alignment/>
    </xf>
    <xf numFmtId="10" fontId="4" fillId="0" borderId="44" xfId="47" applyNumberFormat="1" applyFont="1" applyBorder="1">
      <alignment/>
      <protection/>
    </xf>
    <xf numFmtId="10" fontId="4" fillId="0" borderId="46" xfId="47" applyNumberFormat="1" applyFont="1" applyBorder="1">
      <alignment/>
      <protection/>
    </xf>
    <xf numFmtId="10" fontId="4" fillId="0" borderId="44" xfId="34" applyNumberFormat="1" applyFont="1" applyBorder="1" applyAlignment="1">
      <alignment/>
    </xf>
    <xf numFmtId="10" fontId="4" fillId="0" borderId="43" xfId="34" applyNumberFormat="1" applyFont="1" applyBorder="1" applyAlignment="1">
      <alignment/>
    </xf>
    <xf numFmtId="10" fontId="4" fillId="0" borderId="46" xfId="34" applyNumberFormat="1" applyFont="1" applyBorder="1" applyAlignment="1">
      <alignment/>
    </xf>
    <xf numFmtId="10" fontId="4" fillId="0" borderId="47" xfId="34" applyNumberFormat="1" applyFont="1" applyBorder="1" applyAlignment="1">
      <alignment/>
    </xf>
    <xf numFmtId="10" fontId="33" fillId="17" borderId="42" xfId="0" applyNumberFormat="1" applyFont="1" applyFill="1" applyBorder="1" applyAlignment="1">
      <alignment/>
    </xf>
    <xf numFmtId="10" fontId="33" fillId="0" borderId="43" xfId="0" applyNumberFormat="1" applyFont="1" applyBorder="1" applyAlignment="1">
      <alignment/>
    </xf>
    <xf numFmtId="10" fontId="33" fillId="0" borderId="44" xfId="0" applyNumberFormat="1" applyFont="1" applyBorder="1" applyAlignment="1">
      <alignment/>
    </xf>
    <xf numFmtId="10" fontId="33" fillId="0" borderId="99" xfId="0" applyNumberFormat="1" applyFont="1" applyBorder="1" applyAlignment="1">
      <alignment/>
    </xf>
    <xf numFmtId="10" fontId="33" fillId="0" borderId="46" xfId="0" applyNumberFormat="1" applyFont="1" applyBorder="1" applyAlignment="1">
      <alignment/>
    </xf>
    <xf numFmtId="10" fontId="33" fillId="0" borderId="47" xfId="0" applyNumberFormat="1" applyFont="1" applyBorder="1" applyAlignment="1">
      <alignment/>
    </xf>
    <xf numFmtId="10" fontId="33" fillId="0" borderId="40" xfId="0" applyNumberFormat="1" applyFont="1" applyBorder="1" applyAlignment="1">
      <alignment/>
    </xf>
    <xf numFmtId="10" fontId="4" fillId="0" borderId="44" xfId="0" applyNumberFormat="1" applyFont="1" applyBorder="1" applyAlignment="1">
      <alignment/>
    </xf>
    <xf numFmtId="10" fontId="4" fillId="0" borderId="46" xfId="0" applyNumberFormat="1" applyFont="1" applyFill="1" applyBorder="1" applyAlignment="1">
      <alignment/>
    </xf>
    <xf numFmtId="10" fontId="4" fillId="0" borderId="28" xfId="47" applyNumberFormat="1" applyFont="1" applyBorder="1">
      <alignment/>
      <protection/>
    </xf>
    <xf numFmtId="10" fontId="4" fillId="0" borderId="53" xfId="47" applyNumberFormat="1" applyFont="1" applyBorder="1">
      <alignment/>
      <protection/>
    </xf>
    <xf numFmtId="10" fontId="4" fillId="0" borderId="47" xfId="47" applyNumberFormat="1" applyFont="1" applyBorder="1">
      <alignment/>
      <protection/>
    </xf>
    <xf numFmtId="3" fontId="4" fillId="8" borderId="44" xfId="47" applyNumberFormat="1" applyFont="1" applyFill="1" applyBorder="1">
      <alignment/>
      <protection/>
    </xf>
    <xf numFmtId="3" fontId="4" fillId="8" borderId="44" xfId="34" applyNumberFormat="1" applyFont="1" applyFill="1" applyBorder="1" applyAlignment="1">
      <alignment/>
    </xf>
    <xf numFmtId="3" fontId="33" fillId="8" borderId="43" xfId="0" applyNumberFormat="1" applyFont="1" applyFill="1" applyBorder="1" applyAlignment="1">
      <alignment/>
    </xf>
    <xf numFmtId="3" fontId="33" fillId="8" borderId="44" xfId="0" applyNumberFormat="1" applyFont="1" applyFill="1" applyBorder="1" applyAlignment="1">
      <alignment/>
    </xf>
    <xf numFmtId="3" fontId="33" fillId="8" borderId="99" xfId="0" applyNumberFormat="1" applyFont="1" applyFill="1" applyBorder="1" applyAlignment="1">
      <alignment/>
    </xf>
    <xf numFmtId="3" fontId="4" fillId="8" borderId="44" xfId="0" applyNumberFormat="1" applyFont="1" applyFill="1" applyBorder="1" applyAlignment="1">
      <alignment/>
    </xf>
    <xf numFmtId="3" fontId="4" fillId="8" borderId="28" xfId="47" applyNumberFormat="1" applyFont="1" applyFill="1" applyBorder="1">
      <alignment/>
      <protection/>
    </xf>
    <xf numFmtId="3" fontId="4" fillId="8" borderId="53" xfId="47" applyNumberFormat="1" applyFont="1" applyFill="1" applyBorder="1">
      <alignment/>
      <protection/>
    </xf>
    <xf numFmtId="3" fontId="4" fillId="8" borderId="43" xfId="47" applyNumberFormat="1" applyFont="1" applyFill="1" applyBorder="1">
      <alignment/>
      <protection/>
    </xf>
    <xf numFmtId="3" fontId="4" fillId="8" borderId="46" xfId="47" applyNumberFormat="1" applyFont="1" applyFill="1" applyBorder="1">
      <alignment/>
      <protection/>
    </xf>
    <xf numFmtId="3" fontId="4" fillId="8" borderId="43" xfId="34" applyNumberFormat="1" applyFont="1" applyFill="1" applyBorder="1" applyAlignment="1">
      <alignment/>
    </xf>
    <xf numFmtId="3" fontId="4" fillId="8" borderId="46" xfId="34" applyNumberFormat="1" applyFont="1" applyFill="1" applyBorder="1" applyAlignment="1">
      <alignment/>
    </xf>
    <xf numFmtId="3" fontId="4" fillId="8" borderId="47" xfId="34" applyNumberFormat="1" applyFont="1" applyFill="1" applyBorder="1" applyAlignment="1">
      <alignment/>
    </xf>
    <xf numFmtId="3" fontId="33" fillId="8" borderId="46" xfId="0" applyNumberFormat="1" applyFont="1" applyFill="1" applyBorder="1" applyAlignment="1">
      <alignment/>
    </xf>
    <xf numFmtId="3" fontId="33" fillId="8" borderId="47" xfId="0" applyNumberFormat="1" applyFont="1" applyFill="1" applyBorder="1" applyAlignment="1">
      <alignment/>
    </xf>
    <xf numFmtId="3" fontId="33" fillId="8" borderId="40" xfId="0" applyNumberFormat="1" applyFont="1" applyFill="1" applyBorder="1" applyAlignment="1">
      <alignment/>
    </xf>
    <xf numFmtId="3" fontId="4" fillId="8" borderId="47" xfId="47" applyNumberFormat="1" applyFont="1" applyFill="1" applyBorder="1">
      <alignment/>
      <protection/>
    </xf>
    <xf numFmtId="3" fontId="4" fillId="25" borderId="44" xfId="0" applyNumberFormat="1" applyFont="1" applyFill="1" applyBorder="1" applyAlignment="1">
      <alignment/>
    </xf>
    <xf numFmtId="3" fontId="4" fillId="0" borderId="100" xfId="0" applyNumberFormat="1" applyFont="1" applyBorder="1" applyAlignment="1">
      <alignment/>
    </xf>
    <xf numFmtId="3" fontId="17" fillId="0" borderId="51" xfId="0" applyNumberFormat="1" applyFont="1" applyFill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101" xfId="0" applyNumberFormat="1" applyFont="1" applyBorder="1" applyAlignment="1">
      <alignment/>
    </xf>
    <xf numFmtId="3" fontId="4" fillId="0" borderId="51" xfId="0" applyNumberFormat="1" applyFont="1" applyFill="1" applyBorder="1" applyAlignment="1">
      <alignment/>
    </xf>
    <xf numFmtId="3" fontId="9" fillId="17" borderId="42" xfId="0" applyNumberFormat="1" applyFont="1" applyFill="1" applyBorder="1" applyAlignment="1">
      <alignment/>
    </xf>
    <xf numFmtId="3" fontId="4" fillId="0" borderId="46" xfId="0" applyNumberFormat="1" applyFont="1" applyBorder="1" applyAlignment="1">
      <alignment/>
    </xf>
    <xf numFmtId="3" fontId="4" fillId="0" borderId="102" xfId="47" applyNumberFormat="1" applyFont="1" applyBorder="1">
      <alignment/>
      <protection/>
    </xf>
    <xf numFmtId="3" fontId="4" fillId="0" borderId="103" xfId="47" applyNumberFormat="1" applyFont="1" applyBorder="1">
      <alignment/>
      <protection/>
    </xf>
    <xf numFmtId="3" fontId="4" fillId="0" borderId="85" xfId="47" applyNumberFormat="1" applyFont="1" applyBorder="1">
      <alignment/>
      <protection/>
    </xf>
    <xf numFmtId="3" fontId="4" fillId="0" borderId="104" xfId="47" applyNumberFormat="1" applyFont="1" applyBorder="1">
      <alignment/>
      <protection/>
    </xf>
    <xf numFmtId="3" fontId="4" fillId="0" borderId="66" xfId="0" applyNumberFormat="1" applyFont="1" applyBorder="1" applyAlignment="1">
      <alignment/>
    </xf>
    <xf numFmtId="3" fontId="17" fillId="0" borderId="35" xfId="0" applyNumberFormat="1" applyFont="1" applyBorder="1" applyAlignment="1">
      <alignment/>
    </xf>
    <xf numFmtId="3" fontId="9" fillId="17" borderId="32" xfId="0" applyNumberFormat="1" applyFont="1" applyFill="1" applyBorder="1" applyAlignment="1">
      <alignment/>
    </xf>
    <xf numFmtId="0" fontId="4" fillId="0" borderId="81" xfId="0" applyFont="1" applyBorder="1" applyAlignment="1">
      <alignment horizontal="center"/>
    </xf>
    <xf numFmtId="3" fontId="4" fillId="0" borderId="105" xfId="0" applyNumberFormat="1" applyFont="1" applyBorder="1" applyAlignment="1">
      <alignment/>
    </xf>
    <xf numFmtId="3" fontId="16" fillId="0" borderId="46" xfId="0" applyNumberFormat="1" applyFont="1" applyBorder="1" applyAlignment="1">
      <alignment/>
    </xf>
    <xf numFmtId="3" fontId="0" fillId="0" borderId="0" xfId="0" applyNumberFormat="1" applyAlignment="1">
      <alignment/>
    </xf>
    <xf numFmtId="10" fontId="4" fillId="0" borderId="44" xfId="0" applyNumberFormat="1" applyFont="1" applyBorder="1" applyAlignment="1">
      <alignment horizontal="right"/>
    </xf>
    <xf numFmtId="3" fontId="28" fillId="0" borderId="0" xfId="0" applyNumberFormat="1" applyFont="1" applyAlignment="1">
      <alignment/>
    </xf>
    <xf numFmtId="3" fontId="4" fillId="0" borderId="81" xfId="0" applyNumberFormat="1" applyFont="1" applyBorder="1" applyAlignment="1">
      <alignment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3" fontId="43" fillId="0" borderId="46" xfId="0" applyNumberFormat="1" applyFont="1" applyBorder="1" applyAlignment="1">
      <alignment/>
    </xf>
    <xf numFmtId="3" fontId="9" fillId="0" borderId="46" xfId="0" applyNumberFormat="1" applyFont="1" applyBorder="1" applyAlignment="1">
      <alignment/>
    </xf>
    <xf numFmtId="3" fontId="9" fillId="0" borderId="47" xfId="0" applyNumberFormat="1" applyFont="1" applyBorder="1" applyAlignment="1">
      <alignment/>
    </xf>
    <xf numFmtId="3" fontId="9" fillId="0" borderId="40" xfId="0" applyNumberFormat="1" applyFont="1" applyBorder="1" applyAlignment="1">
      <alignment/>
    </xf>
    <xf numFmtId="0" fontId="9" fillId="0" borderId="0" xfId="0" applyFont="1" applyAlignment="1">
      <alignment/>
    </xf>
    <xf numFmtId="3" fontId="9" fillId="7" borderId="38" xfId="0" applyNumberFormat="1" applyFont="1" applyFill="1" applyBorder="1" applyAlignment="1">
      <alignment/>
    </xf>
    <xf numFmtId="0" fontId="9" fillId="0" borderId="38" xfId="0" applyFont="1" applyBorder="1" applyAlignment="1">
      <alignment/>
    </xf>
    <xf numFmtId="0" fontId="44" fillId="0" borderId="0" xfId="0" applyFont="1" applyAlignment="1">
      <alignment/>
    </xf>
    <xf numFmtId="3" fontId="17" fillId="0" borderId="78" xfId="0" applyNumberFormat="1" applyFont="1" applyBorder="1" applyAlignment="1">
      <alignment/>
    </xf>
    <xf numFmtId="3" fontId="17" fillId="0" borderId="106" xfId="0" applyNumberFormat="1" applyFont="1" applyBorder="1" applyAlignment="1">
      <alignment/>
    </xf>
    <xf numFmtId="3" fontId="4" fillId="0" borderId="78" xfId="0" applyNumberFormat="1" applyFont="1" applyBorder="1" applyAlignment="1">
      <alignment/>
    </xf>
    <xf numFmtId="3" fontId="4" fillId="0" borderId="94" xfId="0" applyNumberFormat="1" applyFont="1" applyBorder="1" applyAlignment="1">
      <alignment/>
    </xf>
    <xf numFmtId="3" fontId="4" fillId="0" borderId="106" xfId="0" applyNumberFormat="1" applyFont="1" applyBorder="1" applyAlignment="1">
      <alignment/>
    </xf>
    <xf numFmtId="3" fontId="6" fillId="0" borderId="87" xfId="0" applyNumberFormat="1" applyFont="1" applyBorder="1" applyAlignment="1">
      <alignment/>
    </xf>
    <xf numFmtId="3" fontId="6" fillId="0" borderId="66" xfId="0" applyNumberFormat="1" applyFont="1" applyBorder="1" applyAlignment="1">
      <alignment/>
    </xf>
    <xf numFmtId="3" fontId="6" fillId="0" borderId="59" xfId="0" applyNumberFormat="1" applyFont="1" applyBorder="1" applyAlignment="1">
      <alignment/>
    </xf>
    <xf numFmtId="3" fontId="4" fillId="0" borderId="107" xfId="0" applyNumberFormat="1" applyFont="1" applyBorder="1" applyAlignment="1">
      <alignment/>
    </xf>
    <xf numFmtId="3" fontId="6" fillId="0" borderId="60" xfId="0" applyNumberFormat="1" applyFont="1" applyBorder="1" applyAlignment="1">
      <alignment/>
    </xf>
    <xf numFmtId="3" fontId="6" fillId="0" borderId="79" xfId="0" applyNumberFormat="1" applyFont="1" applyBorder="1" applyAlignment="1">
      <alignment/>
    </xf>
    <xf numFmtId="3" fontId="10" fillId="0" borderId="44" xfId="0" applyNumberFormat="1" applyFont="1" applyBorder="1" applyAlignment="1">
      <alignment/>
    </xf>
    <xf numFmtId="3" fontId="6" fillId="0" borderId="80" xfId="0" applyNumberFormat="1" applyFont="1" applyBorder="1" applyAlignment="1">
      <alignment/>
    </xf>
    <xf numFmtId="3" fontId="6" fillId="0" borderId="75" xfId="0" applyNumberFormat="1" applyFont="1" applyBorder="1" applyAlignment="1">
      <alignment/>
    </xf>
    <xf numFmtId="3" fontId="10" fillId="0" borderId="81" xfId="0" applyNumberFormat="1" applyFont="1" applyBorder="1" applyAlignment="1">
      <alignment/>
    </xf>
    <xf numFmtId="3" fontId="6" fillId="0" borderId="46" xfId="0" applyNumberFormat="1" applyFont="1" applyBorder="1" applyAlignment="1">
      <alignment/>
    </xf>
    <xf numFmtId="3" fontId="6" fillId="0" borderId="99" xfId="0" applyNumberFormat="1" applyFont="1" applyBorder="1" applyAlignment="1">
      <alignment/>
    </xf>
    <xf numFmtId="3" fontId="9" fillId="17" borderId="108" xfId="0" applyNumberFormat="1" applyFont="1" applyFill="1" applyBorder="1" applyAlignment="1">
      <alignment/>
    </xf>
    <xf numFmtId="3" fontId="11" fillId="0" borderId="4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5" fillId="0" borderId="0" xfId="0" applyFont="1" applyAlignment="1">
      <alignment/>
    </xf>
    <xf numFmtId="0" fontId="4" fillId="0" borderId="0" xfId="0" applyFont="1" applyFill="1" applyAlignment="1">
      <alignment/>
    </xf>
    <xf numFmtId="3" fontId="12" fillId="0" borderId="46" xfId="0" applyNumberFormat="1" applyFont="1" applyBorder="1" applyAlignment="1">
      <alignment/>
    </xf>
    <xf numFmtId="3" fontId="12" fillId="0" borderId="46" xfId="34" applyNumberFormat="1" applyFont="1" applyBorder="1" applyAlignment="1">
      <alignment/>
    </xf>
    <xf numFmtId="3" fontId="9" fillId="11" borderId="0" xfId="0" applyNumberFormat="1" applyFont="1" applyFill="1" applyAlignment="1">
      <alignment/>
    </xf>
    <xf numFmtId="3" fontId="4" fillId="26" borderId="44" xfId="0" applyNumberFormat="1" applyFont="1" applyFill="1" applyBorder="1" applyAlignment="1">
      <alignment/>
    </xf>
    <xf numFmtId="1" fontId="27" fillId="11" borderId="0" xfId="0" applyNumberFormat="1" applyFont="1" applyFill="1" applyAlignment="1">
      <alignment horizontal="right"/>
    </xf>
    <xf numFmtId="3" fontId="11" fillId="8" borderId="46" xfId="0" applyNumberFormat="1" applyFont="1" applyFill="1" applyBorder="1" applyAlignment="1">
      <alignment/>
    </xf>
    <xf numFmtId="3" fontId="9" fillId="0" borderId="43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6" fillId="11" borderId="0" xfId="0" applyNumberFormat="1" applyFont="1" applyFill="1" applyAlignment="1">
      <alignment/>
    </xf>
    <xf numFmtId="3" fontId="10" fillId="11" borderId="0" xfId="0" applyNumberFormat="1" applyFont="1" applyFill="1" applyAlignment="1">
      <alignment/>
    </xf>
    <xf numFmtId="3" fontId="4" fillId="0" borderId="29" xfId="0" applyNumberFormat="1" applyFont="1" applyBorder="1" applyAlignment="1">
      <alignment/>
    </xf>
    <xf numFmtId="3" fontId="4" fillId="0" borderId="44" xfId="0" applyNumberFormat="1" applyFont="1" applyFill="1" applyBorder="1" applyAlignment="1">
      <alignment/>
    </xf>
    <xf numFmtId="3" fontId="4" fillId="0" borderId="46" xfId="0" applyNumberFormat="1" applyFont="1" applyFill="1" applyBorder="1" applyAlignment="1">
      <alignment/>
    </xf>
    <xf numFmtId="3" fontId="32" fillId="17" borderId="42" xfId="0" applyNumberFormat="1" applyFont="1" applyFill="1" applyBorder="1" applyAlignment="1">
      <alignment/>
    </xf>
    <xf numFmtId="3" fontId="46" fillId="0" borderId="44" xfId="0" applyNumberFormat="1" applyFont="1" applyBorder="1" applyAlignment="1">
      <alignment/>
    </xf>
    <xf numFmtId="0" fontId="33" fillId="0" borderId="0" xfId="0" applyFont="1" applyFill="1" applyBorder="1" applyAlignment="1">
      <alignment/>
    </xf>
    <xf numFmtId="3" fontId="17" fillId="0" borderId="44" xfId="0" applyNumberFormat="1" applyFont="1" applyFill="1" applyBorder="1" applyAlignment="1">
      <alignment/>
    </xf>
    <xf numFmtId="3" fontId="4" fillId="0" borderId="38" xfId="0" applyNumberFormat="1" applyFont="1" applyBorder="1" applyAlignment="1">
      <alignment/>
    </xf>
    <xf numFmtId="0" fontId="9" fillId="8" borderId="39" xfId="0" applyFont="1" applyFill="1" applyBorder="1" applyAlignment="1">
      <alignment horizontal="center"/>
    </xf>
    <xf numFmtId="0" fontId="9" fillId="8" borderId="40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3" fontId="9" fillId="8" borderId="44" xfId="0" applyNumberFormat="1" applyFont="1" applyFill="1" applyBorder="1" applyAlignment="1">
      <alignment/>
    </xf>
    <xf numFmtId="3" fontId="9" fillId="8" borderId="47" xfId="0" applyNumberFormat="1" applyFont="1" applyFill="1" applyBorder="1" applyAlignment="1">
      <alignment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3" fontId="45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3" fontId="12" fillId="0" borderId="0" xfId="0" applyNumberFormat="1" applyFont="1" applyFill="1" applyAlignment="1">
      <alignment/>
    </xf>
    <xf numFmtId="3" fontId="47" fillId="0" borderId="0" xfId="0" applyNumberFormat="1" applyFont="1" applyAlignment="1">
      <alignment/>
    </xf>
    <xf numFmtId="0" fontId="12" fillId="0" borderId="54" xfId="0" applyFont="1" applyBorder="1" applyAlignment="1">
      <alignment horizontal="center" wrapText="1"/>
    </xf>
    <xf numFmtId="0" fontId="12" fillId="0" borderId="55" xfId="0" applyFont="1" applyBorder="1" applyAlignment="1">
      <alignment horizontal="center"/>
    </xf>
    <xf numFmtId="0" fontId="45" fillId="0" borderId="56" xfId="0" applyFont="1" applyBorder="1" applyAlignment="1">
      <alignment horizontal="center"/>
    </xf>
    <xf numFmtId="3" fontId="12" fillId="17" borderId="38" xfId="0" applyNumberFormat="1" applyFont="1" applyFill="1" applyBorder="1" applyAlignment="1">
      <alignment/>
    </xf>
    <xf numFmtId="3" fontId="12" fillId="0" borderId="57" xfId="0" applyNumberFormat="1" applyFont="1" applyBorder="1" applyAlignment="1">
      <alignment/>
    </xf>
    <xf numFmtId="3" fontId="45" fillId="24" borderId="57" xfId="0" applyNumberFormat="1" applyFont="1" applyFill="1" applyBorder="1" applyAlignment="1">
      <alignment/>
    </xf>
    <xf numFmtId="3" fontId="12" fillId="0" borderId="57" xfId="0" applyNumberFormat="1" applyFont="1" applyFill="1" applyBorder="1" applyAlignment="1">
      <alignment/>
    </xf>
    <xf numFmtId="3" fontId="12" fillId="0" borderId="58" xfId="0" applyNumberFormat="1" applyFont="1" applyBorder="1" applyAlignment="1">
      <alignment/>
    </xf>
    <xf numFmtId="3" fontId="45" fillId="0" borderId="56" xfId="0" applyNumberFormat="1" applyFont="1" applyBorder="1" applyAlignment="1">
      <alignment/>
    </xf>
    <xf numFmtId="3" fontId="12" fillId="0" borderId="59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25" fillId="0" borderId="0" xfId="0" applyFont="1" applyFill="1" applyAlignment="1">
      <alignment/>
    </xf>
    <xf numFmtId="3" fontId="26" fillId="24" borderId="57" xfId="0" applyNumberFormat="1" applyFont="1" applyFill="1" applyBorder="1" applyAlignment="1">
      <alignment/>
    </xf>
    <xf numFmtId="3" fontId="4" fillId="0" borderId="43" xfId="0" applyNumberFormat="1" applyFont="1" applyFill="1" applyBorder="1" applyAlignment="1">
      <alignment/>
    </xf>
    <xf numFmtId="3" fontId="4" fillId="0" borderId="47" xfId="0" applyNumberFormat="1" applyFont="1" applyFill="1" applyBorder="1" applyAlignment="1">
      <alignment/>
    </xf>
    <xf numFmtId="3" fontId="9" fillId="0" borderId="44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4" fillId="0" borderId="74" xfId="0" applyNumberFormat="1" applyFont="1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6" xfId="0" applyNumberFormat="1" applyFont="1" applyFill="1" applyBorder="1" applyAlignment="1">
      <alignment/>
    </xf>
    <xf numFmtId="3" fontId="4" fillId="0" borderId="62" xfId="0" applyNumberFormat="1" applyFont="1" applyFill="1" applyBorder="1" applyAlignment="1">
      <alignment/>
    </xf>
    <xf numFmtId="0" fontId="0" fillId="0" borderId="14" xfId="0" applyBorder="1" applyAlignment="1">
      <alignment horizontal="center"/>
    </xf>
    <xf numFmtId="3" fontId="4" fillId="17" borderId="31" xfId="0" applyNumberFormat="1" applyFont="1" applyFill="1" applyBorder="1" applyAlignment="1">
      <alignment/>
    </xf>
    <xf numFmtId="3" fontId="4" fillId="0" borderId="87" xfId="47" applyNumberFormat="1" applyFont="1" applyBorder="1">
      <alignment/>
      <protection/>
    </xf>
    <xf numFmtId="3" fontId="4" fillId="0" borderId="109" xfId="47" applyNumberFormat="1" applyFont="1" applyBorder="1">
      <alignment/>
      <protection/>
    </xf>
    <xf numFmtId="3" fontId="17" fillId="26" borderId="27" xfId="0" applyNumberFormat="1" applyFont="1" applyFill="1" applyBorder="1" applyAlignment="1">
      <alignment/>
    </xf>
    <xf numFmtId="0" fontId="17" fillId="0" borderId="22" xfId="0" applyFont="1" applyBorder="1" applyAlignment="1">
      <alignment/>
    </xf>
    <xf numFmtId="0" fontId="17" fillId="0" borderId="0" xfId="0" applyFont="1" applyBorder="1" applyAlignment="1">
      <alignment/>
    </xf>
    <xf numFmtId="0" fontId="17" fillId="26" borderId="26" xfId="0" applyFont="1" applyFill="1" applyBorder="1" applyAlignment="1">
      <alignment/>
    </xf>
    <xf numFmtId="0" fontId="17" fillId="26" borderId="27" xfId="0" applyFont="1" applyFill="1" applyBorder="1" applyAlignment="1">
      <alignment horizontal="center"/>
    </xf>
    <xf numFmtId="0" fontId="17" fillId="26" borderId="28" xfId="0" applyFont="1" applyFill="1" applyBorder="1" applyAlignment="1">
      <alignment horizontal="left"/>
    </xf>
    <xf numFmtId="3" fontId="17" fillId="26" borderId="26" xfId="0" applyNumberFormat="1" applyFont="1" applyFill="1" applyBorder="1" applyAlignment="1">
      <alignment/>
    </xf>
    <xf numFmtId="3" fontId="17" fillId="26" borderId="41" xfId="0" applyNumberFormat="1" applyFont="1" applyFill="1" applyBorder="1" applyAlignment="1">
      <alignment/>
    </xf>
    <xf numFmtId="0" fontId="11" fillId="0" borderId="30" xfId="0" applyFont="1" applyFill="1" applyBorder="1" applyAlignment="1">
      <alignment horizontal="left"/>
    </xf>
    <xf numFmtId="0" fontId="12" fillId="0" borderId="0" xfId="0" applyFont="1" applyFill="1" applyAlignment="1">
      <alignment/>
    </xf>
    <xf numFmtId="3" fontId="26" fillId="0" borderId="57" xfId="0" applyNumberFormat="1" applyFont="1" applyBorder="1" applyAlignment="1">
      <alignment/>
    </xf>
    <xf numFmtId="3" fontId="11" fillId="0" borderId="58" xfId="0" applyNumberFormat="1" applyFont="1" applyBorder="1" applyAlignment="1">
      <alignment/>
    </xf>
    <xf numFmtId="3" fontId="12" fillId="17" borderId="42" xfId="0" applyNumberFormat="1" applyFont="1" applyFill="1" applyBorder="1" applyAlignment="1">
      <alignment/>
    </xf>
    <xf numFmtId="3" fontId="12" fillId="0" borderId="43" xfId="0" applyNumberFormat="1" applyFont="1" applyBorder="1" applyAlignment="1">
      <alignment/>
    </xf>
    <xf numFmtId="3" fontId="45" fillId="0" borderId="44" xfId="0" applyNumberFormat="1" applyFont="1" applyBorder="1" applyAlignment="1">
      <alignment/>
    </xf>
    <xf numFmtId="3" fontId="12" fillId="0" borderId="44" xfId="0" applyNumberFormat="1" applyFont="1" applyBorder="1" applyAlignment="1">
      <alignment/>
    </xf>
    <xf numFmtId="3" fontId="12" fillId="0" borderId="47" xfId="0" applyNumberFormat="1" applyFont="1" applyBorder="1" applyAlignment="1">
      <alignment/>
    </xf>
    <xf numFmtId="3" fontId="12" fillId="0" borderId="40" xfId="0" applyNumberFormat="1" applyFont="1" applyBorder="1" applyAlignment="1">
      <alignment/>
    </xf>
    <xf numFmtId="3" fontId="4" fillId="0" borderId="77" xfId="0" applyNumberFormat="1" applyFont="1" applyBorder="1" applyAlignment="1">
      <alignment/>
    </xf>
    <xf numFmtId="3" fontId="9" fillId="17" borderId="76" xfId="0" applyNumberFormat="1" applyFont="1" applyFill="1" applyBorder="1" applyAlignment="1">
      <alignment/>
    </xf>
    <xf numFmtId="3" fontId="4" fillId="0" borderId="79" xfId="0" applyNumberFormat="1" applyFont="1" applyBorder="1" applyAlignment="1">
      <alignment/>
    </xf>
    <xf numFmtId="3" fontId="9" fillId="17" borderId="76" xfId="0" applyNumberFormat="1" applyFont="1" applyFill="1" applyBorder="1" applyAlignment="1">
      <alignment/>
    </xf>
    <xf numFmtId="3" fontId="26" fillId="0" borderId="27" xfId="0" applyNumberFormat="1" applyFont="1" applyFill="1" applyBorder="1" applyAlignment="1">
      <alignment/>
    </xf>
    <xf numFmtId="3" fontId="17" fillId="0" borderId="102" xfId="47" applyNumberFormat="1" applyFont="1" applyBorder="1">
      <alignment/>
      <protection/>
    </xf>
    <xf numFmtId="3" fontId="17" fillId="0" borderId="26" xfId="47" applyNumberFormat="1" applyFont="1" applyBorder="1">
      <alignment/>
      <protection/>
    </xf>
    <xf numFmtId="3" fontId="17" fillId="0" borderId="27" xfId="47" applyNumberFormat="1" applyFont="1" applyBorder="1">
      <alignment/>
      <protection/>
    </xf>
    <xf numFmtId="3" fontId="17" fillId="0" borderId="61" xfId="47" applyNumberFormat="1" applyFont="1" applyBorder="1">
      <alignment/>
      <protection/>
    </xf>
    <xf numFmtId="3" fontId="17" fillId="0" borderId="28" xfId="47" applyNumberFormat="1" applyFont="1" applyBorder="1">
      <alignment/>
      <protection/>
    </xf>
    <xf numFmtId="3" fontId="17" fillId="0" borderId="27" xfId="47" applyNumberFormat="1" applyFont="1" applyFill="1" applyBorder="1">
      <alignment/>
      <protection/>
    </xf>
    <xf numFmtId="3" fontId="17" fillId="0" borderId="28" xfId="47" applyNumberFormat="1" applyFont="1" applyFill="1" applyBorder="1">
      <alignment/>
      <protection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3" fontId="4" fillId="0" borderId="77" xfId="0" applyNumberFormat="1" applyFont="1" applyFill="1" applyBorder="1" applyAlignment="1">
      <alignment/>
    </xf>
    <xf numFmtId="3" fontId="17" fillId="0" borderId="79" xfId="0" applyNumberFormat="1" applyFont="1" applyBorder="1" applyAlignment="1">
      <alignment/>
    </xf>
    <xf numFmtId="3" fontId="17" fillId="0" borderId="79" xfId="0" applyNumberFormat="1" applyFont="1" applyFill="1" applyBorder="1" applyAlignment="1">
      <alignment/>
    </xf>
    <xf numFmtId="3" fontId="4" fillId="0" borderId="79" xfId="0" applyNumberFormat="1" applyFont="1" applyFill="1" applyBorder="1" applyAlignment="1">
      <alignment/>
    </xf>
    <xf numFmtId="3" fontId="4" fillId="0" borderId="78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/>
    </xf>
    <xf numFmtId="3" fontId="17" fillId="0" borderId="45" xfId="0" applyNumberFormat="1" applyFont="1" applyFill="1" applyBorder="1" applyAlignment="1">
      <alignment/>
    </xf>
    <xf numFmtId="3" fontId="33" fillId="0" borderId="41" xfId="0" applyNumberFormat="1" applyFont="1" applyFill="1" applyBorder="1" applyAlignment="1">
      <alignment/>
    </xf>
    <xf numFmtId="3" fontId="33" fillId="0" borderId="27" xfId="0" applyNumberFormat="1" applyFont="1" applyFill="1" applyBorder="1" applyAlignment="1">
      <alignment/>
    </xf>
    <xf numFmtId="3" fontId="33" fillId="0" borderId="45" xfId="0" applyNumberFormat="1" applyFont="1" applyFill="1" applyBorder="1" applyAlignment="1">
      <alignment/>
    </xf>
    <xf numFmtId="3" fontId="17" fillId="0" borderId="86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4" fillId="0" borderId="110" xfId="0" applyNumberFormat="1" applyFont="1" applyBorder="1" applyAlignment="1">
      <alignment/>
    </xf>
    <xf numFmtId="3" fontId="4" fillId="0" borderId="111" xfId="0" applyNumberFormat="1" applyFont="1" applyBorder="1" applyAlignment="1">
      <alignment/>
    </xf>
    <xf numFmtId="3" fontId="4" fillId="0" borderId="75" xfId="0" applyNumberFormat="1" applyFont="1" applyBorder="1" applyAlignment="1">
      <alignment/>
    </xf>
    <xf numFmtId="3" fontId="4" fillId="0" borderId="112" xfId="0" applyNumberFormat="1" applyFont="1" applyBorder="1" applyAlignment="1">
      <alignment/>
    </xf>
    <xf numFmtId="10" fontId="9" fillId="17" borderId="33" xfId="0" applyNumberFormat="1" applyFont="1" applyFill="1" applyBorder="1" applyAlignment="1">
      <alignment/>
    </xf>
    <xf numFmtId="3" fontId="12" fillId="25" borderId="46" xfId="0" applyNumberFormat="1" applyFont="1" applyFill="1" applyBorder="1" applyAlignment="1">
      <alignment/>
    </xf>
    <xf numFmtId="3" fontId="17" fillId="8" borderId="28" xfId="47" applyNumberFormat="1" applyFont="1" applyFill="1" applyBorder="1">
      <alignment/>
      <protection/>
    </xf>
    <xf numFmtId="10" fontId="17" fillId="0" borderId="28" xfId="47" applyNumberFormat="1" applyFont="1" applyBorder="1">
      <alignment/>
      <protection/>
    </xf>
    <xf numFmtId="0" fontId="14" fillId="0" borderId="22" xfId="0" applyFont="1" applyBorder="1" applyAlignment="1">
      <alignment/>
    </xf>
    <xf numFmtId="0" fontId="14" fillId="0" borderId="29" xfId="0" applyFont="1" applyFill="1" applyBorder="1" applyAlignment="1">
      <alignment/>
    </xf>
    <xf numFmtId="0" fontId="14" fillId="0" borderId="27" xfId="0" applyFont="1" applyFill="1" applyBorder="1" applyAlignment="1">
      <alignment horizontal="center"/>
    </xf>
    <xf numFmtId="3" fontId="12" fillId="0" borderId="44" xfId="0" applyNumberFormat="1" applyFont="1" applyBorder="1" applyAlignment="1">
      <alignment/>
    </xf>
    <xf numFmtId="3" fontId="12" fillId="0" borderId="46" xfId="0" applyNumberFormat="1" applyFont="1" applyBorder="1" applyAlignment="1">
      <alignment/>
    </xf>
    <xf numFmtId="3" fontId="12" fillId="0" borderId="51" xfId="0" applyNumberFormat="1" applyFont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86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3" fontId="12" fillId="8" borderId="44" xfId="0" applyNumberFormat="1" applyFont="1" applyFill="1" applyBorder="1" applyAlignment="1">
      <alignment/>
    </xf>
    <xf numFmtId="10" fontId="12" fillId="0" borderId="44" xfId="0" applyNumberFormat="1" applyFont="1" applyBorder="1" applyAlignment="1">
      <alignment/>
    </xf>
    <xf numFmtId="3" fontId="12" fillId="0" borderId="44" xfId="0" applyNumberFormat="1" applyFont="1" applyFill="1" applyBorder="1" applyAlignment="1">
      <alignment/>
    </xf>
    <xf numFmtId="0" fontId="14" fillId="0" borderId="0" xfId="0" applyFont="1" applyAlignment="1">
      <alignment/>
    </xf>
    <xf numFmtId="3" fontId="12" fillId="8" borderId="46" xfId="0" applyNumberFormat="1" applyFont="1" applyFill="1" applyBorder="1" applyAlignment="1">
      <alignment/>
    </xf>
    <xf numFmtId="3" fontId="12" fillId="0" borderId="46" xfId="0" applyNumberFormat="1" applyFont="1" applyFill="1" applyBorder="1" applyAlignment="1">
      <alignment/>
    </xf>
    <xf numFmtId="3" fontId="12" fillId="0" borderId="79" xfId="0" applyNumberFormat="1" applyFont="1" applyBorder="1" applyAlignment="1">
      <alignment/>
    </xf>
    <xf numFmtId="3" fontId="12" fillId="0" borderId="41" xfId="0" applyNumberFormat="1" applyFont="1" applyBorder="1" applyAlignment="1">
      <alignment/>
    </xf>
    <xf numFmtId="3" fontId="12" fillId="0" borderId="27" xfId="0" applyNumberFormat="1" applyFont="1" applyBorder="1" applyAlignment="1">
      <alignment/>
    </xf>
    <xf numFmtId="3" fontId="12" fillId="0" borderId="61" xfId="0" applyNumberFormat="1" applyFont="1" applyBorder="1" applyAlignment="1">
      <alignment/>
    </xf>
    <xf numFmtId="3" fontId="12" fillId="0" borderId="26" xfId="0" applyNumberFormat="1" applyFont="1" applyBorder="1" applyAlignment="1">
      <alignment/>
    </xf>
    <xf numFmtId="10" fontId="12" fillId="0" borderId="44" xfId="0" applyNumberFormat="1" applyFont="1" applyFill="1" applyBorder="1" applyAlignment="1">
      <alignment/>
    </xf>
    <xf numFmtId="3" fontId="12" fillId="0" borderId="78" xfId="0" applyNumberFormat="1" applyFont="1" applyBorder="1" applyAlignment="1">
      <alignment/>
    </xf>
    <xf numFmtId="3" fontId="12" fillId="25" borderId="46" xfId="0" applyNumberFormat="1" applyFont="1" applyFill="1" applyBorder="1" applyAlignment="1">
      <alignment/>
    </xf>
    <xf numFmtId="10" fontId="12" fillId="25" borderId="46" xfId="0" applyNumberFormat="1" applyFont="1" applyFill="1" applyBorder="1" applyAlignment="1">
      <alignment/>
    </xf>
    <xf numFmtId="3" fontId="12" fillId="0" borderId="102" xfId="47" applyNumberFormat="1" applyFont="1" applyBorder="1">
      <alignment/>
      <protection/>
    </xf>
    <xf numFmtId="3" fontId="12" fillId="0" borderId="26" xfId="47" applyNumberFormat="1" applyFont="1" applyBorder="1">
      <alignment/>
      <protection/>
    </xf>
    <xf numFmtId="3" fontId="12" fillId="0" borderId="27" xfId="47" applyNumberFormat="1" applyFont="1" applyBorder="1">
      <alignment/>
      <protection/>
    </xf>
    <xf numFmtId="3" fontId="12" fillId="0" borderId="61" xfId="47" applyNumberFormat="1" applyFont="1" applyBorder="1">
      <alignment/>
      <protection/>
    </xf>
    <xf numFmtId="3" fontId="12" fillId="0" borderId="28" xfId="47" applyNumberFormat="1" applyFont="1" applyBorder="1">
      <alignment/>
      <protection/>
    </xf>
    <xf numFmtId="3" fontId="12" fillId="8" borderId="28" xfId="47" applyNumberFormat="1" applyFont="1" applyFill="1" applyBorder="1">
      <alignment/>
      <protection/>
    </xf>
    <xf numFmtId="10" fontId="12" fillId="0" borderId="28" xfId="47" applyNumberFormat="1" applyFont="1" applyBorder="1">
      <alignment/>
      <protection/>
    </xf>
    <xf numFmtId="3" fontId="45" fillId="0" borderId="29" xfId="0" applyNumberFormat="1" applyFont="1" applyBorder="1" applyAlignment="1">
      <alignment/>
    </xf>
    <xf numFmtId="3" fontId="45" fillId="0" borderId="45" xfId="0" applyNumberFormat="1" applyFont="1" applyBorder="1" applyAlignment="1">
      <alignment/>
    </xf>
    <xf numFmtId="3" fontId="45" fillId="0" borderId="86" xfId="0" applyNumberFormat="1" applyFont="1" applyBorder="1" applyAlignment="1">
      <alignment/>
    </xf>
    <xf numFmtId="10" fontId="12" fillId="0" borderId="44" xfId="34" applyNumberFormat="1" applyFont="1" applyBorder="1" applyAlignment="1">
      <alignment/>
    </xf>
    <xf numFmtId="3" fontId="45" fillId="0" borderId="44" xfId="0" applyNumberFormat="1" applyFont="1" applyBorder="1" applyAlignment="1">
      <alignment/>
    </xf>
    <xf numFmtId="0" fontId="12" fillId="0" borderId="41" xfId="0" applyFont="1" applyBorder="1" applyAlignment="1">
      <alignment/>
    </xf>
    <xf numFmtId="3" fontId="12" fillId="0" borderId="27" xfId="0" applyNumberFormat="1" applyFont="1" applyBorder="1" applyAlignment="1">
      <alignment/>
    </xf>
    <xf numFmtId="0" fontId="12" fillId="0" borderId="61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6" xfId="0" applyFont="1" applyBorder="1" applyAlignment="1">
      <alignment/>
    </xf>
    <xf numFmtId="3" fontId="12" fillId="8" borderId="44" xfId="34" applyNumberFormat="1" applyFont="1" applyFill="1" applyBorder="1" applyAlignment="1">
      <alignment/>
    </xf>
    <xf numFmtId="3" fontId="12" fillId="0" borderId="44" xfId="34" applyNumberFormat="1" applyFont="1" applyBorder="1" applyAlignment="1">
      <alignment/>
    </xf>
    <xf numFmtId="3" fontId="12" fillId="0" borderId="44" xfId="34" applyNumberFormat="1" applyFont="1" applyFill="1" applyBorder="1" applyAlignment="1">
      <alignment/>
    </xf>
    <xf numFmtId="3" fontId="12" fillId="0" borderId="41" xfId="0" applyNumberFormat="1" applyFont="1" applyBorder="1" applyAlignment="1">
      <alignment/>
    </xf>
    <xf numFmtId="3" fontId="12" fillId="0" borderId="61" xfId="0" applyNumberFormat="1" applyFont="1" applyBorder="1" applyAlignment="1">
      <alignment/>
    </xf>
    <xf numFmtId="3" fontId="12" fillId="0" borderId="26" xfId="0" applyNumberFormat="1" applyFont="1" applyBorder="1" applyAlignment="1">
      <alignment/>
    </xf>
    <xf numFmtId="3" fontId="12" fillId="8" borderId="44" xfId="0" applyNumberFormat="1" applyFont="1" applyFill="1" applyBorder="1" applyAlignment="1">
      <alignment/>
    </xf>
    <xf numFmtId="10" fontId="12" fillId="0" borderId="44" xfId="0" applyNumberFormat="1" applyFont="1" applyBorder="1" applyAlignment="1">
      <alignment/>
    </xf>
    <xf numFmtId="3" fontId="12" fillId="0" borderId="44" xfId="0" applyNumberFormat="1" applyFont="1" applyFill="1" applyBorder="1" applyAlignment="1">
      <alignment/>
    </xf>
    <xf numFmtId="3" fontId="12" fillId="0" borderId="41" xfId="0" applyNumberFormat="1" applyFont="1" applyFill="1" applyBorder="1" applyAlignment="1">
      <alignment/>
    </xf>
    <xf numFmtId="3" fontId="12" fillId="0" borderId="27" xfId="0" applyNumberFormat="1" applyFont="1" applyFill="1" applyBorder="1" applyAlignment="1">
      <alignment/>
    </xf>
    <xf numFmtId="0" fontId="68" fillId="0" borderId="22" xfId="0" applyFont="1" applyBorder="1" applyAlignment="1">
      <alignment/>
    </xf>
    <xf numFmtId="0" fontId="68" fillId="0" borderId="29" xfId="0" applyFont="1" applyFill="1" applyBorder="1" applyAlignment="1">
      <alignment/>
    </xf>
    <xf numFmtId="0" fontId="68" fillId="0" borderId="27" xfId="0" applyFont="1" applyFill="1" applyBorder="1" applyAlignment="1">
      <alignment horizontal="center"/>
    </xf>
    <xf numFmtId="3" fontId="38" fillId="0" borderId="44" xfId="0" applyNumberFormat="1" applyFont="1" applyBorder="1" applyAlignment="1">
      <alignment/>
    </xf>
    <xf numFmtId="3" fontId="38" fillId="0" borderId="41" xfId="0" applyNumberFormat="1" applyFont="1" applyBorder="1" applyAlignment="1">
      <alignment/>
    </xf>
    <xf numFmtId="3" fontId="38" fillId="0" borderId="27" xfId="0" applyNumberFormat="1" applyFont="1" applyBorder="1" applyAlignment="1">
      <alignment/>
    </xf>
    <xf numFmtId="3" fontId="38" fillId="0" borderId="61" xfId="0" applyNumberFormat="1" applyFont="1" applyBorder="1" applyAlignment="1">
      <alignment/>
    </xf>
    <xf numFmtId="3" fontId="38" fillId="0" borderId="26" xfId="0" applyNumberFormat="1" applyFont="1" applyBorder="1" applyAlignment="1">
      <alignment/>
    </xf>
    <xf numFmtId="3" fontId="38" fillId="8" borderId="44" xfId="0" applyNumberFormat="1" applyFont="1" applyFill="1" applyBorder="1" applyAlignment="1">
      <alignment/>
    </xf>
    <xf numFmtId="10" fontId="38" fillId="0" borderId="44" xfId="0" applyNumberFormat="1" applyFont="1" applyBorder="1" applyAlignment="1">
      <alignment/>
    </xf>
    <xf numFmtId="3" fontId="38" fillId="0" borderId="44" xfId="0" applyNumberFormat="1" applyFont="1" applyFill="1" applyBorder="1" applyAlignment="1">
      <alignment/>
    </xf>
    <xf numFmtId="0" fontId="68" fillId="0" borderId="0" xfId="0" applyFont="1" applyAlignment="1">
      <alignment/>
    </xf>
    <xf numFmtId="3" fontId="12" fillId="0" borderId="26" xfId="0" applyNumberFormat="1" applyFont="1" applyFill="1" applyBorder="1" applyAlignment="1">
      <alignment/>
    </xf>
    <xf numFmtId="3" fontId="12" fillId="0" borderId="61" xfId="0" applyNumberFormat="1" applyFont="1" applyFill="1" applyBorder="1" applyAlignment="1">
      <alignment/>
    </xf>
    <xf numFmtId="10" fontId="12" fillId="0" borderId="44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85" xfId="47" applyNumberFormat="1" applyFont="1" applyBorder="1">
      <alignment/>
      <protection/>
    </xf>
    <xf numFmtId="3" fontId="12" fillId="0" borderId="29" xfId="47" applyNumberFormat="1" applyFont="1" applyBorder="1">
      <alignment/>
      <protection/>
    </xf>
    <xf numFmtId="3" fontId="12" fillId="0" borderId="45" xfId="47" applyNumberFormat="1" applyFont="1" applyBorder="1">
      <alignment/>
      <protection/>
    </xf>
    <xf numFmtId="3" fontId="12" fillId="0" borderId="86" xfId="47" applyNumberFormat="1" applyFont="1" applyBorder="1">
      <alignment/>
      <protection/>
    </xf>
    <xf numFmtId="3" fontId="12" fillId="8" borderId="44" xfId="47" applyNumberFormat="1" applyFont="1" applyFill="1" applyBorder="1">
      <alignment/>
      <protection/>
    </xf>
    <xf numFmtId="3" fontId="12" fillId="0" borderId="44" xfId="47" applyNumberFormat="1" applyFont="1" applyBorder="1">
      <alignment/>
      <protection/>
    </xf>
    <xf numFmtId="0" fontId="14" fillId="0" borderId="61" xfId="0" applyFont="1" applyFill="1" applyBorder="1" applyAlignment="1">
      <alignment horizontal="center"/>
    </xf>
    <xf numFmtId="10" fontId="12" fillId="0" borderId="46" xfId="34" applyNumberFormat="1" applyFont="1" applyBorder="1" applyAlignment="1">
      <alignment/>
    </xf>
    <xf numFmtId="3" fontId="12" fillId="0" borderId="51" xfId="0" applyNumberFormat="1" applyFont="1" applyBorder="1" applyAlignment="1">
      <alignment/>
    </xf>
    <xf numFmtId="3" fontId="12" fillId="0" borderId="86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3" fontId="12" fillId="8" borderId="46" xfId="34" applyNumberFormat="1" applyFont="1" applyFill="1" applyBorder="1" applyAlignment="1">
      <alignment/>
    </xf>
    <xf numFmtId="3" fontId="12" fillId="0" borderId="46" xfId="34" applyNumberFormat="1" applyFont="1" applyFill="1" applyBorder="1" applyAlignment="1">
      <alignment/>
    </xf>
    <xf numFmtId="3" fontId="12" fillId="8" borderId="46" xfId="0" applyNumberFormat="1" applyFont="1" applyFill="1" applyBorder="1" applyAlignment="1">
      <alignment/>
    </xf>
    <xf numFmtId="3" fontId="12" fillId="0" borderId="46" xfId="0" applyNumberFormat="1" applyFont="1" applyFill="1" applyBorder="1" applyAlignment="1">
      <alignment/>
    </xf>
    <xf numFmtId="3" fontId="38" fillId="0" borderId="45" xfId="0" applyNumberFormat="1" applyFont="1" applyBorder="1" applyAlignment="1">
      <alignment/>
    </xf>
    <xf numFmtId="3" fontId="38" fillId="0" borderId="86" xfId="0" applyNumberFormat="1" applyFont="1" applyBorder="1" applyAlignment="1">
      <alignment/>
    </xf>
    <xf numFmtId="3" fontId="38" fillId="0" borderId="29" xfId="0" applyNumberFormat="1" applyFont="1" applyBorder="1" applyAlignment="1">
      <alignment/>
    </xf>
    <xf numFmtId="3" fontId="38" fillId="0" borderId="46" xfId="0" applyNumberFormat="1" applyFont="1" applyBorder="1" applyAlignment="1">
      <alignment/>
    </xf>
    <xf numFmtId="10" fontId="38" fillId="0" borderId="46" xfId="0" applyNumberFormat="1" applyFont="1" applyBorder="1" applyAlignment="1">
      <alignment/>
    </xf>
    <xf numFmtId="3" fontId="38" fillId="0" borderId="46" xfId="0" applyNumberFormat="1" applyFont="1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12" fillId="0" borderId="86" xfId="0" applyNumberFormat="1" applyFont="1" applyFill="1" applyBorder="1" applyAlignment="1">
      <alignment/>
    </xf>
    <xf numFmtId="10" fontId="12" fillId="0" borderId="44" xfId="47" applyNumberFormat="1" applyFont="1" applyBorder="1">
      <alignment/>
      <protection/>
    </xf>
    <xf numFmtId="10" fontId="12" fillId="0" borderId="46" xfId="0" applyNumberFormat="1" applyFont="1" applyBorder="1" applyAlignment="1">
      <alignment/>
    </xf>
    <xf numFmtId="3" fontId="38" fillId="8" borderId="46" xfId="0" applyNumberFormat="1" applyFont="1" applyFill="1" applyBorder="1" applyAlignment="1">
      <alignment/>
    </xf>
    <xf numFmtId="10" fontId="12" fillId="0" borderId="46" xfId="0" applyNumberFormat="1" applyFont="1" applyFill="1" applyBorder="1" applyAlignment="1">
      <alignment/>
    </xf>
    <xf numFmtId="3" fontId="12" fillId="0" borderId="41" xfId="0" applyNumberFormat="1" applyFont="1" applyFill="1" applyBorder="1" applyAlignment="1">
      <alignment/>
    </xf>
    <xf numFmtId="10" fontId="12" fillId="0" borderId="44" xfId="0" applyNumberFormat="1" applyFont="1" applyBorder="1" applyAlignment="1">
      <alignment horizontal="right"/>
    </xf>
    <xf numFmtId="3" fontId="12" fillId="0" borderId="87" xfId="47" applyNumberFormat="1" applyFont="1" applyBorder="1">
      <alignment/>
      <protection/>
    </xf>
    <xf numFmtId="3" fontId="14" fillId="0" borderId="61" xfId="0" applyNumberFormat="1" applyFont="1" applyBorder="1" applyAlignment="1">
      <alignment/>
    </xf>
    <xf numFmtId="3" fontId="14" fillId="0" borderId="27" xfId="0" applyNumberFormat="1" applyFont="1" applyBorder="1" applyAlignment="1">
      <alignment/>
    </xf>
    <xf numFmtId="3" fontId="14" fillId="0" borderId="26" xfId="0" applyNumberFormat="1" applyFont="1" applyBorder="1" applyAlignment="1">
      <alignment/>
    </xf>
    <xf numFmtId="3" fontId="12" fillId="0" borderId="27" xfId="0" applyNumberFormat="1" applyFont="1" applyFill="1" applyBorder="1" applyAlignment="1">
      <alignment/>
    </xf>
    <xf numFmtId="3" fontId="12" fillId="0" borderId="61" xfId="0" applyNumberFormat="1" applyFont="1" applyFill="1" applyBorder="1" applyAlignment="1">
      <alignment/>
    </xf>
    <xf numFmtId="3" fontId="12" fillId="0" borderId="26" xfId="0" applyNumberFormat="1" applyFont="1" applyFill="1" applyBorder="1" applyAlignment="1">
      <alignment/>
    </xf>
    <xf numFmtId="0" fontId="14" fillId="0" borderId="26" xfId="0" applyFont="1" applyFill="1" applyBorder="1" applyAlignment="1">
      <alignment/>
    </xf>
    <xf numFmtId="10" fontId="12" fillId="0" borderId="46" xfId="0" applyNumberFormat="1" applyFont="1" applyBorder="1" applyAlignment="1">
      <alignment/>
    </xf>
    <xf numFmtId="3" fontId="12" fillId="0" borderId="57" xfId="0" applyNumberFormat="1" applyFont="1" applyBorder="1" applyAlignment="1">
      <alignment/>
    </xf>
    <xf numFmtId="3" fontId="45" fillId="0" borderId="57" xfId="0" applyNumberFormat="1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12" fillId="0" borderId="86" xfId="0" applyNumberFormat="1" applyFont="1" applyFill="1" applyBorder="1" applyAlignment="1">
      <alignment/>
    </xf>
    <xf numFmtId="3" fontId="12" fillId="0" borderId="58" xfId="0" applyNumberFormat="1" applyFont="1" applyBorder="1" applyAlignment="1">
      <alignment/>
    </xf>
    <xf numFmtId="3" fontId="12" fillId="0" borderId="29" xfId="47" applyNumberFormat="1" applyFont="1" applyBorder="1">
      <alignment/>
      <protection/>
    </xf>
    <xf numFmtId="3" fontId="12" fillId="0" borderId="45" xfId="47" applyNumberFormat="1" applyFont="1" applyBorder="1">
      <alignment/>
      <protection/>
    </xf>
    <xf numFmtId="3" fontId="12" fillId="0" borderId="86" xfId="47" applyNumberFormat="1" applyFont="1" applyBorder="1">
      <alignment/>
      <protection/>
    </xf>
    <xf numFmtId="3" fontId="12" fillId="8" borderId="46" xfId="47" applyNumberFormat="1" applyFont="1" applyFill="1" applyBorder="1">
      <alignment/>
      <protection/>
    </xf>
    <xf numFmtId="10" fontId="12" fillId="0" borderId="46" xfId="47" applyNumberFormat="1" applyFont="1" applyBorder="1">
      <alignment/>
      <protection/>
    </xf>
    <xf numFmtId="3" fontId="11" fillId="8" borderId="44" xfId="0" applyNumberFormat="1" applyFont="1" applyFill="1" applyBorder="1" applyAlignment="1">
      <alignment/>
    </xf>
    <xf numFmtId="0" fontId="12" fillId="0" borderId="113" xfId="0" applyFont="1" applyBorder="1" applyAlignment="1">
      <alignment/>
    </xf>
    <xf numFmtId="0" fontId="4" fillId="0" borderId="114" xfId="0" applyFont="1" applyBorder="1" applyAlignment="1">
      <alignment/>
    </xf>
    <xf numFmtId="0" fontId="0" fillId="0" borderId="114" xfId="0" applyBorder="1" applyAlignment="1">
      <alignment/>
    </xf>
    <xf numFmtId="0" fontId="0" fillId="0" borderId="115" xfId="0" applyBorder="1" applyAlignment="1">
      <alignment/>
    </xf>
    <xf numFmtId="0" fontId="4" fillId="0" borderId="113" xfId="0" applyFont="1" applyBorder="1" applyAlignment="1">
      <alignment/>
    </xf>
    <xf numFmtId="3" fontId="4" fillId="0" borderId="116" xfId="0" applyNumberFormat="1" applyFont="1" applyBorder="1" applyAlignment="1">
      <alignment/>
    </xf>
    <xf numFmtId="3" fontId="4" fillId="0" borderId="117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6" fillId="0" borderId="119" xfId="0" applyNumberFormat="1" applyFont="1" applyBorder="1" applyAlignment="1">
      <alignment/>
    </xf>
    <xf numFmtId="3" fontId="6" fillId="0" borderId="115" xfId="0" applyNumberFormat="1" applyFont="1" applyBorder="1" applyAlignment="1">
      <alignment/>
    </xf>
    <xf numFmtId="3" fontId="6" fillId="0" borderId="97" xfId="0" applyNumberFormat="1" applyFont="1" applyBorder="1" applyAlignment="1">
      <alignment/>
    </xf>
    <xf numFmtId="3" fontId="9" fillId="0" borderId="120" xfId="0" applyNumberFormat="1" applyFont="1" applyBorder="1" applyAlignment="1">
      <alignment/>
    </xf>
    <xf numFmtId="3" fontId="9" fillId="0" borderId="121" xfId="0" applyNumberFormat="1" applyFont="1" applyBorder="1" applyAlignment="1">
      <alignment/>
    </xf>
    <xf numFmtId="0" fontId="4" fillId="11" borderId="113" xfId="0" applyFont="1" applyFill="1" applyBorder="1" applyAlignment="1">
      <alignment/>
    </xf>
    <xf numFmtId="0" fontId="0" fillId="11" borderId="114" xfId="0" applyFill="1" applyBorder="1" applyAlignment="1">
      <alignment/>
    </xf>
    <xf numFmtId="0" fontId="0" fillId="11" borderId="115" xfId="0" applyFill="1" applyBorder="1" applyAlignment="1">
      <alignment/>
    </xf>
    <xf numFmtId="3" fontId="4" fillId="11" borderId="122" xfId="0" applyNumberFormat="1" applyFont="1" applyFill="1" applyBorder="1" applyAlignment="1">
      <alignment/>
    </xf>
    <xf numFmtId="3" fontId="4" fillId="11" borderId="123" xfId="0" applyNumberFormat="1" applyFont="1" applyFill="1" applyBorder="1" applyAlignment="1">
      <alignment/>
    </xf>
    <xf numFmtId="3" fontId="9" fillId="11" borderId="124" xfId="0" applyNumberFormat="1" applyFont="1" applyFill="1" applyBorder="1" applyAlignment="1">
      <alignment/>
    </xf>
    <xf numFmtId="4" fontId="12" fillId="8" borderId="46" xfId="0" applyNumberFormat="1" applyFont="1" applyFill="1" applyBorder="1" applyAlignment="1">
      <alignment/>
    </xf>
    <xf numFmtId="0" fontId="12" fillId="0" borderId="65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center"/>
    </xf>
    <xf numFmtId="3" fontId="4" fillId="0" borderId="70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 horizontal="center"/>
    </xf>
    <xf numFmtId="3" fontId="4" fillId="11" borderId="125" xfId="0" applyNumberFormat="1" applyFont="1" applyFill="1" applyBorder="1" applyAlignment="1">
      <alignment/>
    </xf>
    <xf numFmtId="3" fontId="4" fillId="11" borderId="126" xfId="0" applyNumberFormat="1" applyFont="1" applyFill="1" applyBorder="1" applyAlignment="1">
      <alignment/>
    </xf>
    <xf numFmtId="3" fontId="4" fillId="11" borderId="127" xfId="0" applyNumberFormat="1" applyFont="1" applyFill="1" applyBorder="1" applyAlignment="1">
      <alignment/>
    </xf>
    <xf numFmtId="3" fontId="9" fillId="11" borderId="128" xfId="0" applyNumberFormat="1" applyFont="1" applyFill="1" applyBorder="1" applyAlignment="1">
      <alignment/>
    </xf>
    <xf numFmtId="3" fontId="6" fillId="0" borderId="1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4" borderId="12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4" fillId="4" borderId="121" xfId="0" applyNumberFormat="1" applyFont="1" applyFill="1" applyBorder="1" applyAlignment="1">
      <alignment/>
    </xf>
    <xf numFmtId="3" fontId="4" fillId="4" borderId="124" xfId="0" applyNumberFormat="1" applyFont="1" applyFill="1" applyBorder="1" applyAlignment="1">
      <alignment/>
    </xf>
    <xf numFmtId="0" fontId="38" fillId="0" borderId="65" xfId="0" applyFont="1" applyBorder="1" applyAlignment="1">
      <alignment/>
    </xf>
    <xf numFmtId="0" fontId="33" fillId="0" borderId="13" xfId="0" applyFont="1" applyBorder="1" applyAlignment="1">
      <alignment/>
    </xf>
    <xf numFmtId="3" fontId="33" fillId="4" borderId="120" xfId="0" applyNumberFormat="1" applyFont="1" applyFill="1" applyBorder="1" applyAlignment="1">
      <alignment/>
    </xf>
    <xf numFmtId="0" fontId="33" fillId="0" borderId="0" xfId="0" applyFont="1" applyBorder="1" applyAlignment="1">
      <alignment/>
    </xf>
    <xf numFmtId="3" fontId="33" fillId="4" borderId="121" xfId="0" applyNumberFormat="1" applyFont="1" applyFill="1" applyBorder="1" applyAlignment="1">
      <alignment/>
    </xf>
    <xf numFmtId="3" fontId="33" fillId="4" borderId="124" xfId="0" applyNumberFormat="1" applyFont="1" applyFill="1" applyBorder="1" applyAlignment="1">
      <alignment/>
    </xf>
    <xf numFmtId="3" fontId="11" fillId="0" borderId="117" xfId="0" applyNumberFormat="1" applyFont="1" applyBorder="1" applyAlignment="1">
      <alignment/>
    </xf>
    <xf numFmtId="3" fontId="11" fillId="0" borderId="38" xfId="0" applyNumberFormat="1" applyFont="1" applyBorder="1" applyAlignment="1">
      <alignment/>
    </xf>
    <xf numFmtId="3" fontId="4" fillId="0" borderId="121" xfId="0" applyNumberFormat="1" applyFont="1" applyBorder="1" applyAlignment="1">
      <alignment/>
    </xf>
    <xf numFmtId="0" fontId="4" fillId="0" borderId="121" xfId="0" applyFont="1" applyBorder="1" applyAlignment="1">
      <alignment/>
    </xf>
    <xf numFmtId="3" fontId="11" fillId="0" borderId="123" xfId="0" applyNumberFormat="1" applyFont="1" applyBorder="1" applyAlignment="1">
      <alignment/>
    </xf>
    <xf numFmtId="3" fontId="4" fillId="0" borderId="124" xfId="0" applyNumberFormat="1" applyFont="1" applyBorder="1" applyAlignment="1">
      <alignment/>
    </xf>
    <xf numFmtId="3" fontId="28" fillId="0" borderId="123" xfId="0" applyNumberFormat="1" applyFont="1" applyBorder="1" applyAlignment="1">
      <alignment/>
    </xf>
    <xf numFmtId="3" fontId="28" fillId="0" borderId="117" xfId="0" applyNumberFormat="1" applyFont="1" applyBorder="1" applyAlignment="1">
      <alignment/>
    </xf>
    <xf numFmtId="3" fontId="28" fillId="0" borderId="38" xfId="0" applyNumberFormat="1" applyFont="1" applyBorder="1" applyAlignment="1">
      <alignment/>
    </xf>
    <xf numFmtId="3" fontId="42" fillId="0" borderId="117" xfId="0" applyNumberFormat="1" applyFont="1" applyBorder="1" applyAlignment="1">
      <alignment/>
    </xf>
    <xf numFmtId="3" fontId="42" fillId="0" borderId="38" xfId="0" applyNumberFormat="1" applyFont="1" applyBorder="1" applyAlignment="1">
      <alignment/>
    </xf>
    <xf numFmtId="0" fontId="4" fillId="0" borderId="123" xfId="0" applyFont="1" applyBorder="1" applyAlignment="1">
      <alignment/>
    </xf>
    <xf numFmtId="3" fontId="4" fillId="4" borderId="117" xfId="0" applyNumberFormat="1" applyFont="1" applyFill="1" applyBorder="1" applyAlignment="1">
      <alignment/>
    </xf>
    <xf numFmtId="3" fontId="4" fillId="0" borderId="123" xfId="0" applyNumberFormat="1" applyFont="1" applyBorder="1" applyAlignment="1">
      <alignment/>
    </xf>
    <xf numFmtId="0" fontId="4" fillId="4" borderId="117" xfId="0" applyFont="1" applyFill="1" applyBorder="1" applyAlignment="1">
      <alignment/>
    </xf>
    <xf numFmtId="0" fontId="33" fillId="4" borderId="117" xfId="0" applyFont="1" applyFill="1" applyBorder="1" applyAlignment="1">
      <alignment/>
    </xf>
    <xf numFmtId="3" fontId="33" fillId="0" borderId="38" xfId="0" applyNumberFormat="1" applyFont="1" applyBorder="1" applyAlignment="1">
      <alignment/>
    </xf>
    <xf numFmtId="0" fontId="33" fillId="0" borderId="38" xfId="0" applyFont="1" applyBorder="1" applyAlignment="1">
      <alignment/>
    </xf>
    <xf numFmtId="3" fontId="17" fillId="26" borderId="44" xfId="0" applyNumberFormat="1" applyFont="1" applyFill="1" applyBorder="1" applyAlignment="1">
      <alignment/>
    </xf>
    <xf numFmtId="3" fontId="17" fillId="17" borderId="44" xfId="0" applyNumberFormat="1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22" xfId="0" applyFont="1" applyBorder="1" applyAlignment="1">
      <alignment/>
    </xf>
    <xf numFmtId="0" fontId="33" fillId="0" borderId="0" xfId="0" applyFont="1" applyBorder="1" applyAlignment="1">
      <alignment horizontal="center"/>
    </xf>
    <xf numFmtId="3" fontId="12" fillId="0" borderId="0" xfId="0" applyNumberFormat="1" applyFont="1" applyFill="1" applyAlignment="1">
      <alignment/>
    </xf>
    <xf numFmtId="0" fontId="12" fillId="0" borderId="129" xfId="0" applyFont="1" applyBorder="1" applyAlignment="1">
      <alignment/>
    </xf>
    <xf numFmtId="0" fontId="4" fillId="0" borderId="130" xfId="0" applyFont="1" applyBorder="1" applyAlignment="1">
      <alignment/>
    </xf>
    <xf numFmtId="0" fontId="4" fillId="0" borderId="130" xfId="0" applyFont="1" applyBorder="1" applyAlignment="1">
      <alignment horizontal="center"/>
    </xf>
    <xf numFmtId="0" fontId="4" fillId="0" borderId="130" xfId="0" applyFont="1" applyBorder="1" applyAlignment="1">
      <alignment/>
    </xf>
    <xf numFmtId="3" fontId="4" fillId="0" borderId="130" xfId="0" applyNumberFormat="1" applyFont="1" applyBorder="1" applyAlignment="1">
      <alignment/>
    </xf>
    <xf numFmtId="3" fontId="11" fillId="0" borderId="130" xfId="0" applyNumberFormat="1" applyFont="1" applyBorder="1" applyAlignment="1">
      <alignment/>
    </xf>
    <xf numFmtId="0" fontId="4" fillId="0" borderId="131" xfId="0" applyFont="1" applyBorder="1" applyAlignment="1">
      <alignment/>
    </xf>
    <xf numFmtId="0" fontId="4" fillId="0" borderId="75" xfId="0" applyFont="1" applyBorder="1" applyAlignment="1">
      <alignment/>
    </xf>
    <xf numFmtId="0" fontId="4" fillId="0" borderId="75" xfId="0" applyFont="1" applyBorder="1" applyAlignment="1">
      <alignment horizontal="center"/>
    </xf>
    <xf numFmtId="0" fontId="4" fillId="0" borderId="75" xfId="0" applyFont="1" applyBorder="1" applyAlignment="1">
      <alignment/>
    </xf>
    <xf numFmtId="3" fontId="11" fillId="0" borderId="75" xfId="0" applyNumberFormat="1" applyFont="1" applyBorder="1" applyAlignment="1">
      <alignment/>
    </xf>
    <xf numFmtId="0" fontId="4" fillId="0" borderId="132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29" xfId="0" applyFont="1" applyBorder="1" applyAlignment="1">
      <alignment/>
    </xf>
    <xf numFmtId="3" fontId="4" fillId="0" borderId="29" xfId="0" applyNumberFormat="1" applyFont="1" applyBorder="1" applyAlignment="1">
      <alignment/>
    </xf>
    <xf numFmtId="3" fontId="11" fillId="0" borderId="29" xfId="0" applyNumberFormat="1" applyFont="1" applyBorder="1" applyAlignment="1">
      <alignment/>
    </xf>
    <xf numFmtId="3" fontId="4" fillId="4" borderId="54" xfId="0" applyNumberFormat="1" applyFont="1" applyFill="1" applyBorder="1" applyAlignment="1">
      <alignment/>
    </xf>
    <xf numFmtId="3" fontId="4" fillId="0" borderId="58" xfId="0" applyNumberFormat="1" applyFont="1" applyBorder="1" applyAlignment="1">
      <alignment/>
    </xf>
    <xf numFmtId="3" fontId="4" fillId="0" borderId="55" xfId="0" applyNumberFormat="1" applyFont="1" applyBorder="1" applyAlignment="1">
      <alignment/>
    </xf>
    <xf numFmtId="3" fontId="10" fillId="0" borderId="46" xfId="0" applyNumberFormat="1" applyFont="1" applyBorder="1" applyAlignment="1">
      <alignment/>
    </xf>
    <xf numFmtId="3" fontId="10" fillId="0" borderId="128" xfId="0" applyNumberFormat="1" applyFont="1" applyBorder="1" applyAlignment="1">
      <alignment/>
    </xf>
    <xf numFmtId="3" fontId="26" fillId="0" borderId="44" xfId="0" applyNumberFormat="1" applyFont="1" applyFill="1" applyBorder="1" applyAlignment="1">
      <alignment/>
    </xf>
    <xf numFmtId="3" fontId="11" fillId="0" borderId="44" xfId="34" applyNumberFormat="1" applyFont="1" applyBorder="1" applyAlignment="1">
      <alignment/>
    </xf>
    <xf numFmtId="3" fontId="26" fillId="0" borderId="44" xfId="0" applyNumberFormat="1" applyFont="1" applyBorder="1" applyAlignment="1">
      <alignment/>
    </xf>
    <xf numFmtId="3" fontId="69" fillId="0" borderId="44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3" fontId="26" fillId="0" borderId="28" xfId="47" applyNumberFormat="1" applyFont="1" applyBorder="1">
      <alignment/>
      <protection/>
    </xf>
    <xf numFmtId="3" fontId="69" fillId="8" borderId="44" xfId="0" applyNumberFormat="1" applyFont="1" applyFill="1" applyBorder="1" applyAlignment="1">
      <alignment/>
    </xf>
    <xf numFmtId="3" fontId="11" fillId="8" borderId="43" xfId="0" applyNumberFormat="1" applyFont="1" applyFill="1" applyBorder="1" applyAlignment="1">
      <alignment/>
    </xf>
    <xf numFmtId="3" fontId="11" fillId="0" borderId="87" xfId="0" applyNumberFormat="1" applyFont="1" applyBorder="1" applyAlignment="1">
      <alignment/>
    </xf>
    <xf numFmtId="3" fontId="11" fillId="0" borderId="43" xfId="0" applyNumberFormat="1" applyFont="1" applyBorder="1" applyAlignment="1">
      <alignment/>
    </xf>
    <xf numFmtId="3" fontId="12" fillId="11" borderId="0" xfId="0" applyNumberFormat="1" applyFont="1" applyFill="1" applyAlignment="1">
      <alignment/>
    </xf>
    <xf numFmtId="3" fontId="45" fillId="0" borderId="46" xfId="0" applyNumberFormat="1" applyFont="1" applyBorder="1" applyAlignment="1">
      <alignment/>
    </xf>
    <xf numFmtId="3" fontId="70" fillId="0" borderId="79" xfId="0" applyNumberFormat="1" applyFont="1" applyBorder="1" applyAlignment="1">
      <alignment/>
    </xf>
    <xf numFmtId="3" fontId="70" fillId="26" borderId="79" xfId="0" applyNumberFormat="1" applyFont="1" applyFill="1" applyBorder="1" applyAlignment="1">
      <alignment/>
    </xf>
    <xf numFmtId="10" fontId="46" fillId="0" borderId="44" xfId="0" applyNumberFormat="1" applyFont="1" applyBorder="1" applyAlignment="1">
      <alignment/>
    </xf>
    <xf numFmtId="10" fontId="17" fillId="0" borderId="44" xfId="34" applyNumberFormat="1" applyFont="1" applyBorder="1" applyAlignment="1">
      <alignment/>
    </xf>
    <xf numFmtId="3" fontId="70" fillId="0" borderId="79" xfId="0" applyNumberFormat="1" applyFont="1" applyBorder="1" applyAlignment="1">
      <alignment/>
    </xf>
    <xf numFmtId="0" fontId="16" fillId="0" borderId="0" xfId="0" applyFont="1" applyAlignment="1">
      <alignment horizontal="center" wrapText="1"/>
    </xf>
    <xf numFmtId="3" fontId="17" fillId="26" borderId="79" xfId="0" applyNumberFormat="1" applyFont="1" applyFill="1" applyBorder="1" applyAlignment="1">
      <alignment/>
    </xf>
    <xf numFmtId="0" fontId="4" fillId="0" borderId="30" xfId="0" applyFont="1" applyFill="1" applyBorder="1" applyAlignment="1">
      <alignment horizontal="left"/>
    </xf>
    <xf numFmtId="3" fontId="10" fillId="0" borderId="99" xfId="0" applyNumberFormat="1" applyFont="1" applyBorder="1" applyAlignment="1">
      <alignment/>
    </xf>
    <xf numFmtId="3" fontId="6" fillId="0" borderId="100" xfId="0" applyNumberFormat="1" applyFont="1" applyBorder="1" applyAlignment="1">
      <alignment/>
    </xf>
    <xf numFmtId="3" fontId="9" fillId="0" borderId="98" xfId="0" applyNumberFormat="1" applyFont="1" applyBorder="1" applyAlignment="1">
      <alignment/>
    </xf>
    <xf numFmtId="3" fontId="9" fillId="0" borderId="100" xfId="0" applyNumberFormat="1" applyFont="1" applyBorder="1" applyAlignment="1">
      <alignment/>
    </xf>
    <xf numFmtId="0" fontId="67" fillId="0" borderId="0" xfId="0" applyFont="1" applyFill="1" applyAlignment="1">
      <alignment horizontal="right"/>
    </xf>
    <xf numFmtId="0" fontId="67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0" fontId="4" fillId="0" borderId="15" xfId="0" applyFont="1" applyBorder="1" applyAlignment="1">
      <alignment horizontal="center"/>
    </xf>
    <xf numFmtId="3" fontId="9" fillId="17" borderId="31" xfId="0" applyNumberFormat="1" applyFont="1" applyFill="1" applyBorder="1" applyAlignment="1">
      <alignment/>
    </xf>
    <xf numFmtId="3" fontId="4" fillId="0" borderId="66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10" fontId="4" fillId="17" borderId="33" xfId="0" applyNumberFormat="1" applyFont="1" applyFill="1" applyBorder="1" applyAlignment="1">
      <alignment/>
    </xf>
    <xf numFmtId="10" fontId="4" fillId="0" borderId="11" xfId="0" applyNumberFormat="1" applyFont="1" applyFill="1" applyBorder="1" applyAlignment="1">
      <alignment/>
    </xf>
    <xf numFmtId="10" fontId="4" fillId="0" borderId="18" xfId="0" applyNumberFormat="1" applyFont="1" applyBorder="1" applyAlignment="1">
      <alignment/>
    </xf>
    <xf numFmtId="3" fontId="4" fillId="17" borderId="33" xfId="0" applyNumberFormat="1" applyFont="1" applyFill="1" applyBorder="1" applyAlignment="1">
      <alignment/>
    </xf>
    <xf numFmtId="3" fontId="12" fillId="0" borderId="59" xfId="0" applyNumberFormat="1" applyFont="1" applyBorder="1" applyAlignment="1">
      <alignment/>
    </xf>
    <xf numFmtId="3" fontId="4" fillId="0" borderId="78" xfId="0" applyNumberFormat="1" applyFont="1" applyFill="1" applyBorder="1" applyAlignment="1">
      <alignment horizontal="center"/>
    </xf>
    <xf numFmtId="3" fontId="4" fillId="0" borderId="78" xfId="0" applyNumberFormat="1" applyFont="1" applyFill="1" applyBorder="1" applyAlignment="1">
      <alignment/>
    </xf>
    <xf numFmtId="3" fontId="4" fillId="0" borderId="48" xfId="0" applyNumberFormat="1" applyFont="1" applyFill="1" applyBorder="1" applyAlignment="1">
      <alignment/>
    </xf>
    <xf numFmtId="3" fontId="12" fillId="0" borderId="51" xfId="0" applyNumberFormat="1" applyFont="1" applyFill="1" applyBorder="1" applyAlignment="1">
      <alignment/>
    </xf>
    <xf numFmtId="3" fontId="4" fillId="0" borderId="64" xfId="0" applyNumberFormat="1" applyFont="1" applyFill="1" applyBorder="1" applyAlignment="1">
      <alignment/>
    </xf>
    <xf numFmtId="3" fontId="12" fillId="0" borderId="79" xfId="0" applyNumberFormat="1" applyFont="1" applyFill="1" applyBorder="1" applyAlignment="1">
      <alignment/>
    </xf>
    <xf numFmtId="3" fontId="12" fillId="0" borderId="78" xfId="0" applyNumberFormat="1" applyFont="1" applyFill="1" applyBorder="1" applyAlignment="1">
      <alignment/>
    </xf>
    <xf numFmtId="3" fontId="4" fillId="0" borderId="94" xfId="0" applyNumberFormat="1" applyFont="1" applyFill="1" applyBorder="1" applyAlignment="1">
      <alignment/>
    </xf>
    <xf numFmtId="3" fontId="12" fillId="26" borderId="78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78" xfId="0" applyNumberFormat="1" applyFont="1" applyBorder="1" applyAlignment="1">
      <alignment/>
    </xf>
    <xf numFmtId="3" fontId="4" fillId="0" borderId="48" xfId="47" applyNumberFormat="1" applyFont="1" applyBorder="1">
      <alignment/>
      <protection/>
    </xf>
    <xf numFmtId="3" fontId="4" fillId="0" borderId="51" xfId="47" applyNumberFormat="1" applyFont="1" applyBorder="1">
      <alignment/>
      <protection/>
    </xf>
    <xf numFmtId="3" fontId="12" fillId="0" borderId="51" xfId="47" applyNumberFormat="1" applyFont="1" applyBorder="1">
      <alignment/>
      <protection/>
    </xf>
    <xf numFmtId="3" fontId="17" fillId="0" borderId="79" xfId="47" applyNumberFormat="1" applyFont="1" applyBorder="1">
      <alignment/>
      <protection/>
    </xf>
    <xf numFmtId="3" fontId="29" fillId="0" borderId="79" xfId="47" applyNumberFormat="1" applyFont="1" applyBorder="1">
      <alignment/>
      <protection/>
    </xf>
    <xf numFmtId="3" fontId="12" fillId="0" borderId="79" xfId="47" applyNumberFormat="1" applyFont="1" applyBorder="1">
      <alignment/>
      <protection/>
    </xf>
    <xf numFmtId="3" fontId="4" fillId="0" borderId="79" xfId="47" applyNumberFormat="1" applyFont="1" applyBorder="1">
      <alignment/>
      <protection/>
    </xf>
    <xf numFmtId="3" fontId="4" fillId="0" borderId="78" xfId="47" applyNumberFormat="1" applyFont="1" applyBorder="1">
      <alignment/>
      <protection/>
    </xf>
    <xf numFmtId="3" fontId="12" fillId="0" borderId="78" xfId="47" applyNumberFormat="1" applyFont="1" applyBorder="1">
      <alignment/>
      <protection/>
    </xf>
    <xf numFmtId="3" fontId="12" fillId="26" borderId="0" xfId="0" applyNumberFormat="1" applyFont="1" applyFill="1" applyAlignment="1">
      <alignment/>
    </xf>
    <xf numFmtId="3" fontId="4" fillId="11" borderId="78" xfId="0" applyNumberFormat="1" applyFont="1" applyFill="1" applyBorder="1" applyAlignment="1">
      <alignment/>
    </xf>
    <xf numFmtId="3" fontId="12" fillId="0" borderId="78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4" fillId="0" borderId="66" xfId="47" applyNumberFormat="1" applyFont="1" applyBorder="1">
      <alignment/>
      <protection/>
    </xf>
    <xf numFmtId="3" fontId="4" fillId="0" borderId="59" xfId="47" applyNumberFormat="1" applyFont="1" applyBorder="1">
      <alignment/>
      <protection/>
    </xf>
    <xf numFmtId="3" fontId="12" fillId="0" borderId="59" xfId="47" applyNumberFormat="1" applyFont="1" applyBorder="1">
      <alignment/>
      <protection/>
    </xf>
    <xf numFmtId="3" fontId="4" fillId="17" borderId="84" xfId="0" applyNumberFormat="1" applyFont="1" applyFill="1" applyBorder="1" applyAlignment="1">
      <alignment/>
    </xf>
    <xf numFmtId="0" fontId="16" fillId="0" borderId="61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3" fontId="9" fillId="17" borderId="69" xfId="0" applyNumberFormat="1" applyFont="1" applyFill="1" applyBorder="1" applyAlignment="1">
      <alignment/>
    </xf>
    <xf numFmtId="3" fontId="4" fillId="0" borderId="70" xfId="0" applyNumberFormat="1" applyFont="1" applyBorder="1" applyAlignment="1">
      <alignment/>
    </xf>
    <xf numFmtId="3" fontId="17" fillId="0" borderId="57" xfId="0" applyNumberFormat="1" applyFont="1" applyBorder="1" applyAlignment="1">
      <alignment horizontal="right"/>
    </xf>
    <xf numFmtId="0" fontId="4" fillId="0" borderId="56" xfId="0" applyFont="1" applyBorder="1" applyAlignment="1">
      <alignment horizontal="center"/>
    </xf>
    <xf numFmtId="0" fontId="4" fillId="0" borderId="67" xfId="0" applyFont="1" applyBorder="1" applyAlignment="1">
      <alignment horizontal="center" wrapText="1"/>
    </xf>
    <xf numFmtId="3" fontId="4" fillId="17" borderId="42" xfId="0" applyNumberFormat="1" applyFont="1" applyFill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17" fillId="0" borderId="29" xfId="0" applyNumberFormat="1" applyFont="1" applyBorder="1" applyAlignment="1">
      <alignment/>
    </xf>
    <xf numFmtId="3" fontId="17" fillId="0" borderId="58" xfId="0" applyNumberFormat="1" applyFont="1" applyBorder="1" applyAlignment="1">
      <alignment/>
    </xf>
    <xf numFmtId="3" fontId="17" fillId="0" borderId="30" xfId="0" applyNumberFormat="1" applyFont="1" applyBorder="1" applyAlignment="1">
      <alignment/>
    </xf>
    <xf numFmtId="3" fontId="17" fillId="0" borderId="46" xfId="0" applyNumberFormat="1" applyFont="1" applyBorder="1" applyAlignment="1">
      <alignment/>
    </xf>
    <xf numFmtId="3" fontId="17" fillId="0" borderId="26" xfId="0" applyNumberFormat="1" applyFont="1" applyBorder="1" applyAlignment="1">
      <alignment/>
    </xf>
    <xf numFmtId="3" fontId="17" fillId="0" borderId="45" xfId="0" applyNumberFormat="1" applyFont="1" applyBorder="1" applyAlignment="1">
      <alignment/>
    </xf>
    <xf numFmtId="3" fontId="4" fillId="0" borderId="57" xfId="0" applyNumberFormat="1" applyFont="1" applyBorder="1" applyAlignment="1">
      <alignment horizontal="right"/>
    </xf>
    <xf numFmtId="3" fontId="4" fillId="0" borderId="30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9" fillId="0" borderId="44" xfId="0" applyNumberFormat="1" applyFont="1" applyBorder="1" applyAlignment="1">
      <alignment/>
    </xf>
    <xf numFmtId="3" fontId="9" fillId="17" borderId="50" xfId="0" applyNumberFormat="1" applyFont="1" applyFill="1" applyBorder="1" applyAlignment="1">
      <alignment/>
    </xf>
    <xf numFmtId="3" fontId="4" fillId="0" borderId="48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0" fontId="4" fillId="0" borderId="133" xfId="0" applyFont="1" applyBorder="1" applyAlignment="1">
      <alignment horizontal="center"/>
    </xf>
    <xf numFmtId="0" fontId="4" fillId="0" borderId="134" xfId="0" applyFont="1" applyBorder="1" applyAlignment="1">
      <alignment horizontal="center"/>
    </xf>
    <xf numFmtId="3" fontId="9" fillId="17" borderId="82" xfId="0" applyNumberFormat="1" applyFont="1" applyFill="1" applyBorder="1" applyAlignment="1">
      <alignment/>
    </xf>
    <xf numFmtId="3" fontId="4" fillId="0" borderId="83" xfId="0" applyNumberFormat="1" applyFont="1" applyBorder="1" applyAlignment="1">
      <alignment/>
    </xf>
    <xf numFmtId="3" fontId="17" fillId="0" borderId="78" xfId="0" applyNumberFormat="1" applyFont="1" applyBorder="1" applyAlignment="1">
      <alignment/>
    </xf>
    <xf numFmtId="3" fontId="4" fillId="0" borderId="79" xfId="0" applyNumberFormat="1" applyFont="1" applyBorder="1" applyAlignment="1">
      <alignment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3" fillId="0" borderId="0" xfId="0" applyFont="1" applyAlignment="1">
      <alignment/>
    </xf>
    <xf numFmtId="3" fontId="44" fillId="17" borderId="42" xfId="0" applyNumberFormat="1" applyFont="1" applyFill="1" applyBorder="1" applyAlignment="1">
      <alignment/>
    </xf>
    <xf numFmtId="3" fontId="45" fillId="26" borderId="46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81" xfId="0" applyFont="1" applyBorder="1" applyAlignment="1">
      <alignment horizontal="center"/>
    </xf>
    <xf numFmtId="3" fontId="12" fillId="0" borderId="105" xfId="0" applyNumberFormat="1" applyFont="1" applyBorder="1" applyAlignment="1">
      <alignment/>
    </xf>
    <xf numFmtId="3" fontId="12" fillId="0" borderId="135" xfId="0" applyNumberFormat="1" applyFont="1" applyBorder="1" applyAlignment="1">
      <alignment/>
    </xf>
    <xf numFmtId="3" fontId="45" fillId="0" borderId="28" xfId="47" applyNumberFormat="1" applyFont="1" applyFill="1" applyBorder="1">
      <alignment/>
      <protection/>
    </xf>
    <xf numFmtId="3" fontId="12" fillId="0" borderId="28" xfId="47" applyNumberFormat="1" applyFont="1" applyFill="1" applyBorder="1">
      <alignment/>
      <protection/>
    </xf>
    <xf numFmtId="3" fontId="12" fillId="0" borderId="53" xfId="47" applyNumberFormat="1" applyFont="1" applyFill="1" applyBorder="1">
      <alignment/>
      <protection/>
    </xf>
    <xf numFmtId="3" fontId="12" fillId="0" borderId="44" xfId="47" applyNumberFormat="1" applyFont="1" applyFill="1" applyBorder="1">
      <alignment/>
      <protection/>
    </xf>
    <xf numFmtId="3" fontId="12" fillId="0" borderId="43" xfId="47" applyNumberFormat="1" applyFont="1" applyFill="1" applyBorder="1">
      <alignment/>
      <protection/>
    </xf>
    <xf numFmtId="3" fontId="12" fillId="0" borderId="46" xfId="47" applyNumberFormat="1" applyFont="1" applyFill="1" applyBorder="1">
      <alignment/>
      <protection/>
    </xf>
    <xf numFmtId="3" fontId="12" fillId="0" borderId="47" xfId="47" applyNumberFormat="1" applyFont="1" applyFill="1" applyBorder="1">
      <alignment/>
      <protection/>
    </xf>
    <xf numFmtId="3" fontId="12" fillId="0" borderId="40" xfId="0" applyNumberFormat="1" applyFont="1" applyFill="1" applyBorder="1" applyAlignment="1">
      <alignment/>
    </xf>
    <xf numFmtId="3" fontId="12" fillId="0" borderId="43" xfId="0" applyNumberFormat="1" applyFont="1" applyFill="1" applyBorder="1" applyAlignment="1">
      <alignment/>
    </xf>
    <xf numFmtId="3" fontId="12" fillId="0" borderId="47" xfId="0" applyNumberFormat="1" applyFont="1" applyFill="1" applyBorder="1" applyAlignment="1">
      <alignment/>
    </xf>
    <xf numFmtId="3" fontId="45" fillId="0" borderId="44" xfId="0" applyNumberFormat="1" applyFont="1" applyFill="1" applyBorder="1" applyAlignment="1">
      <alignment/>
    </xf>
    <xf numFmtId="3" fontId="38" fillId="17" borderId="42" xfId="0" applyNumberFormat="1" applyFont="1" applyFill="1" applyBorder="1" applyAlignment="1">
      <alignment/>
    </xf>
    <xf numFmtId="3" fontId="38" fillId="0" borderId="43" xfId="0" applyNumberFormat="1" applyFont="1" applyBorder="1" applyAlignment="1">
      <alignment/>
    </xf>
    <xf numFmtId="3" fontId="38" fillId="0" borderId="99" xfId="0" applyNumberFormat="1" applyFont="1" applyFill="1" applyBorder="1" applyAlignment="1">
      <alignment/>
    </xf>
    <xf numFmtId="3" fontId="38" fillId="0" borderId="43" xfId="0" applyNumberFormat="1" applyFont="1" applyFill="1" applyBorder="1" applyAlignment="1">
      <alignment/>
    </xf>
    <xf numFmtId="3" fontId="38" fillId="0" borderId="47" xfId="0" applyNumberFormat="1" applyFont="1" applyFill="1" applyBorder="1" applyAlignment="1">
      <alignment/>
    </xf>
    <xf numFmtId="3" fontId="38" fillId="0" borderId="40" xfId="0" applyNumberFormat="1" applyFont="1" applyBorder="1" applyAlignment="1">
      <alignment/>
    </xf>
    <xf numFmtId="3" fontId="12" fillId="0" borderId="43" xfId="34" applyNumberFormat="1" applyFont="1" applyFill="1" applyBorder="1" applyAlignment="1">
      <alignment/>
    </xf>
    <xf numFmtId="3" fontId="12" fillId="0" borderId="47" xfId="34" applyNumberFormat="1" applyFont="1" applyFill="1" applyBorder="1" applyAlignment="1">
      <alignment/>
    </xf>
    <xf numFmtId="3" fontId="12" fillId="0" borderId="98" xfId="0" applyNumberFormat="1" applyFont="1" applyBorder="1" applyAlignment="1">
      <alignment/>
    </xf>
    <xf numFmtId="3" fontId="17" fillId="0" borderId="78" xfId="0" applyNumberFormat="1" applyFont="1" applyFill="1" applyBorder="1" applyAlignment="1">
      <alignment/>
    </xf>
    <xf numFmtId="3" fontId="16" fillId="0" borderId="61" xfId="0" applyNumberFormat="1" applyFont="1" applyBorder="1" applyAlignment="1">
      <alignment/>
    </xf>
    <xf numFmtId="0" fontId="44" fillId="0" borderId="39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3" fontId="12" fillId="0" borderId="43" xfId="47" applyNumberFormat="1" applyFont="1" applyBorder="1">
      <alignment/>
      <protection/>
    </xf>
    <xf numFmtId="3" fontId="12" fillId="0" borderId="46" xfId="47" applyNumberFormat="1" applyFont="1" applyBorder="1">
      <alignment/>
      <protection/>
    </xf>
    <xf numFmtId="0" fontId="12" fillId="0" borderId="46" xfId="0" applyFont="1" applyBorder="1" applyAlignment="1">
      <alignment/>
    </xf>
    <xf numFmtId="0" fontId="71" fillId="0" borderId="29" xfId="0" applyFont="1" applyFill="1" applyBorder="1" applyAlignment="1">
      <alignment/>
    </xf>
    <xf numFmtId="3" fontId="38" fillId="26" borderId="0" xfId="0" applyNumberFormat="1" applyFont="1" applyFill="1" applyAlignment="1">
      <alignment/>
    </xf>
    <xf numFmtId="3" fontId="4" fillId="0" borderId="125" xfId="0" applyNumberFormat="1" applyFont="1" applyBorder="1" applyAlignment="1">
      <alignment/>
    </xf>
    <xf numFmtId="3" fontId="12" fillId="0" borderId="79" xfId="0" applyNumberFormat="1" applyFont="1" applyBorder="1" applyAlignment="1">
      <alignment/>
    </xf>
    <xf numFmtId="3" fontId="4" fillId="0" borderId="136" xfId="0" applyNumberFormat="1" applyFont="1" applyFill="1" applyBorder="1" applyAlignment="1">
      <alignment/>
    </xf>
    <xf numFmtId="3" fontId="12" fillId="0" borderId="51" xfId="0" applyNumberFormat="1" applyFont="1" applyFill="1" applyBorder="1" applyAlignment="1">
      <alignment/>
    </xf>
    <xf numFmtId="3" fontId="12" fillId="0" borderId="79" xfId="0" applyNumberFormat="1" applyFont="1" applyFill="1" applyBorder="1" applyAlignment="1">
      <alignment/>
    </xf>
    <xf numFmtId="3" fontId="4" fillId="0" borderId="137" xfId="0" applyNumberFormat="1" applyFont="1" applyFill="1" applyBorder="1" applyAlignment="1">
      <alignment/>
    </xf>
    <xf numFmtId="3" fontId="12" fillId="0" borderId="78" xfId="0" applyNumberFormat="1" applyFont="1" applyFill="1" applyBorder="1" applyAlignment="1">
      <alignment/>
    </xf>
    <xf numFmtId="3" fontId="32" fillId="17" borderId="50" xfId="0" applyNumberFormat="1" applyFont="1" applyFill="1" applyBorder="1" applyAlignment="1">
      <alignment/>
    </xf>
    <xf numFmtId="3" fontId="33" fillId="0" borderId="48" xfId="0" applyNumberFormat="1" applyFont="1" applyBorder="1" applyAlignment="1">
      <alignment/>
    </xf>
    <xf numFmtId="3" fontId="33" fillId="0" borderId="51" xfId="0" applyNumberFormat="1" applyFont="1" applyBorder="1" applyAlignment="1">
      <alignment/>
    </xf>
    <xf numFmtId="3" fontId="38" fillId="0" borderId="51" xfId="0" applyNumberFormat="1" applyFont="1" applyBorder="1" applyAlignment="1">
      <alignment/>
    </xf>
    <xf numFmtId="3" fontId="33" fillId="0" borderId="64" xfId="0" applyNumberFormat="1" applyFont="1" applyBorder="1" applyAlignment="1">
      <alignment/>
    </xf>
    <xf numFmtId="3" fontId="32" fillId="17" borderId="76" xfId="0" applyNumberFormat="1" applyFont="1" applyFill="1" applyBorder="1" applyAlignment="1">
      <alignment/>
    </xf>
    <xf numFmtId="3" fontId="33" fillId="0" borderId="77" xfId="0" applyNumberFormat="1" applyFont="1" applyFill="1" applyBorder="1" applyAlignment="1">
      <alignment/>
    </xf>
    <xf numFmtId="3" fontId="33" fillId="0" borderId="79" xfId="0" applyNumberFormat="1" applyFont="1" applyBorder="1" applyAlignment="1">
      <alignment/>
    </xf>
    <xf numFmtId="3" fontId="33" fillId="0" borderId="79" xfId="0" applyNumberFormat="1" applyFont="1" applyFill="1" applyBorder="1" applyAlignment="1">
      <alignment/>
    </xf>
    <xf numFmtId="3" fontId="38" fillId="0" borderId="79" xfId="0" applyNumberFormat="1" applyFont="1" applyBorder="1" applyAlignment="1">
      <alignment/>
    </xf>
    <xf numFmtId="3" fontId="33" fillId="0" borderId="78" xfId="0" applyNumberFormat="1" applyFont="1" applyBorder="1" applyAlignment="1">
      <alignment/>
    </xf>
    <xf numFmtId="3" fontId="38" fillId="0" borderId="78" xfId="0" applyNumberFormat="1" applyFont="1" applyBorder="1" applyAlignment="1">
      <alignment/>
    </xf>
    <xf numFmtId="3" fontId="33" fillId="0" borderId="78" xfId="0" applyNumberFormat="1" applyFont="1" applyBorder="1" applyAlignment="1">
      <alignment horizontal="center"/>
    </xf>
    <xf numFmtId="3" fontId="33" fillId="0" borderId="94" xfId="0" applyNumberFormat="1" applyFont="1" applyBorder="1" applyAlignment="1">
      <alignment/>
    </xf>
    <xf numFmtId="3" fontId="33" fillId="0" borderId="19" xfId="0" applyNumberFormat="1" applyFont="1" applyBorder="1" applyAlignment="1">
      <alignment/>
    </xf>
    <xf numFmtId="3" fontId="11" fillId="0" borderId="77" xfId="0" applyNumberFormat="1" applyFont="1" applyFill="1" applyBorder="1" applyAlignment="1">
      <alignment/>
    </xf>
    <xf numFmtId="3" fontId="9" fillId="17" borderId="76" xfId="0" applyNumberFormat="1" applyFont="1" applyFill="1" applyBorder="1" applyAlignment="1">
      <alignment/>
    </xf>
    <xf numFmtId="3" fontId="4" fillId="0" borderId="77" xfId="34" applyNumberFormat="1" applyFont="1" applyBorder="1" applyAlignment="1">
      <alignment/>
    </xf>
    <xf numFmtId="3" fontId="4" fillId="0" borderId="78" xfId="34" applyNumberFormat="1" applyFont="1" applyFill="1" applyBorder="1" applyAlignment="1">
      <alignment/>
    </xf>
    <xf numFmtId="3" fontId="4" fillId="0" borderId="79" xfId="34" applyNumberFormat="1" applyFont="1" applyFill="1" applyBorder="1" applyAlignment="1">
      <alignment/>
    </xf>
    <xf numFmtId="3" fontId="4" fillId="0" borderId="79" xfId="34" applyNumberFormat="1" applyFont="1" applyBorder="1" applyAlignment="1">
      <alignment/>
    </xf>
    <xf numFmtId="3" fontId="12" fillId="0" borderId="79" xfId="34" applyNumberFormat="1" applyFont="1" applyBorder="1" applyAlignment="1">
      <alignment/>
    </xf>
    <xf numFmtId="3" fontId="4" fillId="0" borderId="19" xfId="34" applyNumberFormat="1" applyFont="1" applyBorder="1" applyAlignment="1">
      <alignment/>
    </xf>
    <xf numFmtId="3" fontId="4" fillId="0" borderId="78" xfId="34" applyNumberFormat="1" applyFont="1" applyBorder="1" applyAlignment="1">
      <alignment/>
    </xf>
    <xf numFmtId="3" fontId="12" fillId="0" borderId="78" xfId="34" applyNumberFormat="1" applyFont="1" applyBorder="1" applyAlignment="1">
      <alignment/>
    </xf>
    <xf numFmtId="3" fontId="4" fillId="0" borderId="94" xfId="34" applyNumberFormat="1" applyFont="1" applyBorder="1" applyAlignment="1">
      <alignment/>
    </xf>
    <xf numFmtId="3" fontId="26" fillId="0" borderId="78" xfId="0" applyNumberFormat="1" applyFont="1" applyFill="1" applyBorder="1" applyAlignment="1">
      <alignment/>
    </xf>
    <xf numFmtId="3" fontId="17" fillId="11" borderId="78" xfId="0" applyNumberFormat="1" applyFont="1" applyFill="1" applyBorder="1" applyAlignment="1">
      <alignment/>
    </xf>
    <xf numFmtId="3" fontId="17" fillId="0" borderId="78" xfId="0" applyNumberFormat="1" applyFont="1" applyFill="1" applyBorder="1" applyAlignment="1" applyProtection="1">
      <alignment/>
      <protection locked="0"/>
    </xf>
    <xf numFmtId="3" fontId="11" fillId="0" borderId="78" xfId="0" applyNumberFormat="1" applyFont="1" applyFill="1" applyBorder="1" applyAlignment="1">
      <alignment/>
    </xf>
    <xf numFmtId="3" fontId="4" fillId="0" borderId="51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4" fillId="26" borderId="57" xfId="0" applyNumberFormat="1" applyFont="1" applyFill="1" applyBorder="1" applyAlignment="1">
      <alignment horizontal="right"/>
    </xf>
    <xf numFmtId="0" fontId="4" fillId="0" borderId="19" xfId="0" applyFont="1" applyBorder="1" applyAlignment="1">
      <alignment horizontal="center" wrapText="1"/>
    </xf>
    <xf numFmtId="3" fontId="17" fillId="11" borderId="79" xfId="0" applyNumberFormat="1" applyFont="1" applyFill="1" applyBorder="1" applyAlignment="1">
      <alignment/>
    </xf>
    <xf numFmtId="3" fontId="26" fillId="0" borderId="79" xfId="0" applyNumberFormat="1" applyFont="1" applyFill="1" applyBorder="1" applyAlignment="1">
      <alignment/>
    </xf>
    <xf numFmtId="3" fontId="11" fillId="0" borderId="78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3" fontId="26" fillId="0" borderId="78" xfId="0" applyNumberFormat="1" applyFont="1" applyBorder="1" applyAlignment="1">
      <alignment/>
    </xf>
    <xf numFmtId="3" fontId="26" fillId="0" borderId="79" xfId="0" applyNumberFormat="1" applyFont="1" applyBorder="1" applyAlignment="1">
      <alignment/>
    </xf>
    <xf numFmtId="3" fontId="72" fillId="0" borderId="0" xfId="0" applyNumberFormat="1" applyFont="1" applyAlignment="1">
      <alignment/>
    </xf>
    <xf numFmtId="0" fontId="66" fillId="0" borderId="0" xfId="0" applyFont="1" applyAlignment="1">
      <alignment horizontal="center"/>
    </xf>
    <xf numFmtId="0" fontId="66" fillId="0" borderId="29" xfId="0" applyFont="1" applyFill="1" applyBorder="1" applyAlignment="1">
      <alignment/>
    </xf>
    <xf numFmtId="0" fontId="16" fillId="0" borderId="0" xfId="0" applyFont="1" applyFill="1" applyAlignment="1">
      <alignment/>
    </xf>
    <xf numFmtId="0" fontId="73" fillId="0" borderId="0" xfId="0" applyFont="1" applyFill="1" applyAlignment="1">
      <alignment/>
    </xf>
    <xf numFmtId="3" fontId="29" fillId="0" borderId="78" xfId="0" applyNumberFormat="1" applyFont="1" applyFill="1" applyBorder="1" applyAlignment="1">
      <alignment/>
    </xf>
    <xf numFmtId="3" fontId="12" fillId="7" borderId="0" xfId="0" applyNumberFormat="1" applyFont="1" applyFill="1" applyAlignment="1">
      <alignment/>
    </xf>
    <xf numFmtId="0" fontId="12" fillId="7" borderId="0" xfId="0" applyFont="1" applyFill="1" applyAlignment="1">
      <alignment/>
    </xf>
    <xf numFmtId="3" fontId="12" fillId="7" borderId="38" xfId="0" applyNumberFormat="1" applyFont="1" applyFill="1" applyBorder="1" applyAlignment="1">
      <alignment/>
    </xf>
    <xf numFmtId="0" fontId="2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3" fillId="0" borderId="6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3" fontId="12" fillId="0" borderId="22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6" fillId="0" borderId="16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3" fontId="12" fillId="0" borderId="22" xfId="0" applyNumberFormat="1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wrapText="1"/>
    </xf>
    <xf numFmtId="3" fontId="12" fillId="0" borderId="0" xfId="0" applyNumberFormat="1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6" fillId="0" borderId="7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77" fillId="0" borderId="0" xfId="0" applyFont="1" applyFill="1" applyAlignment="1">
      <alignment wrapText="1"/>
    </xf>
    <xf numFmtId="0" fontId="78" fillId="0" borderId="0" xfId="0" applyFont="1" applyFill="1" applyAlignment="1">
      <alignment wrapText="1"/>
    </xf>
    <xf numFmtId="3" fontId="77" fillId="0" borderId="0" xfId="0" applyNumberFormat="1" applyFont="1" applyAlignment="1">
      <alignment/>
    </xf>
    <xf numFmtId="0" fontId="79" fillId="0" borderId="0" xfId="0" applyFont="1" applyFill="1" applyAlignment="1">
      <alignment/>
    </xf>
    <xf numFmtId="3" fontId="77" fillId="0" borderId="38" xfId="0" applyNumberFormat="1" applyFont="1" applyFill="1" applyBorder="1" applyAlignment="1">
      <alignment/>
    </xf>
    <xf numFmtId="0" fontId="78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0" xfId="0" applyFont="1" applyFill="1" applyAlignment="1">
      <alignment/>
    </xf>
    <xf numFmtId="3" fontId="77" fillId="0" borderId="0" xfId="0" applyNumberFormat="1" applyFont="1" applyFill="1" applyAlignment="1">
      <alignment/>
    </xf>
    <xf numFmtId="0" fontId="13" fillId="0" borderId="0" xfId="0" applyFont="1" applyAlignment="1">
      <alignment wrapText="1"/>
    </xf>
    <xf numFmtId="0" fontId="44" fillId="0" borderId="38" xfId="0" applyFont="1" applyBorder="1" applyAlignment="1">
      <alignment/>
    </xf>
    <xf numFmtId="0" fontId="12" fillId="0" borderId="0" xfId="0" applyFont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arka\LOCALS~1\Temp\tabulky\SU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KB 2009"/>
      <sheetName val="SUKB 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showGridLines="0" tabSelected="1" workbookViewId="0" topLeftCell="A1">
      <selection activeCell="A34" sqref="A34"/>
    </sheetView>
  </sheetViews>
  <sheetFormatPr defaultColWidth="9.00390625" defaultRowHeight="12.75"/>
  <cols>
    <col min="1" max="1" width="9.875" style="0" customWidth="1"/>
    <col min="2" max="2" width="8.75390625" style="0" customWidth="1"/>
    <col min="7" max="7" width="7.625" style="0" customWidth="1"/>
    <col min="8" max="8" width="7.875" style="0" customWidth="1"/>
    <col min="9" max="9" width="7.00390625" style="0" customWidth="1"/>
  </cols>
  <sheetData>
    <row r="1" ht="15">
      <c r="A1" s="232" t="s">
        <v>120</v>
      </c>
    </row>
    <row r="2" ht="15">
      <c r="A2" s="232" t="s">
        <v>125</v>
      </c>
    </row>
    <row r="3" ht="15">
      <c r="A3" s="232" t="s">
        <v>121</v>
      </c>
    </row>
    <row r="13" spans="2:13" ht="30">
      <c r="B13" s="1042" t="s">
        <v>210</v>
      </c>
      <c r="C13" s="1043"/>
      <c r="D13" s="1043"/>
      <c r="E13" s="1043"/>
      <c r="F13" s="1043"/>
      <c r="G13" s="1043"/>
      <c r="H13" s="1043"/>
      <c r="I13" s="1043"/>
      <c r="J13" s="1043"/>
      <c r="K13" s="1043"/>
      <c r="L13" s="1043"/>
      <c r="M13" s="1043"/>
    </row>
    <row r="14" spans="2:13" ht="20.25">
      <c r="B14" s="235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</row>
    <row r="15" spans="2:13" ht="26.25">
      <c r="B15" s="1044" t="s">
        <v>235</v>
      </c>
      <c r="C15" s="1043"/>
      <c r="D15" s="1043"/>
      <c r="E15" s="1043"/>
      <c r="F15" s="1043"/>
      <c r="G15" s="1043"/>
      <c r="H15" s="1043"/>
      <c r="I15" s="1043"/>
      <c r="J15" s="1043"/>
      <c r="K15" s="1043"/>
      <c r="L15" s="1043"/>
      <c r="M15" s="1043"/>
    </row>
    <row r="17" spans="6:8" ht="20.25">
      <c r="F17" s="251"/>
      <c r="G17" s="872"/>
      <c r="H17" s="873"/>
    </row>
    <row r="18" spans="4:9" ht="15.75" hidden="1">
      <c r="D18" s="1045" t="s">
        <v>142</v>
      </c>
      <c r="E18" s="1045"/>
      <c r="F18" s="232"/>
      <c r="G18" s="408" t="s">
        <v>143</v>
      </c>
      <c r="H18" s="523">
        <v>1</v>
      </c>
      <c r="I18" s="409">
        <v>2010</v>
      </c>
    </row>
    <row r="19" spans="5:9" ht="15.75" hidden="1">
      <c r="E19" t="s">
        <v>20</v>
      </c>
      <c r="G19" s="408" t="s">
        <v>143</v>
      </c>
      <c r="H19" s="523">
        <v>12</v>
      </c>
      <c r="I19" s="409">
        <v>2009</v>
      </c>
    </row>
    <row r="32" ht="12.75">
      <c r="A32" t="s">
        <v>141</v>
      </c>
    </row>
    <row r="33" spans="1:2" ht="12.75">
      <c r="A33" s="251" t="s">
        <v>243</v>
      </c>
      <c r="B33" s="251"/>
    </row>
  </sheetData>
  <mergeCells count="3">
    <mergeCell ref="B13:M13"/>
    <mergeCell ref="B15:M15"/>
    <mergeCell ref="D18:E18"/>
  </mergeCells>
  <printOptions horizontalCentered="1"/>
  <pageMargins left="0.7874015748031497" right="0.7874015748031497" top="0.44" bottom="0.53" header="0.31" footer="0.37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4"/>
  <sheetViews>
    <sheetView workbookViewId="0" topLeftCell="A1">
      <pane ySplit="3" topLeftCell="BM14" activePane="bottomLeft" state="frozen"/>
      <selection pane="topLeft" activeCell="A34" sqref="A34"/>
      <selection pane="bottomLeft" activeCell="A34" sqref="A34"/>
    </sheetView>
  </sheetViews>
  <sheetFormatPr defaultColWidth="9.00390625" defaultRowHeight="12.75"/>
  <cols>
    <col min="1" max="1" width="8.25390625" style="389" customWidth="1"/>
    <col min="2" max="2" width="5.625" style="389" customWidth="1"/>
    <col min="3" max="3" width="6.25390625" style="389" customWidth="1"/>
    <col min="4" max="4" width="28.625" style="389" customWidth="1"/>
    <col min="5" max="5" width="3.75390625" style="400" bestFit="1" customWidth="1"/>
    <col min="6" max="6" width="10.125" style="395" customWidth="1"/>
    <col min="7" max="7" width="9.625" style="395" bestFit="1" customWidth="1"/>
    <col min="8" max="8" width="8.75390625" style="395" customWidth="1"/>
    <col min="9" max="9" width="8.00390625" style="395" customWidth="1"/>
    <col min="10" max="10" width="6.375" style="395" customWidth="1"/>
    <col min="11" max="11" width="8.00390625" style="395" customWidth="1"/>
    <col min="12" max="12" width="8.25390625" style="395" customWidth="1"/>
    <col min="13" max="13" width="9.875" style="395" hidden="1" customWidth="1"/>
    <col min="14" max="14" width="9.625" style="395" hidden="1" customWidth="1" collapsed="1"/>
    <col min="15" max="15" width="8.00390625" style="406" hidden="1" customWidth="1"/>
    <col min="16" max="16" width="11.25390625" style="406" hidden="1" customWidth="1"/>
    <col min="17" max="17" width="9.875" style="547" customWidth="1" collapsed="1"/>
    <col min="18" max="18" width="7.00390625" style="547" customWidth="1"/>
    <col min="19" max="19" width="5.625" style="547" customWidth="1"/>
    <col min="20" max="16384" width="9.125" style="389" customWidth="1"/>
  </cols>
  <sheetData>
    <row r="1" spans="1:19" ht="15.75" customHeight="1">
      <c r="A1" s="1046" t="s">
        <v>236</v>
      </c>
      <c r="B1" s="1047"/>
      <c r="C1" s="1047"/>
      <c r="D1" s="1048"/>
      <c r="E1" s="388"/>
      <c r="F1" s="543" t="s">
        <v>0</v>
      </c>
      <c r="G1" s="606" t="s">
        <v>2</v>
      </c>
      <c r="H1" s="1050" t="s">
        <v>3</v>
      </c>
      <c r="I1" s="1050"/>
      <c r="J1" s="1050"/>
      <c r="K1" s="1050"/>
      <c r="L1" s="1051"/>
      <c r="M1" s="181" t="s">
        <v>1</v>
      </c>
      <c r="N1" s="538" t="s">
        <v>4</v>
      </c>
      <c r="O1" s="67" t="s">
        <v>144</v>
      </c>
      <c r="P1" s="67" t="s">
        <v>145</v>
      </c>
      <c r="Q1" s="947" t="s">
        <v>4</v>
      </c>
      <c r="R1" s="1056" t="s">
        <v>190</v>
      </c>
      <c r="S1" s="1057" t="s">
        <v>188</v>
      </c>
    </row>
    <row r="2" spans="1:19" ht="13.5" thickBot="1">
      <c r="A2" s="390" t="s">
        <v>127</v>
      </c>
      <c r="B2" s="391"/>
      <c r="C2" s="1059" t="s">
        <v>78</v>
      </c>
      <c r="D2" s="1060"/>
      <c r="E2" s="392" t="s">
        <v>5</v>
      </c>
      <c r="F2" s="544">
        <v>2011</v>
      </c>
      <c r="G2" s="607" t="s">
        <v>8</v>
      </c>
      <c r="H2" s="69" t="s">
        <v>9</v>
      </c>
      <c r="I2" s="70" t="s">
        <v>10</v>
      </c>
      <c r="J2" s="303" t="s">
        <v>11</v>
      </c>
      <c r="K2" s="248" t="s">
        <v>126</v>
      </c>
      <c r="L2" s="68" t="s">
        <v>12</v>
      </c>
      <c r="M2" s="544" t="s">
        <v>7</v>
      </c>
      <c r="N2" s="539">
        <v>2011</v>
      </c>
      <c r="O2" s="71"/>
      <c r="P2" s="71"/>
      <c r="Q2" s="948">
        <v>2010</v>
      </c>
      <c r="R2" s="1056"/>
      <c r="S2" s="1057"/>
    </row>
    <row r="3" spans="1:17" ht="13.5" thickBot="1">
      <c r="A3" s="341" t="s">
        <v>13</v>
      </c>
      <c r="B3" s="342"/>
      <c r="C3" s="342"/>
      <c r="D3" s="342"/>
      <c r="E3" s="343">
        <v>1</v>
      </c>
      <c r="F3" s="533">
        <f>SUM(F5:F27)</f>
        <v>241362</v>
      </c>
      <c r="G3" s="997">
        <f aca="true" t="shared" si="0" ref="G3:N3">SUM(G5:G27)</f>
        <v>232683</v>
      </c>
      <c r="H3" s="992">
        <f t="shared" si="0"/>
        <v>3</v>
      </c>
      <c r="I3" s="345">
        <f t="shared" si="0"/>
        <v>3876</v>
      </c>
      <c r="J3" s="346">
        <f t="shared" si="0"/>
        <v>0</v>
      </c>
      <c r="K3" s="345">
        <f t="shared" si="0"/>
        <v>1800</v>
      </c>
      <c r="L3" s="344">
        <f t="shared" si="0"/>
        <v>3000</v>
      </c>
      <c r="M3" s="533">
        <f>SUM(M5:M27)</f>
        <v>0</v>
      </c>
      <c r="N3" s="533">
        <f t="shared" si="0"/>
        <v>0</v>
      </c>
      <c r="O3" s="436">
        <f aca="true" t="shared" si="1" ref="O3:O19">IF(F3=0,0,N3/F3)</f>
        <v>0</v>
      </c>
      <c r="P3" s="347" t="e">
        <f>SUM(P5:P27)</f>
        <v>#DIV/0!</v>
      </c>
      <c r="Q3" s="967">
        <f>SUM(Q5:Q27)</f>
        <v>238536</v>
      </c>
    </row>
    <row r="4" spans="1:19" s="393" customFormat="1" ht="12">
      <c r="A4" s="348" t="s">
        <v>14</v>
      </c>
      <c r="B4" s="349" t="s">
        <v>15</v>
      </c>
      <c r="C4" s="349"/>
      <c r="D4" s="349"/>
      <c r="E4" s="350">
        <v>2</v>
      </c>
      <c r="F4" s="354">
        <f aca="true" t="shared" si="2" ref="F4:N4">SUM(F5:F15)</f>
        <v>156745</v>
      </c>
      <c r="G4" s="998">
        <f t="shared" si="2"/>
        <v>151762</v>
      </c>
      <c r="H4" s="993">
        <f t="shared" si="2"/>
        <v>3</v>
      </c>
      <c r="I4" s="352">
        <f t="shared" si="2"/>
        <v>180</v>
      </c>
      <c r="J4" s="353">
        <f t="shared" si="2"/>
        <v>0</v>
      </c>
      <c r="K4" s="352">
        <f t="shared" si="2"/>
        <v>1800</v>
      </c>
      <c r="L4" s="351">
        <f t="shared" si="2"/>
        <v>3000</v>
      </c>
      <c r="M4" s="354">
        <f>SUM(M5:M15)</f>
        <v>0</v>
      </c>
      <c r="N4" s="450">
        <f t="shared" si="2"/>
        <v>0</v>
      </c>
      <c r="O4" s="437">
        <f t="shared" si="1"/>
        <v>0</v>
      </c>
      <c r="P4" s="354" t="e">
        <f>SUM(P5:P15)</f>
        <v>#DIV/0!</v>
      </c>
      <c r="Q4" s="968">
        <f>SUM(Q5:Q15)</f>
        <v>127685</v>
      </c>
      <c r="R4" s="547"/>
      <c r="S4" s="547"/>
    </row>
    <row r="5" spans="1:19" s="394" customFormat="1" ht="12">
      <c r="A5" s="355"/>
      <c r="B5" s="356"/>
      <c r="C5" s="356" t="s">
        <v>16</v>
      </c>
      <c r="D5" s="357" t="s">
        <v>17</v>
      </c>
      <c r="E5" s="358">
        <v>3</v>
      </c>
      <c r="F5" s="534">
        <f>SUM(G5:L5)</f>
        <v>60526</v>
      </c>
      <c r="G5" s="999">
        <v>60461</v>
      </c>
      <c r="H5" s="359"/>
      <c r="I5" s="360">
        <v>65</v>
      </c>
      <c r="J5" s="361"/>
      <c r="K5" s="360"/>
      <c r="L5" s="362"/>
      <c r="M5" s="534"/>
      <c r="N5" s="451"/>
      <c r="O5" s="862">
        <f t="shared" si="1"/>
        <v>0</v>
      </c>
      <c r="P5" s="851">
        <f>N5</f>
        <v>0</v>
      </c>
      <c r="Q5" s="690">
        <v>43728</v>
      </c>
      <c r="R5" s="549"/>
      <c r="S5" s="549"/>
    </row>
    <row r="6" spans="1:19" s="394" customFormat="1" ht="12">
      <c r="A6" s="355"/>
      <c r="B6" s="356"/>
      <c r="C6" s="356"/>
      <c r="D6" s="357" t="s">
        <v>18</v>
      </c>
      <c r="E6" s="358">
        <v>4</v>
      </c>
      <c r="F6" s="534">
        <f aca="true" t="shared" si="3" ref="F6:F45">SUM(G6:L6)</f>
        <v>2725</v>
      </c>
      <c r="G6" s="999">
        <v>2725</v>
      </c>
      <c r="H6" s="359"/>
      <c r="I6" s="360"/>
      <c r="J6" s="361"/>
      <c r="K6" s="360"/>
      <c r="L6" s="362"/>
      <c r="M6" s="534"/>
      <c r="N6" s="451"/>
      <c r="O6" s="862">
        <f t="shared" si="1"/>
        <v>0</v>
      </c>
      <c r="P6" s="851">
        <f>N6</f>
        <v>0</v>
      </c>
      <c r="Q6" s="690">
        <v>2692</v>
      </c>
      <c r="R6" s="549"/>
      <c r="S6" s="549"/>
    </row>
    <row r="7" spans="1:19" s="394" customFormat="1" ht="12">
      <c r="A7" s="355"/>
      <c r="B7" s="356"/>
      <c r="C7" s="356"/>
      <c r="D7" s="357" t="s">
        <v>19</v>
      </c>
      <c r="E7" s="358">
        <v>5</v>
      </c>
      <c r="F7" s="534">
        <f t="shared" si="3"/>
        <v>21184</v>
      </c>
      <c r="G7" s="1000">
        <v>21161</v>
      </c>
      <c r="H7" s="615"/>
      <c r="I7" s="616">
        <v>23</v>
      </c>
      <c r="J7" s="361"/>
      <c r="K7" s="360"/>
      <c r="L7" s="362"/>
      <c r="M7" s="534"/>
      <c r="N7" s="451"/>
      <c r="O7" s="862">
        <f t="shared" si="1"/>
        <v>0</v>
      </c>
      <c r="P7" s="851">
        <f>N7</f>
        <v>0</v>
      </c>
      <c r="Q7" s="690">
        <v>15467</v>
      </c>
      <c r="R7" s="549"/>
      <c r="S7" s="549"/>
    </row>
    <row r="8" spans="1:19" s="394" customFormat="1" ht="12">
      <c r="A8" s="355"/>
      <c r="B8" s="356"/>
      <c r="C8" s="356"/>
      <c r="D8" s="357" t="s">
        <v>20</v>
      </c>
      <c r="E8" s="358">
        <v>6</v>
      </c>
      <c r="F8" s="534">
        <f t="shared" si="3"/>
        <v>7000</v>
      </c>
      <c r="G8" s="999">
        <v>7000</v>
      </c>
      <c r="H8" s="359"/>
      <c r="I8" s="360"/>
      <c r="J8" s="361"/>
      <c r="K8" s="360"/>
      <c r="L8" s="362"/>
      <c r="M8" s="534"/>
      <c r="N8" s="451"/>
      <c r="O8" s="862">
        <f t="shared" si="1"/>
        <v>0</v>
      </c>
      <c r="P8" s="363" t="e">
        <f>N8/titl!$H$17*12</f>
        <v>#DIV/0!</v>
      </c>
      <c r="Q8" s="690">
        <v>6967</v>
      </c>
      <c r="R8" s="549"/>
      <c r="S8" s="549"/>
    </row>
    <row r="9" spans="1:19" s="394" customFormat="1" ht="12">
      <c r="A9" s="355"/>
      <c r="B9" s="356"/>
      <c r="C9" s="356"/>
      <c r="D9" s="357" t="s">
        <v>21</v>
      </c>
      <c r="E9" s="358">
        <v>7</v>
      </c>
      <c r="F9" s="534">
        <f t="shared" si="3"/>
        <v>1225</v>
      </c>
      <c r="G9" s="999">
        <v>1225</v>
      </c>
      <c r="H9" s="359"/>
      <c r="I9" s="360"/>
      <c r="J9" s="361"/>
      <c r="K9" s="360"/>
      <c r="L9" s="362"/>
      <c r="M9" s="534"/>
      <c r="N9" s="451"/>
      <c r="O9" s="862">
        <f t="shared" si="1"/>
        <v>0</v>
      </c>
      <c r="P9" s="363" t="e">
        <f>N9/titl!$H$17*12</f>
        <v>#DIV/0!</v>
      </c>
      <c r="Q9" s="690">
        <v>1491</v>
      </c>
      <c r="R9" s="549"/>
      <c r="S9" s="549"/>
    </row>
    <row r="10" spans="1:19" s="394" customFormat="1" ht="12">
      <c r="A10" s="355"/>
      <c r="B10" s="356"/>
      <c r="C10" s="356"/>
      <c r="D10" s="357" t="s">
        <v>22</v>
      </c>
      <c r="E10" s="358">
        <v>8</v>
      </c>
      <c r="F10" s="534">
        <f t="shared" si="3"/>
        <v>6387</v>
      </c>
      <c r="G10" s="999">
        <v>6372</v>
      </c>
      <c r="H10" s="359">
        <v>3</v>
      </c>
      <c r="I10" s="360">
        <v>12</v>
      </c>
      <c r="J10" s="361"/>
      <c r="K10" s="360"/>
      <c r="L10" s="362"/>
      <c r="M10" s="534"/>
      <c r="N10" s="451"/>
      <c r="O10" s="862">
        <f t="shared" si="1"/>
        <v>0</v>
      </c>
      <c r="P10" s="363" t="e">
        <f>N10/titl!$H$17*12</f>
        <v>#DIV/0!</v>
      </c>
      <c r="Q10" s="690">
        <v>6358</v>
      </c>
      <c r="R10" s="549"/>
      <c r="S10" s="549"/>
    </row>
    <row r="11" spans="1:19" s="394" customFormat="1" ht="12">
      <c r="A11" s="355"/>
      <c r="B11" s="356"/>
      <c r="C11" s="356"/>
      <c r="D11" s="357" t="s">
        <v>23</v>
      </c>
      <c r="E11" s="358">
        <v>9</v>
      </c>
      <c r="F11" s="534">
        <f t="shared" si="3"/>
        <v>15340</v>
      </c>
      <c r="G11" s="999">
        <v>15340</v>
      </c>
      <c r="H11" s="359"/>
      <c r="I11" s="360"/>
      <c r="J11" s="361"/>
      <c r="K11" s="360"/>
      <c r="L11" s="362"/>
      <c r="M11" s="534"/>
      <c r="N11" s="451"/>
      <c r="O11" s="862">
        <f t="shared" si="1"/>
        <v>0</v>
      </c>
      <c r="P11" s="363" t="e">
        <f>N11/titl!$H$17*12</f>
        <v>#DIV/0!</v>
      </c>
      <c r="Q11" s="690">
        <v>12483</v>
      </c>
      <c r="R11" s="549"/>
      <c r="S11" s="549"/>
    </row>
    <row r="12" spans="1:19" s="394" customFormat="1" ht="12">
      <c r="A12" s="355"/>
      <c r="B12" s="356"/>
      <c r="C12" s="356"/>
      <c r="D12" s="357" t="s">
        <v>24</v>
      </c>
      <c r="E12" s="358">
        <v>10</v>
      </c>
      <c r="F12" s="534">
        <f t="shared" si="3"/>
        <v>1650</v>
      </c>
      <c r="G12" s="999">
        <v>1650</v>
      </c>
      <c r="H12" s="359"/>
      <c r="I12" s="360"/>
      <c r="J12" s="361"/>
      <c r="K12" s="360"/>
      <c r="L12" s="362"/>
      <c r="M12" s="534"/>
      <c r="N12" s="451"/>
      <c r="O12" s="862">
        <f t="shared" si="1"/>
        <v>0</v>
      </c>
      <c r="P12" s="363" t="e">
        <f>N12/titl!$H$17*12</f>
        <v>#DIV/0!</v>
      </c>
      <c r="Q12" s="690">
        <v>679</v>
      </c>
      <c r="R12" s="549"/>
      <c r="S12" s="549"/>
    </row>
    <row r="13" spans="1:19" s="394" customFormat="1" ht="12">
      <c r="A13" s="355"/>
      <c r="B13" s="356"/>
      <c r="C13" s="356"/>
      <c r="D13" s="357" t="s">
        <v>25</v>
      </c>
      <c r="E13" s="358">
        <v>11</v>
      </c>
      <c r="F13" s="534">
        <f t="shared" si="3"/>
        <v>15814</v>
      </c>
      <c r="G13" s="999">
        <v>15814</v>
      </c>
      <c r="H13" s="359"/>
      <c r="I13" s="360"/>
      <c r="J13" s="361"/>
      <c r="K13" s="360"/>
      <c r="L13" s="362"/>
      <c r="M13" s="534"/>
      <c r="N13" s="451"/>
      <c r="O13" s="862">
        <f t="shared" si="1"/>
        <v>0</v>
      </c>
      <c r="P13" s="851">
        <f>N13</f>
        <v>0</v>
      </c>
      <c r="Q13" s="690">
        <v>15814</v>
      </c>
      <c r="R13" s="549"/>
      <c r="S13" s="549"/>
    </row>
    <row r="14" spans="1:19" s="394" customFormat="1" ht="12">
      <c r="A14" s="355"/>
      <c r="B14" s="356"/>
      <c r="C14" s="356"/>
      <c r="D14" s="357" t="s">
        <v>26</v>
      </c>
      <c r="E14" s="358">
        <v>12</v>
      </c>
      <c r="F14" s="534">
        <f t="shared" si="3"/>
        <v>4080</v>
      </c>
      <c r="G14" s="999">
        <v>1000</v>
      </c>
      <c r="H14" s="359"/>
      <c r="I14" s="360">
        <v>80</v>
      </c>
      <c r="J14" s="361"/>
      <c r="K14" s="360"/>
      <c r="L14" s="362">
        <v>3000</v>
      </c>
      <c r="M14" s="534"/>
      <c r="N14" s="451"/>
      <c r="O14" s="862">
        <f t="shared" si="1"/>
        <v>0</v>
      </c>
      <c r="P14" s="363" t="e">
        <f>N14/titl!$H$17*12</f>
        <v>#DIV/0!</v>
      </c>
      <c r="Q14" s="690">
        <v>3759</v>
      </c>
      <c r="R14" s="549"/>
      <c r="S14" s="549"/>
    </row>
    <row r="15" spans="1:19" s="394" customFormat="1" ht="12">
      <c r="A15" s="355"/>
      <c r="B15" s="356"/>
      <c r="C15" s="357"/>
      <c r="D15" s="357" t="s">
        <v>27</v>
      </c>
      <c r="E15" s="358">
        <v>13</v>
      </c>
      <c r="F15" s="534">
        <f t="shared" si="3"/>
        <v>20814</v>
      </c>
      <c r="G15" s="999">
        <v>19014</v>
      </c>
      <c r="H15" s="359"/>
      <c r="I15" s="360"/>
      <c r="J15" s="361"/>
      <c r="K15" s="360">
        <v>1800</v>
      </c>
      <c r="L15" s="362"/>
      <c r="M15" s="534"/>
      <c r="N15" s="451"/>
      <c r="O15" s="862">
        <f t="shared" si="1"/>
        <v>0</v>
      </c>
      <c r="P15" s="363" t="e">
        <f>N15/titl!$H$17*12</f>
        <v>#DIV/0!</v>
      </c>
      <c r="Q15" s="690">
        <v>18247</v>
      </c>
      <c r="R15" s="549"/>
      <c r="S15" s="549"/>
    </row>
    <row r="16" spans="1:19" s="393" customFormat="1" ht="12">
      <c r="A16" s="348"/>
      <c r="B16" s="364" t="s">
        <v>28</v>
      </c>
      <c r="C16" s="365"/>
      <c r="D16" s="365"/>
      <c r="E16" s="366">
        <v>14</v>
      </c>
      <c r="F16" s="363">
        <f t="shared" si="3"/>
        <v>7800</v>
      </c>
      <c r="G16" s="999">
        <v>7800</v>
      </c>
      <c r="H16" s="359"/>
      <c r="I16" s="360"/>
      <c r="J16" s="361"/>
      <c r="K16" s="360"/>
      <c r="L16" s="362"/>
      <c r="M16" s="363">
        <f>M30</f>
        <v>0</v>
      </c>
      <c r="N16" s="451"/>
      <c r="O16" s="438">
        <f t="shared" si="1"/>
        <v>0</v>
      </c>
      <c r="P16" s="363">
        <f>P30</f>
        <v>0</v>
      </c>
      <c r="Q16" s="690">
        <v>7704</v>
      </c>
      <c r="R16" s="547"/>
      <c r="S16" s="547"/>
    </row>
    <row r="17" spans="1:19" s="393" customFormat="1" ht="12">
      <c r="A17" s="348"/>
      <c r="B17" s="364" t="s">
        <v>30</v>
      </c>
      <c r="C17" s="365"/>
      <c r="D17" s="365"/>
      <c r="E17" s="366">
        <v>15</v>
      </c>
      <c r="F17" s="363">
        <f t="shared" si="3"/>
        <v>400</v>
      </c>
      <c r="G17" s="999">
        <v>400</v>
      </c>
      <c r="H17" s="359"/>
      <c r="I17" s="360"/>
      <c r="J17" s="361"/>
      <c r="K17" s="360"/>
      <c r="L17" s="362"/>
      <c r="M17" s="363">
        <f>M31</f>
        <v>0</v>
      </c>
      <c r="N17" s="451"/>
      <c r="O17" s="438">
        <f t="shared" si="1"/>
        <v>0</v>
      </c>
      <c r="P17" s="363">
        <f>P31</f>
        <v>0</v>
      </c>
      <c r="Q17" s="690">
        <v>406</v>
      </c>
      <c r="R17" s="547"/>
      <c r="S17" s="547"/>
    </row>
    <row r="18" spans="1:19" s="393" customFormat="1" ht="12">
      <c r="A18" s="348"/>
      <c r="B18" s="367" t="s">
        <v>32</v>
      </c>
      <c r="C18" s="368"/>
      <c r="D18" s="368"/>
      <c r="E18" s="369">
        <v>16</v>
      </c>
      <c r="F18" s="363">
        <f t="shared" si="3"/>
        <v>4854</v>
      </c>
      <c r="G18" s="999">
        <v>4854</v>
      </c>
      <c r="H18" s="359"/>
      <c r="I18" s="360"/>
      <c r="J18" s="361"/>
      <c r="K18" s="360"/>
      <c r="L18" s="362"/>
      <c r="M18" s="363">
        <f>M32</f>
        <v>0</v>
      </c>
      <c r="N18" s="451"/>
      <c r="O18" s="438">
        <f t="shared" si="1"/>
        <v>0</v>
      </c>
      <c r="P18" s="363">
        <f>P32</f>
        <v>0</v>
      </c>
      <c r="Q18" s="690">
        <v>21930</v>
      </c>
      <c r="R18" s="547"/>
      <c r="S18" s="547"/>
    </row>
    <row r="19" spans="1:19" s="393" customFormat="1" ht="12">
      <c r="A19" s="348"/>
      <c r="B19" s="367" t="s">
        <v>34</v>
      </c>
      <c r="C19" s="368"/>
      <c r="D19" s="368"/>
      <c r="E19" s="369">
        <v>17</v>
      </c>
      <c r="F19" s="363">
        <f t="shared" si="3"/>
        <v>92</v>
      </c>
      <c r="G19" s="1000">
        <v>92</v>
      </c>
      <c r="H19" s="359"/>
      <c r="I19" s="360"/>
      <c r="J19" s="361"/>
      <c r="K19" s="360"/>
      <c r="L19" s="362"/>
      <c r="M19" s="363">
        <f>M33</f>
        <v>0</v>
      </c>
      <c r="N19" s="451"/>
      <c r="O19" s="438">
        <f t="shared" si="1"/>
        <v>0</v>
      </c>
      <c r="P19" s="363">
        <f>P33</f>
        <v>0</v>
      </c>
      <c r="Q19" s="690">
        <v>133</v>
      </c>
      <c r="R19" s="547"/>
      <c r="S19" s="547"/>
    </row>
    <row r="20" spans="1:19" s="393" customFormat="1" ht="12">
      <c r="A20" s="348"/>
      <c r="B20" s="367" t="s">
        <v>36</v>
      </c>
      <c r="C20" s="367"/>
      <c r="D20" s="367"/>
      <c r="E20" s="369">
        <v>18</v>
      </c>
      <c r="F20" s="363">
        <f t="shared" si="3"/>
        <v>1843</v>
      </c>
      <c r="G20" s="999">
        <v>1843</v>
      </c>
      <c r="H20" s="359"/>
      <c r="I20" s="360"/>
      <c r="J20" s="361"/>
      <c r="K20" s="360"/>
      <c r="L20" s="362"/>
      <c r="M20" s="363"/>
      <c r="N20" s="451"/>
      <c r="O20" s="438">
        <f aca="true" t="shared" si="4" ref="O20:O45">IF(F20=0,0,N20/F20)</f>
        <v>0</v>
      </c>
      <c r="P20" s="363">
        <f>P35</f>
        <v>0</v>
      </c>
      <c r="Q20" s="690">
        <v>484</v>
      </c>
      <c r="R20" s="547"/>
      <c r="S20" s="547"/>
    </row>
    <row r="21" spans="1:19" s="691" customFormat="1" ht="12">
      <c r="A21" s="680"/>
      <c r="B21" s="681" t="s">
        <v>175</v>
      </c>
      <c r="C21" s="681"/>
      <c r="D21" s="681"/>
      <c r="E21" s="682">
        <v>19</v>
      </c>
      <c r="F21" s="683">
        <f t="shared" si="3"/>
        <v>15000</v>
      </c>
      <c r="G21" s="1001">
        <v>15000</v>
      </c>
      <c r="H21" s="684"/>
      <c r="I21" s="685"/>
      <c r="J21" s="686"/>
      <c r="K21" s="685"/>
      <c r="L21" s="687"/>
      <c r="M21" s="683"/>
      <c r="N21" s="688"/>
      <c r="O21" s="689">
        <f t="shared" si="4"/>
        <v>0</v>
      </c>
      <c r="P21" s="683">
        <f>N21</f>
        <v>0</v>
      </c>
      <c r="Q21" s="690">
        <v>11929</v>
      </c>
      <c r="R21" s="547"/>
      <c r="S21" s="547"/>
    </row>
    <row r="22" spans="1:19" s="393" customFormat="1" ht="12">
      <c r="A22" s="348"/>
      <c r="B22" s="367" t="s">
        <v>40</v>
      </c>
      <c r="C22" s="367"/>
      <c r="D22" s="367"/>
      <c r="E22" s="369">
        <v>20</v>
      </c>
      <c r="F22" s="363">
        <f t="shared" si="3"/>
        <v>1965</v>
      </c>
      <c r="G22" s="999"/>
      <c r="H22" s="359"/>
      <c r="I22" s="360">
        <v>1965</v>
      </c>
      <c r="J22" s="361"/>
      <c r="K22" s="360"/>
      <c r="L22" s="362"/>
      <c r="M22" s="363"/>
      <c r="N22" s="451"/>
      <c r="O22" s="438">
        <f t="shared" si="4"/>
        <v>0</v>
      </c>
      <c r="P22" s="363">
        <f>P37</f>
        <v>0</v>
      </c>
      <c r="Q22" s="690">
        <v>5367</v>
      </c>
      <c r="R22" s="547"/>
      <c r="S22" s="547"/>
    </row>
    <row r="23" spans="1:19" s="393" customFormat="1" ht="12">
      <c r="A23" s="348"/>
      <c r="B23" s="367" t="s">
        <v>42</v>
      </c>
      <c r="C23" s="367"/>
      <c r="D23" s="367"/>
      <c r="E23" s="369">
        <v>21</v>
      </c>
      <c r="F23" s="363">
        <f t="shared" si="3"/>
        <v>4228</v>
      </c>
      <c r="G23" s="999">
        <v>3978</v>
      </c>
      <c r="H23" s="359"/>
      <c r="I23" s="360">
        <v>250</v>
      </c>
      <c r="J23" s="361"/>
      <c r="K23" s="360"/>
      <c r="L23" s="362"/>
      <c r="M23" s="363">
        <f>M39</f>
        <v>0</v>
      </c>
      <c r="N23" s="451"/>
      <c r="O23" s="438">
        <f t="shared" si="4"/>
        <v>0</v>
      </c>
      <c r="P23" s="363">
        <f>P39</f>
        <v>0</v>
      </c>
      <c r="Q23" s="690">
        <v>10654</v>
      </c>
      <c r="R23" s="547"/>
      <c r="S23" s="547"/>
    </row>
    <row r="24" spans="1:19" s="393" customFormat="1" ht="12">
      <c r="A24" s="348"/>
      <c r="B24" s="367" t="s">
        <v>43</v>
      </c>
      <c r="C24" s="367"/>
      <c r="D24" s="367"/>
      <c r="E24" s="369">
        <v>22</v>
      </c>
      <c r="F24" s="363">
        <f t="shared" si="3"/>
        <v>35191</v>
      </c>
      <c r="G24" s="999">
        <v>34549</v>
      </c>
      <c r="H24" s="359"/>
      <c r="I24" s="360">
        <v>642</v>
      </c>
      <c r="J24" s="361"/>
      <c r="K24" s="360"/>
      <c r="L24" s="362"/>
      <c r="M24" s="363">
        <f>M40</f>
        <v>0</v>
      </c>
      <c r="N24" s="451"/>
      <c r="O24" s="438">
        <f t="shared" si="4"/>
        <v>0</v>
      </c>
      <c r="P24" s="363">
        <f>P40</f>
        <v>0</v>
      </c>
      <c r="Q24" s="690">
        <v>33798</v>
      </c>
      <c r="R24" s="547"/>
      <c r="S24" s="547"/>
    </row>
    <row r="25" spans="1:19" s="691" customFormat="1" ht="12">
      <c r="A25" s="680"/>
      <c r="B25" s="681" t="s">
        <v>186</v>
      </c>
      <c r="C25" s="681"/>
      <c r="D25" s="681"/>
      <c r="E25" s="682">
        <v>23</v>
      </c>
      <c r="F25" s="683">
        <f t="shared" si="3"/>
        <v>749</v>
      </c>
      <c r="G25" s="1001"/>
      <c r="H25" s="684"/>
      <c r="I25" s="685">
        <v>749</v>
      </c>
      <c r="J25" s="686"/>
      <c r="K25" s="685"/>
      <c r="L25" s="687"/>
      <c r="M25" s="683"/>
      <c r="N25" s="688"/>
      <c r="O25" s="689">
        <f t="shared" si="4"/>
        <v>0</v>
      </c>
      <c r="P25" s="683">
        <f>P41</f>
        <v>749</v>
      </c>
      <c r="Q25" s="690">
        <v>3137</v>
      </c>
      <c r="R25" s="547"/>
      <c r="S25" s="547"/>
    </row>
    <row r="26" spans="1:19" s="393" customFormat="1" ht="12">
      <c r="A26" s="348"/>
      <c r="B26" s="367" t="s">
        <v>45</v>
      </c>
      <c r="C26" s="367"/>
      <c r="D26" s="367"/>
      <c r="E26" s="369">
        <v>24</v>
      </c>
      <c r="F26" s="363">
        <f t="shared" si="3"/>
        <v>10965</v>
      </c>
      <c r="G26" s="999">
        <v>10875</v>
      </c>
      <c r="H26" s="359"/>
      <c r="I26" s="360">
        <v>90</v>
      </c>
      <c r="J26" s="361"/>
      <c r="K26" s="360"/>
      <c r="L26" s="362"/>
      <c r="M26" s="363"/>
      <c r="N26" s="451"/>
      <c r="O26" s="438">
        <f t="shared" si="4"/>
        <v>0</v>
      </c>
      <c r="P26" s="363">
        <f>P42</f>
        <v>0</v>
      </c>
      <c r="Q26" s="690">
        <v>12048</v>
      </c>
      <c r="R26" s="547"/>
      <c r="S26" s="547"/>
    </row>
    <row r="27" spans="1:19" s="393" customFormat="1" ht="12.75" thickBot="1">
      <c r="A27" s="348"/>
      <c r="B27" s="364" t="s">
        <v>47</v>
      </c>
      <c r="C27" s="364"/>
      <c r="D27" s="364"/>
      <c r="E27" s="366">
        <v>25</v>
      </c>
      <c r="F27" s="363">
        <f t="shared" si="3"/>
        <v>1530</v>
      </c>
      <c r="G27" s="999">
        <v>1530</v>
      </c>
      <c r="H27" s="359"/>
      <c r="I27" s="360"/>
      <c r="J27" s="361"/>
      <c r="K27" s="360"/>
      <c r="L27" s="362"/>
      <c r="M27" s="363"/>
      <c r="N27" s="452"/>
      <c r="O27" s="439">
        <f t="shared" si="4"/>
        <v>0</v>
      </c>
      <c r="P27" s="382" t="e">
        <f>N27/titl!$H$17*12</f>
        <v>#DIV/0!</v>
      </c>
      <c r="Q27" s="969">
        <v>3261</v>
      </c>
      <c r="R27" s="547"/>
      <c r="S27" s="547"/>
    </row>
    <row r="28" spans="1:17" ht="13.5" thickBot="1">
      <c r="A28" s="370" t="s">
        <v>49</v>
      </c>
      <c r="B28" s="371"/>
      <c r="C28" s="371"/>
      <c r="D28" s="371"/>
      <c r="E28" s="343">
        <v>26</v>
      </c>
      <c r="F28" s="533">
        <f>SUM(F29:F45)</f>
        <v>241893</v>
      </c>
      <c r="G28" s="997">
        <f aca="true" t="shared" si="5" ref="G28:N28">SUM(G29:G45)</f>
        <v>233214</v>
      </c>
      <c r="H28" s="992">
        <f t="shared" si="5"/>
        <v>3</v>
      </c>
      <c r="I28" s="345">
        <f t="shared" si="5"/>
        <v>3876</v>
      </c>
      <c r="J28" s="346">
        <f t="shared" si="5"/>
        <v>0</v>
      </c>
      <c r="K28" s="345">
        <f t="shared" si="5"/>
        <v>1800</v>
      </c>
      <c r="L28" s="344">
        <f t="shared" si="5"/>
        <v>3000</v>
      </c>
      <c r="M28" s="533">
        <f>SUM(M29:M45)</f>
        <v>0</v>
      </c>
      <c r="N28" s="533">
        <f t="shared" si="5"/>
        <v>0</v>
      </c>
      <c r="O28" s="436">
        <f t="shared" si="4"/>
        <v>0</v>
      </c>
      <c r="P28" s="347" t="e">
        <f>SUM(P29:P45)</f>
        <v>#DIV/0!</v>
      </c>
      <c r="Q28" s="967">
        <f>SUM(Q29:Q45)</f>
        <v>240469</v>
      </c>
    </row>
    <row r="29" spans="1:19" s="393" customFormat="1" ht="12">
      <c r="A29" s="348" t="s">
        <v>14</v>
      </c>
      <c r="B29" s="365" t="s">
        <v>50</v>
      </c>
      <c r="C29" s="365"/>
      <c r="D29" s="365"/>
      <c r="E29" s="366">
        <v>27</v>
      </c>
      <c r="F29" s="363">
        <f t="shared" si="3"/>
        <v>105843</v>
      </c>
      <c r="G29" s="998">
        <v>105843</v>
      </c>
      <c r="H29" s="993"/>
      <c r="I29" s="352"/>
      <c r="J29" s="353"/>
      <c r="K29" s="352"/>
      <c r="L29" s="351"/>
      <c r="M29" s="354"/>
      <c r="N29" s="854"/>
      <c r="O29" s="440">
        <f t="shared" si="4"/>
        <v>0</v>
      </c>
      <c r="P29" s="375">
        <f>M29</f>
        <v>0</v>
      </c>
      <c r="Q29" s="970">
        <v>85179</v>
      </c>
      <c r="R29" s="984">
        <v>43299</v>
      </c>
      <c r="S29" s="547"/>
    </row>
    <row r="30" spans="1:19" s="393" customFormat="1" ht="12">
      <c r="A30" s="348"/>
      <c r="B30" s="364" t="s">
        <v>28</v>
      </c>
      <c r="C30" s="364"/>
      <c r="D30" s="364"/>
      <c r="E30" s="366">
        <v>28</v>
      </c>
      <c r="F30" s="363">
        <f t="shared" si="3"/>
        <v>7800</v>
      </c>
      <c r="G30" s="1002">
        <f>G16</f>
        <v>7800</v>
      </c>
      <c r="H30" s="994"/>
      <c r="I30" s="373"/>
      <c r="J30" s="374"/>
      <c r="K30" s="373"/>
      <c r="L30" s="372"/>
      <c r="M30" s="375"/>
      <c r="N30" s="451"/>
      <c r="O30" s="440">
        <f t="shared" si="4"/>
        <v>0</v>
      </c>
      <c r="P30" s="375">
        <f>M30</f>
        <v>0</v>
      </c>
      <c r="Q30" s="716">
        <f>Q16</f>
        <v>7704</v>
      </c>
      <c r="R30" s="547"/>
      <c r="S30" s="547"/>
    </row>
    <row r="31" spans="1:19" s="393" customFormat="1" ht="12">
      <c r="A31" s="348"/>
      <c r="B31" s="364" t="s">
        <v>30</v>
      </c>
      <c r="C31" s="364"/>
      <c r="D31" s="364"/>
      <c r="E31" s="366">
        <v>29</v>
      </c>
      <c r="F31" s="363">
        <f t="shared" si="3"/>
        <v>400</v>
      </c>
      <c r="G31" s="1002">
        <f>G17</f>
        <v>400</v>
      </c>
      <c r="H31" s="994"/>
      <c r="I31" s="373"/>
      <c r="J31" s="374"/>
      <c r="K31" s="373"/>
      <c r="L31" s="372"/>
      <c r="M31" s="375"/>
      <c r="N31" s="451"/>
      <c r="O31" s="440">
        <f t="shared" si="4"/>
        <v>0</v>
      </c>
      <c r="P31" s="375">
        <f>M31</f>
        <v>0</v>
      </c>
      <c r="Q31" s="716">
        <f>Q17</f>
        <v>406</v>
      </c>
      <c r="R31" s="547"/>
      <c r="S31" s="547"/>
    </row>
    <row r="32" spans="1:19" s="393" customFormat="1" ht="12">
      <c r="A32" s="348"/>
      <c r="B32" s="367" t="s">
        <v>32</v>
      </c>
      <c r="C32" s="368"/>
      <c r="D32" s="368"/>
      <c r="E32" s="369">
        <v>30</v>
      </c>
      <c r="F32" s="363">
        <f t="shared" si="3"/>
        <v>4854</v>
      </c>
      <c r="G32" s="1002">
        <f>G18</f>
        <v>4854</v>
      </c>
      <c r="H32" s="994"/>
      <c r="I32" s="373"/>
      <c r="J32" s="374"/>
      <c r="K32" s="373"/>
      <c r="L32" s="372"/>
      <c r="M32" s="375"/>
      <c r="N32" s="451"/>
      <c r="O32" s="440">
        <f t="shared" si="4"/>
        <v>0</v>
      </c>
      <c r="P32" s="375">
        <f>M32</f>
        <v>0</v>
      </c>
      <c r="Q32" s="716">
        <f>Q18</f>
        <v>21930</v>
      </c>
      <c r="R32" s="547"/>
      <c r="S32" s="547"/>
    </row>
    <row r="33" spans="1:19" s="393" customFormat="1" ht="12">
      <c r="A33" s="348"/>
      <c r="B33" s="367" t="s">
        <v>34</v>
      </c>
      <c r="C33" s="367"/>
      <c r="D33" s="367"/>
      <c r="E33" s="369">
        <v>31</v>
      </c>
      <c r="F33" s="363">
        <f t="shared" si="3"/>
        <v>92</v>
      </c>
      <c r="G33" s="1002">
        <f>G19</f>
        <v>92</v>
      </c>
      <c r="H33" s="994"/>
      <c r="I33" s="373"/>
      <c r="J33" s="374"/>
      <c r="K33" s="373"/>
      <c r="L33" s="372"/>
      <c r="M33" s="375"/>
      <c r="N33" s="451"/>
      <c r="O33" s="440">
        <f t="shared" si="4"/>
        <v>0</v>
      </c>
      <c r="P33" s="375">
        <f>M33</f>
        <v>0</v>
      </c>
      <c r="Q33" s="716">
        <f>Q19</f>
        <v>133</v>
      </c>
      <c r="R33" s="547"/>
      <c r="S33" s="547"/>
    </row>
    <row r="34" spans="1:19" s="393" customFormat="1" ht="12">
      <c r="A34" s="348"/>
      <c r="B34" s="367" t="s">
        <v>52</v>
      </c>
      <c r="C34" s="367"/>
      <c r="D34" s="367"/>
      <c r="E34" s="369">
        <v>32</v>
      </c>
      <c r="F34" s="363">
        <f t="shared" si="3"/>
        <v>0</v>
      </c>
      <c r="G34" s="1002"/>
      <c r="H34" s="994"/>
      <c r="I34" s="373"/>
      <c r="J34" s="374"/>
      <c r="K34" s="373"/>
      <c r="L34" s="372"/>
      <c r="M34" s="375"/>
      <c r="N34" s="451"/>
      <c r="O34" s="440">
        <f t="shared" si="4"/>
        <v>0</v>
      </c>
      <c r="P34" s="375">
        <f>F34</f>
        <v>0</v>
      </c>
      <c r="Q34" s="716"/>
      <c r="R34" s="547"/>
      <c r="S34" s="547"/>
    </row>
    <row r="35" spans="1:19" s="393" customFormat="1" ht="12">
      <c r="A35" s="348"/>
      <c r="B35" s="367" t="s">
        <v>36</v>
      </c>
      <c r="C35" s="367"/>
      <c r="D35" s="367"/>
      <c r="E35" s="369">
        <v>33</v>
      </c>
      <c r="F35" s="363">
        <f t="shared" si="3"/>
        <v>1843</v>
      </c>
      <c r="G35" s="1002">
        <f>G20</f>
        <v>1843</v>
      </c>
      <c r="H35" s="994"/>
      <c r="I35" s="373"/>
      <c r="J35" s="374"/>
      <c r="K35" s="373"/>
      <c r="L35" s="372"/>
      <c r="M35" s="375"/>
      <c r="N35" s="451"/>
      <c r="O35" s="440">
        <f t="shared" si="4"/>
        <v>0</v>
      </c>
      <c r="P35" s="375">
        <f>M35</f>
        <v>0</v>
      </c>
      <c r="Q35" s="716">
        <f>Q20</f>
        <v>484</v>
      </c>
      <c r="R35" s="547"/>
      <c r="S35" s="547"/>
    </row>
    <row r="36" spans="1:19" s="691" customFormat="1" ht="12">
      <c r="A36" s="680"/>
      <c r="B36" s="681" t="s">
        <v>175</v>
      </c>
      <c r="C36" s="681"/>
      <c r="D36" s="681"/>
      <c r="E36" s="682">
        <v>34</v>
      </c>
      <c r="F36" s="683">
        <f t="shared" si="3"/>
        <v>15000</v>
      </c>
      <c r="G36" s="1003">
        <f>G21</f>
        <v>15000</v>
      </c>
      <c r="H36" s="995"/>
      <c r="I36" s="711"/>
      <c r="J36" s="712"/>
      <c r="K36" s="711"/>
      <c r="L36" s="713"/>
      <c r="M36" s="714"/>
      <c r="N36" s="688"/>
      <c r="O36" s="715">
        <f t="shared" si="4"/>
        <v>0</v>
      </c>
      <c r="P36" s="714">
        <f>P21</f>
        <v>0</v>
      </c>
      <c r="Q36" s="716">
        <f>Q21</f>
        <v>11929</v>
      </c>
      <c r="R36" s="547"/>
      <c r="S36" s="547"/>
    </row>
    <row r="37" spans="1:19" s="393" customFormat="1" ht="12">
      <c r="A37" s="348"/>
      <c r="B37" s="367" t="s">
        <v>54</v>
      </c>
      <c r="C37" s="367"/>
      <c r="D37" s="367"/>
      <c r="E37" s="369">
        <v>35</v>
      </c>
      <c r="F37" s="363">
        <f t="shared" si="3"/>
        <v>1965</v>
      </c>
      <c r="G37" s="1002">
        <f>G22</f>
        <v>0</v>
      </c>
      <c r="H37" s="994"/>
      <c r="I37" s="373">
        <f>I22</f>
        <v>1965</v>
      </c>
      <c r="J37" s="374"/>
      <c r="K37" s="373"/>
      <c r="L37" s="372"/>
      <c r="M37" s="375"/>
      <c r="N37" s="451"/>
      <c r="O37" s="440">
        <f t="shared" si="4"/>
        <v>0</v>
      </c>
      <c r="P37" s="375">
        <f>N37</f>
        <v>0</v>
      </c>
      <c r="Q37" s="716">
        <v>5105</v>
      </c>
      <c r="R37" s="547"/>
      <c r="S37" s="547"/>
    </row>
    <row r="38" spans="1:19" s="393" customFormat="1" ht="12">
      <c r="A38" s="348"/>
      <c r="B38" s="367" t="s">
        <v>170</v>
      </c>
      <c r="C38" s="367"/>
      <c r="D38" s="367"/>
      <c r="E38" s="369">
        <v>36</v>
      </c>
      <c r="F38" s="363">
        <f t="shared" si="3"/>
        <v>22414</v>
      </c>
      <c r="G38" s="1002">
        <v>22414</v>
      </c>
      <c r="H38" s="994"/>
      <c r="I38" s="373"/>
      <c r="J38" s="374"/>
      <c r="K38" s="373"/>
      <c r="L38" s="372"/>
      <c r="M38" s="375"/>
      <c r="N38" s="451"/>
      <c r="O38" s="440">
        <f t="shared" si="4"/>
        <v>0</v>
      </c>
      <c r="P38" s="375">
        <f>M38</f>
        <v>0</v>
      </c>
      <c r="Q38" s="716">
        <v>9591</v>
      </c>
      <c r="R38" s="547"/>
      <c r="S38" s="547"/>
    </row>
    <row r="39" spans="1:19" s="393" customFormat="1" ht="12">
      <c r="A39" s="348"/>
      <c r="B39" s="367" t="s">
        <v>56</v>
      </c>
      <c r="C39" s="367"/>
      <c r="D39" s="367"/>
      <c r="E39" s="369">
        <v>37</v>
      </c>
      <c r="F39" s="363">
        <f t="shared" si="3"/>
        <v>4228</v>
      </c>
      <c r="G39" s="1002">
        <f>G23</f>
        <v>3978</v>
      </c>
      <c r="H39" s="994"/>
      <c r="I39" s="373">
        <f>I23</f>
        <v>250</v>
      </c>
      <c r="J39" s="374"/>
      <c r="K39" s="373"/>
      <c r="L39" s="372"/>
      <c r="M39" s="375"/>
      <c r="N39" s="451"/>
      <c r="O39" s="440">
        <f t="shared" si="4"/>
        <v>0</v>
      </c>
      <c r="P39" s="375">
        <f>M39</f>
        <v>0</v>
      </c>
      <c r="Q39" s="716">
        <f>Q23</f>
        <v>10654</v>
      </c>
      <c r="R39" s="547"/>
      <c r="S39" s="547"/>
    </row>
    <row r="40" spans="1:19" s="393" customFormat="1" ht="12">
      <c r="A40" s="348"/>
      <c r="B40" s="367" t="s">
        <v>57</v>
      </c>
      <c r="C40" s="367"/>
      <c r="D40" s="367"/>
      <c r="E40" s="369">
        <v>38</v>
      </c>
      <c r="F40" s="363">
        <f t="shared" si="3"/>
        <v>35191</v>
      </c>
      <c r="G40" s="1002">
        <f>G24</f>
        <v>34549</v>
      </c>
      <c r="H40" s="994"/>
      <c r="I40" s="373">
        <f>I24</f>
        <v>642</v>
      </c>
      <c r="J40" s="374"/>
      <c r="K40" s="373"/>
      <c r="L40" s="372"/>
      <c r="M40" s="375"/>
      <c r="N40" s="451"/>
      <c r="O40" s="440">
        <f t="shared" si="4"/>
        <v>0</v>
      </c>
      <c r="P40" s="375">
        <f>M40</f>
        <v>0</v>
      </c>
      <c r="Q40" s="716">
        <f>Q24</f>
        <v>33798</v>
      </c>
      <c r="R40" s="547"/>
      <c r="S40" s="547">
        <v>0</v>
      </c>
    </row>
    <row r="41" spans="1:19" s="691" customFormat="1" ht="12">
      <c r="A41" s="680"/>
      <c r="B41" s="681" t="s">
        <v>186</v>
      </c>
      <c r="C41" s="681"/>
      <c r="D41" s="681"/>
      <c r="E41" s="682">
        <v>39</v>
      </c>
      <c r="F41" s="683">
        <f t="shared" si="3"/>
        <v>749</v>
      </c>
      <c r="G41" s="1003">
        <f>G25</f>
        <v>0</v>
      </c>
      <c r="H41" s="995"/>
      <c r="I41" s="711">
        <f>I25</f>
        <v>749</v>
      </c>
      <c r="J41" s="712"/>
      <c r="K41" s="711"/>
      <c r="L41" s="713"/>
      <c r="M41" s="714"/>
      <c r="N41" s="722"/>
      <c r="O41" s="715">
        <f t="shared" si="4"/>
        <v>0</v>
      </c>
      <c r="P41" s="714">
        <f>F41</f>
        <v>749</v>
      </c>
      <c r="Q41" s="716">
        <f>Q25</f>
        <v>3137</v>
      </c>
      <c r="R41" s="547"/>
      <c r="S41" s="547"/>
    </row>
    <row r="42" spans="1:19" s="393" customFormat="1" ht="12">
      <c r="A42" s="348"/>
      <c r="B42" s="367" t="s">
        <v>58</v>
      </c>
      <c r="C42" s="367"/>
      <c r="D42" s="367"/>
      <c r="E42" s="369">
        <v>40</v>
      </c>
      <c r="F42" s="363">
        <f t="shared" si="3"/>
        <v>10965</v>
      </c>
      <c r="G42" s="1002">
        <f>G26</f>
        <v>10875</v>
      </c>
      <c r="H42" s="994"/>
      <c r="I42" s="373">
        <f>I26</f>
        <v>90</v>
      </c>
      <c r="J42" s="374"/>
      <c r="K42" s="373"/>
      <c r="L42" s="372"/>
      <c r="M42" s="375"/>
      <c r="N42" s="461"/>
      <c r="O42" s="440">
        <f t="shared" si="4"/>
        <v>0</v>
      </c>
      <c r="P42" s="375">
        <f>N42</f>
        <v>0</v>
      </c>
      <c r="Q42" s="716">
        <f>Q26</f>
        <v>12048</v>
      </c>
      <c r="R42" s="547"/>
      <c r="S42" s="547"/>
    </row>
    <row r="43" spans="1:19" s="393" customFormat="1" ht="12">
      <c r="A43" s="348"/>
      <c r="B43" s="367" t="s">
        <v>59</v>
      </c>
      <c r="C43" s="367"/>
      <c r="D43" s="367"/>
      <c r="E43" s="369">
        <v>41</v>
      </c>
      <c r="F43" s="363">
        <f t="shared" si="3"/>
        <v>24136</v>
      </c>
      <c r="G43" s="1002">
        <v>23956</v>
      </c>
      <c r="H43" s="994"/>
      <c r="I43" s="373">
        <v>180</v>
      </c>
      <c r="J43" s="374"/>
      <c r="K43" s="373"/>
      <c r="L43" s="372"/>
      <c r="M43" s="375"/>
      <c r="N43" s="461"/>
      <c r="O43" s="440">
        <f t="shared" si="4"/>
        <v>0</v>
      </c>
      <c r="P43" s="375" t="e">
        <f>(N43-N49)/titl!H17*12+N49</f>
        <v>#DIV/0!</v>
      </c>
      <c r="Q43" s="716">
        <v>30378</v>
      </c>
      <c r="R43" s="547"/>
      <c r="S43" s="547"/>
    </row>
    <row r="44" spans="1:19" s="393" customFormat="1" ht="12">
      <c r="A44" s="348"/>
      <c r="B44" s="367" t="s">
        <v>60</v>
      </c>
      <c r="C44" s="367"/>
      <c r="D44" s="367"/>
      <c r="E44" s="369">
        <v>42</v>
      </c>
      <c r="F44" s="363">
        <f t="shared" si="3"/>
        <v>4803</v>
      </c>
      <c r="G44" s="1004"/>
      <c r="H44" s="994">
        <f>H3</f>
        <v>3</v>
      </c>
      <c r="I44" s="617"/>
      <c r="J44" s="374"/>
      <c r="K44" s="373">
        <f>K3</f>
        <v>1800</v>
      </c>
      <c r="L44" s="372">
        <f>L3</f>
        <v>3000</v>
      </c>
      <c r="M44" s="375"/>
      <c r="N44" s="461"/>
      <c r="O44" s="440">
        <f t="shared" si="4"/>
        <v>0</v>
      </c>
      <c r="P44" s="375">
        <f>N44</f>
        <v>0</v>
      </c>
      <c r="Q44" s="716">
        <v>4369</v>
      </c>
      <c r="R44" s="547"/>
      <c r="S44" s="547">
        <f>0-S40</f>
        <v>0</v>
      </c>
    </row>
    <row r="45" spans="1:19" s="393" customFormat="1" ht="12.75" thickBot="1">
      <c r="A45" s="376"/>
      <c r="B45" s="377" t="s">
        <v>47</v>
      </c>
      <c r="C45" s="377"/>
      <c r="D45" s="377"/>
      <c r="E45" s="378">
        <v>43</v>
      </c>
      <c r="F45" s="382">
        <f t="shared" si="3"/>
        <v>1610</v>
      </c>
      <c r="G45" s="1005">
        <v>1610</v>
      </c>
      <c r="H45" s="996"/>
      <c r="I45" s="380"/>
      <c r="J45" s="381"/>
      <c r="K45" s="380"/>
      <c r="L45" s="379"/>
      <c r="M45" s="382"/>
      <c r="N45" s="462"/>
      <c r="O45" s="441">
        <f t="shared" si="4"/>
        <v>0</v>
      </c>
      <c r="P45" s="382" t="e">
        <f>N45/titl!$H$17*12</f>
        <v>#DIV/0!</v>
      </c>
      <c r="Q45" s="971">
        <v>3624</v>
      </c>
      <c r="R45" s="547"/>
      <c r="S45" s="547"/>
    </row>
    <row r="46" spans="1:19" s="393" customFormat="1" ht="12.75" hidden="1" thickBot="1">
      <c r="A46" s="383" t="s">
        <v>61</v>
      </c>
      <c r="B46" s="384"/>
      <c r="C46" s="384"/>
      <c r="D46" s="384"/>
      <c r="E46" s="366">
        <v>44</v>
      </c>
      <c r="F46" s="385">
        <f>F29+F34+F38+F43+F44+F45-F4-F27</f>
        <v>531</v>
      </c>
      <c r="G46" s="1006">
        <f>G29+G34+G38+G43+G45-G4-G27</f>
        <v>531</v>
      </c>
      <c r="H46" s="386">
        <f>H29+H34+H38+H43+H44+H45-H4-H27</f>
        <v>0</v>
      </c>
      <c r="I46" s="386">
        <f>I29+I34+I38+I43+I44+I45-I4-I27</f>
        <v>0</v>
      </c>
      <c r="J46" s="386">
        <f>J29+J34+J38+J43+J44+J45-J4-J27</f>
        <v>0</v>
      </c>
      <c r="K46" s="387"/>
      <c r="L46" s="386">
        <f>L29+L34+L38+L43+L44+L45-L4-L27</f>
        <v>0</v>
      </c>
      <c r="M46" s="385">
        <f>M29+M34+M38+M43+M44+M45+-M4-M27</f>
        <v>0</v>
      </c>
      <c r="N46" s="463">
        <f>N29+N34+N38+N43+N44+N45-N4-N27</f>
        <v>0</v>
      </c>
      <c r="O46" s="442"/>
      <c r="P46" s="385" t="e">
        <f>P29+P34+P38+P43+P44+P45-P4-P27</f>
        <v>#DIV/0!</v>
      </c>
      <c r="Q46" s="972">
        <f>Q29+Q34+Q38+Q43+Q44+Q45-Q4-Q27</f>
        <v>2195</v>
      </c>
      <c r="R46" s="547"/>
      <c r="S46" s="547"/>
    </row>
    <row r="47" spans="1:17" ht="13.5" thickBot="1">
      <c r="A47" s="370" t="s">
        <v>62</v>
      </c>
      <c r="B47" s="371"/>
      <c r="C47" s="371"/>
      <c r="D47" s="371"/>
      <c r="E47" s="343">
        <v>45</v>
      </c>
      <c r="F47" s="533">
        <f>F28-F3</f>
        <v>531</v>
      </c>
      <c r="G47" s="997">
        <f aca="true" t="shared" si="6" ref="G47:N47">G28-G3</f>
        <v>531</v>
      </c>
      <c r="H47" s="992">
        <f t="shared" si="6"/>
        <v>0</v>
      </c>
      <c r="I47" s="345">
        <f t="shared" si="6"/>
        <v>0</v>
      </c>
      <c r="J47" s="346">
        <f t="shared" si="6"/>
        <v>0</v>
      </c>
      <c r="K47" s="345">
        <f t="shared" si="6"/>
        <v>0</v>
      </c>
      <c r="L47" s="344">
        <f t="shared" si="6"/>
        <v>0</v>
      </c>
      <c r="M47" s="533">
        <f>M28-M3</f>
        <v>0</v>
      </c>
      <c r="N47" s="533">
        <f t="shared" si="6"/>
        <v>0</v>
      </c>
      <c r="O47" s="347"/>
      <c r="P47" s="347" t="e">
        <f>P28-P3</f>
        <v>#DIV/0!</v>
      </c>
      <c r="Q47" s="967">
        <f>Q28-Q3</f>
        <v>1933</v>
      </c>
    </row>
    <row r="48" spans="1:5" ht="12" customHeight="1">
      <c r="A48" s="395" t="s">
        <v>226</v>
      </c>
      <c r="B48" s="395"/>
      <c r="C48" s="395"/>
      <c r="D48" s="396"/>
      <c r="E48" s="397"/>
    </row>
    <row r="49" spans="1:14" ht="12" customHeight="1">
      <c r="A49" s="395"/>
      <c r="B49" s="395"/>
      <c r="C49" s="395"/>
      <c r="D49" s="395"/>
      <c r="E49" s="397"/>
      <c r="J49" s="1058"/>
      <c r="K49" s="1058"/>
      <c r="L49" s="1058"/>
      <c r="M49" s="240"/>
      <c r="N49" s="874"/>
    </row>
    <row r="50" spans="1:9" ht="12.75">
      <c r="A50" s="398" t="s">
        <v>90</v>
      </c>
      <c r="B50" s="395"/>
      <c r="C50" s="395"/>
      <c r="D50" s="395"/>
      <c r="E50" s="397"/>
      <c r="F50" s="535"/>
      <c r="I50" s="399">
        <v>3833</v>
      </c>
    </row>
    <row r="51" spans="1:5" ht="12.75">
      <c r="A51" s="398"/>
      <c r="B51" s="398"/>
      <c r="C51" s="398"/>
      <c r="D51" s="398"/>
      <c r="E51" s="397"/>
    </row>
    <row r="52" spans="1:5" ht="12.75">
      <c r="A52" s="398"/>
      <c r="B52" s="398"/>
      <c r="C52" s="398"/>
      <c r="D52" s="398"/>
      <c r="E52" s="397"/>
    </row>
    <row r="53" spans="1:5" ht="12.75">
      <c r="A53" s="398"/>
      <c r="C53" s="398"/>
      <c r="D53" s="398"/>
      <c r="E53" s="397"/>
    </row>
    <row r="54" spans="1:5" ht="12.75">
      <c r="A54" s="398"/>
      <c r="B54" s="398"/>
      <c r="C54" s="398"/>
      <c r="D54" s="398"/>
      <c r="E54" s="397"/>
    </row>
  </sheetData>
  <mergeCells count="6">
    <mergeCell ref="J49:L49"/>
    <mergeCell ref="R1:R2"/>
    <mergeCell ref="S1:S2"/>
    <mergeCell ref="A1:D1"/>
    <mergeCell ref="H1:L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54"/>
  <sheetViews>
    <sheetView workbookViewId="0" topLeftCell="A1">
      <pane ySplit="3" topLeftCell="BM8" activePane="bottomLeft" state="frozen"/>
      <selection pane="topLeft" activeCell="A34" sqref="A34"/>
      <selection pane="bottomLeft" activeCell="A34" sqref="A34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60" bestFit="1" customWidth="1"/>
    <col min="6" max="6" width="10.125" style="47" bestFit="1" customWidth="1"/>
    <col min="7" max="7" width="10.125" style="59" bestFit="1" customWidth="1"/>
    <col min="8" max="8" width="8.375" style="59" bestFit="1" customWidth="1"/>
    <col min="9" max="11" width="8.00390625" style="59" customWidth="1"/>
    <col min="12" max="12" width="8.125" style="59" customWidth="1"/>
    <col min="13" max="13" width="8.625" style="59" hidden="1" customWidth="1"/>
    <col min="14" max="14" width="9.625" style="59" hidden="1" customWidth="1" collapsed="1"/>
    <col min="15" max="15" width="8.625" style="401" hidden="1" customWidth="1"/>
    <col min="16" max="16" width="11.25390625" style="401" hidden="1" customWidth="1"/>
    <col min="17" max="17" width="10.125" style="255" customWidth="1" collapsed="1"/>
    <col min="18" max="18" width="7.25390625" style="255" customWidth="1"/>
    <col min="19" max="19" width="5.625" style="255" customWidth="1"/>
  </cols>
  <sheetData>
    <row r="1" spans="1:19" ht="15.75" customHeight="1">
      <c r="A1" s="1046" t="s">
        <v>236</v>
      </c>
      <c r="B1" s="1047"/>
      <c r="C1" s="1047"/>
      <c r="D1" s="1048"/>
      <c r="E1" s="1"/>
      <c r="F1" s="543" t="s">
        <v>0</v>
      </c>
      <c r="G1" s="606" t="s">
        <v>2</v>
      </c>
      <c r="H1" s="1050" t="s">
        <v>3</v>
      </c>
      <c r="I1" s="1050"/>
      <c r="J1" s="1050"/>
      <c r="K1" s="1050"/>
      <c r="L1" s="1051"/>
      <c r="M1" s="181" t="s">
        <v>1</v>
      </c>
      <c r="N1" s="538" t="s">
        <v>4</v>
      </c>
      <c r="O1" s="67" t="s">
        <v>144</v>
      </c>
      <c r="P1" s="67" t="s">
        <v>145</v>
      </c>
      <c r="Q1" s="947" t="s">
        <v>4</v>
      </c>
      <c r="R1" s="1056" t="s">
        <v>190</v>
      </c>
      <c r="S1" s="1057" t="s">
        <v>188</v>
      </c>
    </row>
    <row r="2" spans="1:19" s="16" customFormat="1" ht="13.5" thickBot="1">
      <c r="A2" s="298" t="s">
        <v>127</v>
      </c>
      <c r="B2" s="7"/>
      <c r="C2" s="1052" t="s">
        <v>79</v>
      </c>
      <c r="D2" s="1053"/>
      <c r="E2" s="9" t="s">
        <v>5</v>
      </c>
      <c r="F2" s="544">
        <v>2011</v>
      </c>
      <c r="G2" s="607" t="s">
        <v>8</v>
      </c>
      <c r="H2" s="69" t="s">
        <v>9</v>
      </c>
      <c r="I2" s="70" t="s">
        <v>10</v>
      </c>
      <c r="J2" s="303" t="s">
        <v>11</v>
      </c>
      <c r="K2" s="248" t="s">
        <v>126</v>
      </c>
      <c r="L2" s="68" t="s">
        <v>12</v>
      </c>
      <c r="M2" s="544" t="s">
        <v>7</v>
      </c>
      <c r="N2" s="539">
        <v>2011</v>
      </c>
      <c r="O2" s="71"/>
      <c r="P2" s="71"/>
      <c r="Q2" s="948">
        <v>2010</v>
      </c>
      <c r="R2" s="1056"/>
      <c r="S2" s="1057"/>
    </row>
    <row r="3" spans="1:17" ht="13.5" thickBot="1">
      <c r="A3" s="17" t="s">
        <v>13</v>
      </c>
      <c r="B3" s="18"/>
      <c r="C3" s="18"/>
      <c r="D3" s="18"/>
      <c r="E3" s="19">
        <v>1</v>
      </c>
      <c r="F3" s="197">
        <f>SUM(F5:F27)</f>
        <v>301504</v>
      </c>
      <c r="G3" s="597">
        <f aca="true" t="shared" si="0" ref="G3:N3">SUM(G5:G27)</f>
        <v>274203</v>
      </c>
      <c r="H3" s="125">
        <f t="shared" si="0"/>
        <v>21079</v>
      </c>
      <c r="I3" s="77">
        <f t="shared" si="0"/>
        <v>222</v>
      </c>
      <c r="J3" s="304">
        <f t="shared" si="0"/>
        <v>0</v>
      </c>
      <c r="K3" s="77">
        <f t="shared" si="0"/>
        <v>2000</v>
      </c>
      <c r="L3" s="76">
        <f t="shared" si="0"/>
        <v>4000</v>
      </c>
      <c r="M3" s="197">
        <f>SUM(M5:M27)</f>
        <v>0</v>
      </c>
      <c r="N3" s="471">
        <f t="shared" si="0"/>
        <v>0</v>
      </c>
      <c r="O3" s="413">
        <f aca="true" t="shared" si="1" ref="O3:O19">IF(F3=0,0,N3/F3)</f>
        <v>0</v>
      </c>
      <c r="P3" s="78" t="e">
        <f>SUM(P5:P27)</f>
        <v>#DIV/0!</v>
      </c>
      <c r="Q3" s="588">
        <f>SUM(Q5:Q27)</f>
        <v>310904</v>
      </c>
    </row>
    <row r="4" spans="1:19" s="25" customFormat="1" ht="12">
      <c r="A4" s="21" t="s">
        <v>14</v>
      </c>
      <c r="B4" s="22" t="s">
        <v>15</v>
      </c>
      <c r="C4" s="22"/>
      <c r="D4" s="22"/>
      <c r="E4" s="23">
        <v>2</v>
      </c>
      <c r="F4" s="198">
        <f aca="true" t="shared" si="2" ref="F4:N4">SUM(F5:F15)</f>
        <v>243710</v>
      </c>
      <c r="G4" s="594">
        <f t="shared" si="2"/>
        <v>216631</v>
      </c>
      <c r="H4" s="112">
        <f t="shared" si="2"/>
        <v>21079</v>
      </c>
      <c r="I4" s="81">
        <f t="shared" si="2"/>
        <v>0</v>
      </c>
      <c r="J4" s="305">
        <f t="shared" si="2"/>
        <v>0</v>
      </c>
      <c r="K4" s="81">
        <f t="shared" si="2"/>
        <v>2000</v>
      </c>
      <c r="L4" s="80">
        <f t="shared" si="2"/>
        <v>4000</v>
      </c>
      <c r="M4" s="198">
        <f>SUM(M5:M15)</f>
        <v>0</v>
      </c>
      <c r="N4" s="417">
        <f t="shared" si="2"/>
        <v>0</v>
      </c>
      <c r="O4" s="410">
        <f t="shared" si="1"/>
        <v>0</v>
      </c>
      <c r="P4" s="82" t="e">
        <f>SUM(P5:P15)</f>
        <v>#DIV/0!</v>
      </c>
      <c r="Q4" s="589">
        <f>SUM(Q5:Q15)</f>
        <v>253716</v>
      </c>
      <c r="R4" s="252"/>
      <c r="S4" s="252"/>
    </row>
    <row r="5" spans="1:19" s="65" customFormat="1" ht="12">
      <c r="A5" s="61"/>
      <c r="B5" s="62"/>
      <c r="C5" s="62" t="s">
        <v>16</v>
      </c>
      <c r="D5" s="63" t="s">
        <v>17</v>
      </c>
      <c r="E5" s="64">
        <v>3</v>
      </c>
      <c r="F5" s="199">
        <f>SUM(G5:L5)</f>
        <v>111510</v>
      </c>
      <c r="G5" s="609">
        <v>111510</v>
      </c>
      <c r="H5" s="84"/>
      <c r="I5" s="85"/>
      <c r="J5" s="306"/>
      <c r="K5" s="85"/>
      <c r="L5" s="86"/>
      <c r="M5" s="199"/>
      <c r="N5" s="418"/>
      <c r="O5" s="428">
        <f t="shared" si="1"/>
        <v>0</v>
      </c>
      <c r="P5" s="850">
        <f>N5</f>
        <v>0</v>
      </c>
      <c r="Q5" s="966">
        <v>119166</v>
      </c>
      <c r="R5" s="546"/>
      <c r="S5" s="546"/>
    </row>
    <row r="6" spans="1:19" s="65" customFormat="1" ht="12">
      <c r="A6" s="61"/>
      <c r="B6" s="62"/>
      <c r="C6" s="62"/>
      <c r="D6" s="63" t="s">
        <v>18</v>
      </c>
      <c r="E6" s="64">
        <v>4</v>
      </c>
      <c r="F6" s="199">
        <f aca="true" t="shared" si="3" ref="F6:F45">SUM(G6:L6)</f>
        <v>6000</v>
      </c>
      <c r="G6" s="609">
        <v>6000</v>
      </c>
      <c r="H6" s="84"/>
      <c r="I6" s="85"/>
      <c r="J6" s="306"/>
      <c r="K6" s="85"/>
      <c r="L6" s="86"/>
      <c r="M6" s="199"/>
      <c r="N6" s="418"/>
      <c r="O6" s="428">
        <f t="shared" si="1"/>
        <v>0</v>
      </c>
      <c r="P6" s="850">
        <f>N6</f>
        <v>0</v>
      </c>
      <c r="Q6" s="966">
        <v>5454</v>
      </c>
      <c r="R6" s="546"/>
      <c r="S6" s="546"/>
    </row>
    <row r="7" spans="1:19" s="65" customFormat="1" ht="12">
      <c r="A7" s="61"/>
      <c r="B7" s="62"/>
      <c r="C7" s="62"/>
      <c r="D7" s="63" t="s">
        <v>19</v>
      </c>
      <c r="E7" s="64">
        <v>5</v>
      </c>
      <c r="F7" s="199">
        <f t="shared" si="3"/>
        <v>40239</v>
      </c>
      <c r="G7" s="609">
        <v>40239</v>
      </c>
      <c r="H7" s="84"/>
      <c r="I7" s="85"/>
      <c r="J7" s="306"/>
      <c r="K7" s="85"/>
      <c r="L7" s="86"/>
      <c r="M7" s="199"/>
      <c r="N7" s="418"/>
      <c r="O7" s="428">
        <f t="shared" si="1"/>
        <v>0</v>
      </c>
      <c r="P7" s="850">
        <f>N7</f>
        <v>0</v>
      </c>
      <c r="Q7" s="966">
        <v>42744</v>
      </c>
      <c r="R7" s="546"/>
      <c r="S7" s="546"/>
    </row>
    <row r="8" spans="1:19" s="65" customFormat="1" ht="12">
      <c r="A8" s="61"/>
      <c r="B8" s="62"/>
      <c r="C8" s="62"/>
      <c r="D8" s="63" t="s">
        <v>20</v>
      </c>
      <c r="E8" s="64">
        <v>6</v>
      </c>
      <c r="F8" s="199">
        <f t="shared" si="3"/>
        <v>6000</v>
      </c>
      <c r="G8" s="609"/>
      <c r="H8" s="84">
        <v>6000</v>
      </c>
      <c r="I8" s="85"/>
      <c r="J8" s="306"/>
      <c r="K8" s="85"/>
      <c r="L8" s="86"/>
      <c r="M8" s="199"/>
      <c r="N8" s="418"/>
      <c r="O8" s="428">
        <f t="shared" si="1"/>
        <v>0</v>
      </c>
      <c r="P8" s="87" t="e">
        <f>N8/titl!$H$17*12</f>
        <v>#DIV/0!</v>
      </c>
      <c r="Q8" s="966">
        <v>5331</v>
      </c>
      <c r="R8" s="546"/>
      <c r="S8" s="546"/>
    </row>
    <row r="9" spans="1:19" s="65" customFormat="1" ht="12">
      <c r="A9" s="61"/>
      <c r="B9" s="62"/>
      <c r="C9" s="62"/>
      <c r="D9" s="63" t="s">
        <v>21</v>
      </c>
      <c r="E9" s="64">
        <v>7</v>
      </c>
      <c r="F9" s="199">
        <f t="shared" si="3"/>
        <v>2000</v>
      </c>
      <c r="G9" s="609">
        <v>2000</v>
      </c>
      <c r="H9" s="84"/>
      <c r="I9" s="85"/>
      <c r="J9" s="306"/>
      <c r="K9" s="85"/>
      <c r="L9" s="86"/>
      <c r="M9" s="199"/>
      <c r="N9" s="418"/>
      <c r="O9" s="428">
        <f t="shared" si="1"/>
        <v>0</v>
      </c>
      <c r="P9" s="87" t="e">
        <f>N9/titl!$H$17*12</f>
        <v>#DIV/0!</v>
      </c>
      <c r="Q9" s="966">
        <v>3736</v>
      </c>
      <c r="R9" s="546"/>
      <c r="S9" s="546"/>
    </row>
    <row r="10" spans="1:19" s="65" customFormat="1" ht="12">
      <c r="A10" s="61"/>
      <c r="B10" s="62"/>
      <c r="C10" s="62"/>
      <c r="D10" s="63" t="s">
        <v>22</v>
      </c>
      <c r="E10" s="64">
        <v>8</v>
      </c>
      <c r="F10" s="199">
        <f t="shared" si="3"/>
        <v>12000</v>
      </c>
      <c r="G10" s="609">
        <v>12000</v>
      </c>
      <c r="H10" s="84"/>
      <c r="I10" s="85"/>
      <c r="J10" s="306"/>
      <c r="K10" s="85"/>
      <c r="L10" s="86"/>
      <c r="M10" s="199"/>
      <c r="N10" s="418"/>
      <c r="O10" s="428">
        <f t="shared" si="1"/>
        <v>0</v>
      </c>
      <c r="P10" s="87" t="e">
        <f>N10/titl!$H$17*12</f>
        <v>#DIV/0!</v>
      </c>
      <c r="Q10" s="966">
        <v>15742</v>
      </c>
      <c r="R10" s="546"/>
      <c r="S10" s="546"/>
    </row>
    <row r="11" spans="1:19" s="65" customFormat="1" ht="12">
      <c r="A11" s="61"/>
      <c r="B11" s="62"/>
      <c r="C11" s="62"/>
      <c r="D11" s="63" t="s">
        <v>23</v>
      </c>
      <c r="E11" s="64">
        <v>9</v>
      </c>
      <c r="F11" s="199">
        <f t="shared" si="3"/>
        <v>23451</v>
      </c>
      <c r="G11" s="609">
        <v>12000</v>
      </c>
      <c r="H11" s="84">
        <v>11451</v>
      </c>
      <c r="I11" s="85"/>
      <c r="J11" s="306"/>
      <c r="K11" s="85"/>
      <c r="L11" s="86"/>
      <c r="M11" s="199"/>
      <c r="N11" s="418"/>
      <c r="O11" s="428">
        <f t="shared" si="1"/>
        <v>0</v>
      </c>
      <c r="P11" s="87" t="e">
        <f>N11/titl!$H$17*12</f>
        <v>#DIV/0!</v>
      </c>
      <c r="Q11" s="966">
        <v>16645</v>
      </c>
      <c r="R11" s="546"/>
      <c r="S11" s="546"/>
    </row>
    <row r="12" spans="1:19" s="65" customFormat="1" ht="12">
      <c r="A12" s="61"/>
      <c r="B12" s="62"/>
      <c r="C12" s="62"/>
      <c r="D12" s="63" t="s">
        <v>24</v>
      </c>
      <c r="E12" s="64">
        <v>10</v>
      </c>
      <c r="F12" s="199">
        <f t="shared" si="3"/>
        <v>2000</v>
      </c>
      <c r="G12" s="609">
        <v>2000</v>
      </c>
      <c r="H12" s="84"/>
      <c r="I12" s="85"/>
      <c r="J12" s="306"/>
      <c r="K12" s="85"/>
      <c r="L12" s="86"/>
      <c r="M12" s="199"/>
      <c r="N12" s="418"/>
      <c r="O12" s="428">
        <f t="shared" si="1"/>
        <v>0</v>
      </c>
      <c r="P12" s="87" t="e">
        <f>N12/titl!$H$17*12</f>
        <v>#DIV/0!</v>
      </c>
      <c r="Q12" s="966">
        <v>2159</v>
      </c>
      <c r="R12" s="546"/>
      <c r="S12" s="546"/>
    </row>
    <row r="13" spans="1:19" s="65" customFormat="1" ht="12">
      <c r="A13" s="61"/>
      <c r="B13" s="62"/>
      <c r="C13" s="62"/>
      <c r="D13" s="63" t="s">
        <v>25</v>
      </c>
      <c r="E13" s="64">
        <v>11</v>
      </c>
      <c r="F13" s="199">
        <f t="shared" si="3"/>
        <v>8500</v>
      </c>
      <c r="G13" s="609">
        <v>8500</v>
      </c>
      <c r="H13" s="84"/>
      <c r="I13" s="85"/>
      <c r="J13" s="306"/>
      <c r="K13" s="85"/>
      <c r="L13" s="86"/>
      <c r="M13" s="199"/>
      <c r="N13" s="418"/>
      <c r="O13" s="428">
        <f t="shared" si="1"/>
        <v>0</v>
      </c>
      <c r="P13" s="850">
        <f>N13</f>
        <v>0</v>
      </c>
      <c r="Q13" s="966">
        <v>8675</v>
      </c>
      <c r="R13" s="546"/>
      <c r="S13" s="546"/>
    </row>
    <row r="14" spans="1:19" s="65" customFormat="1" ht="12">
      <c r="A14" s="61"/>
      <c r="B14" s="62"/>
      <c r="C14" s="62"/>
      <c r="D14" s="63" t="s">
        <v>26</v>
      </c>
      <c r="E14" s="64">
        <v>12</v>
      </c>
      <c r="F14" s="199">
        <f t="shared" si="3"/>
        <v>7000</v>
      </c>
      <c r="G14" s="609">
        <v>3000</v>
      </c>
      <c r="H14" s="84"/>
      <c r="I14" s="85"/>
      <c r="J14" s="306"/>
      <c r="K14" s="242"/>
      <c r="L14" s="262">
        <v>4000</v>
      </c>
      <c r="M14" s="199"/>
      <c r="N14" s="418"/>
      <c r="O14" s="428">
        <f t="shared" si="1"/>
        <v>0</v>
      </c>
      <c r="P14" s="87" t="e">
        <f>N14/titl!$H$17*12</f>
        <v>#DIV/0!</v>
      </c>
      <c r="Q14" s="966">
        <v>9184</v>
      </c>
      <c r="R14" s="546"/>
      <c r="S14" s="546"/>
    </row>
    <row r="15" spans="1:19" s="65" customFormat="1" ht="12">
      <c r="A15" s="61"/>
      <c r="B15" s="62"/>
      <c r="C15" s="63"/>
      <c r="D15" s="63" t="s">
        <v>27</v>
      </c>
      <c r="E15" s="64">
        <v>13</v>
      </c>
      <c r="F15" s="536">
        <f t="shared" si="3"/>
        <v>25010</v>
      </c>
      <c r="G15" s="610">
        <f>19112+270</f>
        <v>19382</v>
      </c>
      <c r="H15" s="241">
        <v>3628</v>
      </c>
      <c r="I15" s="242"/>
      <c r="J15" s="306"/>
      <c r="K15" s="242">
        <v>2000</v>
      </c>
      <c r="L15" s="262"/>
      <c r="M15" s="536"/>
      <c r="N15" s="418"/>
      <c r="O15" s="428">
        <f t="shared" si="1"/>
        <v>0</v>
      </c>
      <c r="P15" s="87" t="e">
        <f>N15/titl!$H$17*12</f>
        <v>#DIV/0!</v>
      </c>
      <c r="Q15" s="966">
        <v>24880</v>
      </c>
      <c r="R15" s="546"/>
      <c r="S15" s="546"/>
    </row>
    <row r="16" spans="1:19" s="25" customFormat="1" ht="12">
      <c r="A16" s="21"/>
      <c r="B16" s="30" t="s">
        <v>28</v>
      </c>
      <c r="C16" s="27"/>
      <c r="D16" s="27"/>
      <c r="E16" s="28">
        <v>14</v>
      </c>
      <c r="F16" s="531">
        <f t="shared" si="3"/>
        <v>8000</v>
      </c>
      <c r="G16" s="611">
        <v>8000</v>
      </c>
      <c r="H16" s="328"/>
      <c r="I16" s="160"/>
      <c r="J16" s="307"/>
      <c r="K16" s="90"/>
      <c r="L16" s="91"/>
      <c r="M16" s="531">
        <f>M30</f>
        <v>0</v>
      </c>
      <c r="N16" s="419"/>
      <c r="O16" s="412">
        <f t="shared" si="1"/>
        <v>0</v>
      </c>
      <c r="P16" s="92">
        <f>P30</f>
        <v>0</v>
      </c>
      <c r="Q16" s="677">
        <v>7797</v>
      </c>
      <c r="R16" s="252"/>
      <c r="S16" s="252"/>
    </row>
    <row r="17" spans="1:19" s="25" customFormat="1" ht="12">
      <c r="A17" s="21"/>
      <c r="B17" s="30" t="s">
        <v>30</v>
      </c>
      <c r="C17" s="27"/>
      <c r="D17" s="27"/>
      <c r="E17" s="28">
        <v>15</v>
      </c>
      <c r="F17" s="531">
        <f t="shared" si="3"/>
        <v>350</v>
      </c>
      <c r="G17" s="611">
        <v>350</v>
      </c>
      <c r="H17" s="328"/>
      <c r="I17" s="160"/>
      <c r="J17" s="307"/>
      <c r="K17" s="90"/>
      <c r="L17" s="91"/>
      <c r="M17" s="531">
        <f>M31</f>
        <v>0</v>
      </c>
      <c r="N17" s="419"/>
      <c r="O17" s="412">
        <f t="shared" si="1"/>
        <v>0</v>
      </c>
      <c r="P17" s="92">
        <f>P31</f>
        <v>0</v>
      </c>
      <c r="Q17" s="677">
        <v>380</v>
      </c>
      <c r="R17" s="252"/>
      <c r="S17" s="252"/>
    </row>
    <row r="18" spans="1:19" s="25" customFormat="1" ht="12">
      <c r="A18" s="21"/>
      <c r="B18" s="31" t="s">
        <v>32</v>
      </c>
      <c r="C18" s="32"/>
      <c r="D18" s="32"/>
      <c r="E18" s="33">
        <v>16</v>
      </c>
      <c r="F18" s="531">
        <f t="shared" si="3"/>
        <v>500</v>
      </c>
      <c r="G18" s="611">
        <v>500</v>
      </c>
      <c r="H18" s="328"/>
      <c r="I18" s="160"/>
      <c r="J18" s="307"/>
      <c r="K18" s="90"/>
      <c r="L18" s="91"/>
      <c r="M18" s="531">
        <f>M32</f>
        <v>0</v>
      </c>
      <c r="N18" s="419"/>
      <c r="O18" s="412">
        <f t="shared" si="1"/>
        <v>0</v>
      </c>
      <c r="P18" s="92">
        <f>P32</f>
        <v>0</v>
      </c>
      <c r="Q18" s="677">
        <v>2031</v>
      </c>
      <c r="R18" s="252"/>
      <c r="S18" s="252"/>
    </row>
    <row r="19" spans="1:19" s="25" customFormat="1" ht="12">
      <c r="A19" s="21"/>
      <c r="B19" s="31" t="s">
        <v>34</v>
      </c>
      <c r="C19" s="32"/>
      <c r="D19" s="32"/>
      <c r="E19" s="33">
        <v>17</v>
      </c>
      <c r="F19" s="531">
        <f t="shared" si="3"/>
        <v>1213</v>
      </c>
      <c r="G19" s="611">
        <v>1213</v>
      </c>
      <c r="H19" s="328"/>
      <c r="I19" s="160"/>
      <c r="J19" s="307"/>
      <c r="K19" s="90"/>
      <c r="L19" s="91"/>
      <c r="M19" s="531">
        <f>M33</f>
        <v>0</v>
      </c>
      <c r="N19" s="419"/>
      <c r="O19" s="412">
        <f t="shared" si="1"/>
        <v>0</v>
      </c>
      <c r="P19" s="92">
        <f>P33</f>
        <v>0</v>
      </c>
      <c r="Q19" s="677">
        <v>724</v>
      </c>
      <c r="R19" s="252"/>
      <c r="S19" s="252"/>
    </row>
    <row r="20" spans="1:19" s="25" customFormat="1" ht="12">
      <c r="A20" s="21"/>
      <c r="B20" s="31" t="s">
        <v>36</v>
      </c>
      <c r="C20" s="31"/>
      <c r="D20" s="31"/>
      <c r="E20" s="33">
        <v>18</v>
      </c>
      <c r="F20" s="531">
        <f t="shared" si="3"/>
        <v>3000</v>
      </c>
      <c r="G20" s="611">
        <v>3000</v>
      </c>
      <c r="H20" s="328"/>
      <c r="I20" s="160"/>
      <c r="J20" s="307"/>
      <c r="K20" s="90"/>
      <c r="L20" s="91"/>
      <c r="M20" s="531"/>
      <c r="N20" s="419"/>
      <c r="O20" s="412">
        <f aca="true" t="shared" si="4" ref="O20:O45">IF(F20=0,0,N20/F20)</f>
        <v>0</v>
      </c>
      <c r="P20" s="92">
        <f>P35</f>
        <v>3000</v>
      </c>
      <c r="Q20" s="677">
        <v>5727</v>
      </c>
      <c r="R20" s="252"/>
      <c r="S20" s="252"/>
    </row>
    <row r="21" spans="1:19" s="640" customFormat="1" ht="12">
      <c r="A21" s="628"/>
      <c r="B21" s="629" t="s">
        <v>175</v>
      </c>
      <c r="C21" s="629"/>
      <c r="D21" s="629"/>
      <c r="E21" s="630">
        <v>19</v>
      </c>
      <c r="F21" s="639">
        <f t="shared" si="3"/>
        <v>17000</v>
      </c>
      <c r="G21" s="989">
        <v>17000</v>
      </c>
      <c r="H21" s="678"/>
      <c r="I21" s="679"/>
      <c r="J21" s="673"/>
      <c r="K21" s="665"/>
      <c r="L21" s="674"/>
      <c r="M21" s="639"/>
      <c r="N21" s="675"/>
      <c r="O21" s="676">
        <f t="shared" si="4"/>
        <v>0</v>
      </c>
      <c r="P21" s="591">
        <f>N21</f>
        <v>0</v>
      </c>
      <c r="Q21" s="677">
        <v>8863</v>
      </c>
      <c r="R21" s="252"/>
      <c r="S21" s="252"/>
    </row>
    <row r="22" spans="1:19" s="25" customFormat="1" ht="12">
      <c r="A22" s="21"/>
      <c r="B22" s="31" t="s">
        <v>40</v>
      </c>
      <c r="C22" s="31"/>
      <c r="D22" s="31"/>
      <c r="E22" s="33">
        <v>20</v>
      </c>
      <c r="F22" s="531">
        <f t="shared" si="3"/>
        <v>500</v>
      </c>
      <c r="G22" s="611">
        <v>500</v>
      </c>
      <c r="H22" s="328"/>
      <c r="I22" s="160"/>
      <c r="J22" s="307"/>
      <c r="K22" s="90"/>
      <c r="L22" s="91"/>
      <c r="M22" s="531"/>
      <c r="N22" s="419"/>
      <c r="O22" s="412">
        <f t="shared" si="4"/>
        <v>0</v>
      </c>
      <c r="P22" s="92">
        <f>P37</f>
        <v>0</v>
      </c>
      <c r="Q22" s="677">
        <v>651</v>
      </c>
      <c r="R22" s="252"/>
      <c r="S22" s="252"/>
    </row>
    <row r="23" spans="1:19" s="25" customFormat="1" ht="12">
      <c r="A23" s="21"/>
      <c r="B23" s="31" t="s">
        <v>42</v>
      </c>
      <c r="C23" s="31"/>
      <c r="D23" s="31"/>
      <c r="E23" s="33">
        <v>21</v>
      </c>
      <c r="F23" s="531">
        <f t="shared" si="3"/>
        <v>15274</v>
      </c>
      <c r="G23" s="611">
        <v>15202</v>
      </c>
      <c r="H23" s="328"/>
      <c r="I23" s="160">
        <v>72</v>
      </c>
      <c r="J23" s="307"/>
      <c r="K23" s="90"/>
      <c r="L23" s="91"/>
      <c r="M23" s="531">
        <f>M39</f>
        <v>0</v>
      </c>
      <c r="N23" s="419"/>
      <c r="O23" s="412">
        <f t="shared" si="4"/>
        <v>0</v>
      </c>
      <c r="P23" s="92">
        <f>P39</f>
        <v>0</v>
      </c>
      <c r="Q23" s="677">
        <v>18187</v>
      </c>
      <c r="R23" s="252"/>
      <c r="S23" s="252"/>
    </row>
    <row r="24" spans="1:19" s="25" customFormat="1" ht="12">
      <c r="A24" s="21"/>
      <c r="B24" s="31" t="s">
        <v>43</v>
      </c>
      <c r="C24" s="31"/>
      <c r="D24" s="31"/>
      <c r="E24" s="33">
        <v>22</v>
      </c>
      <c r="F24" s="531">
        <f t="shared" si="3"/>
        <v>9157</v>
      </c>
      <c r="G24" s="611">
        <v>9007</v>
      </c>
      <c r="H24" s="328"/>
      <c r="I24" s="160">
        <v>150</v>
      </c>
      <c r="J24" s="307"/>
      <c r="K24" s="90"/>
      <c r="L24" s="91"/>
      <c r="M24" s="531">
        <f>M40</f>
        <v>0</v>
      </c>
      <c r="N24" s="419"/>
      <c r="O24" s="412">
        <f t="shared" si="4"/>
        <v>0</v>
      </c>
      <c r="P24" s="92">
        <f>P40</f>
        <v>0</v>
      </c>
      <c r="Q24" s="677">
        <v>11185</v>
      </c>
      <c r="R24" s="252"/>
      <c r="S24" s="252"/>
    </row>
    <row r="25" spans="1:19" s="640" customFormat="1" ht="12">
      <c r="A25" s="628"/>
      <c r="B25" s="629" t="s">
        <v>186</v>
      </c>
      <c r="C25" s="629"/>
      <c r="D25" s="629"/>
      <c r="E25" s="630">
        <v>23</v>
      </c>
      <c r="F25" s="631">
        <f t="shared" si="3"/>
        <v>2000</v>
      </c>
      <c r="G25" s="986">
        <v>2000</v>
      </c>
      <c r="H25" s="672"/>
      <c r="I25" s="665"/>
      <c r="J25" s="673"/>
      <c r="K25" s="665"/>
      <c r="L25" s="674"/>
      <c r="M25" s="631"/>
      <c r="N25" s="675"/>
      <c r="O25" s="676">
        <f t="shared" si="4"/>
        <v>0</v>
      </c>
      <c r="P25" s="591">
        <f>P41</f>
        <v>2000</v>
      </c>
      <c r="Q25" s="677">
        <v>35</v>
      </c>
      <c r="R25" s="252"/>
      <c r="S25" s="252"/>
    </row>
    <row r="26" spans="1:19" s="25" customFormat="1" ht="12">
      <c r="A26" s="21"/>
      <c r="B26" s="31" t="s">
        <v>45</v>
      </c>
      <c r="C26" s="31"/>
      <c r="D26" s="31"/>
      <c r="E26" s="33">
        <v>24</v>
      </c>
      <c r="F26" s="119">
        <f t="shared" si="3"/>
        <v>0</v>
      </c>
      <c r="G26" s="596"/>
      <c r="H26" s="89"/>
      <c r="I26" s="90"/>
      <c r="J26" s="307"/>
      <c r="K26" s="90"/>
      <c r="L26" s="91"/>
      <c r="M26" s="119"/>
      <c r="N26" s="419"/>
      <c r="O26" s="412">
        <f t="shared" si="4"/>
        <v>0</v>
      </c>
      <c r="P26" s="92">
        <f>P42</f>
        <v>0</v>
      </c>
      <c r="Q26" s="677">
        <v>352</v>
      </c>
      <c r="R26" s="252"/>
      <c r="S26" s="252"/>
    </row>
    <row r="27" spans="1:19" s="25" customFormat="1" ht="12.75" thickBot="1">
      <c r="A27" s="21"/>
      <c r="B27" s="30" t="s">
        <v>47</v>
      </c>
      <c r="C27" s="30"/>
      <c r="D27" s="30"/>
      <c r="E27" s="28">
        <v>25</v>
      </c>
      <c r="F27" s="119">
        <f t="shared" si="3"/>
        <v>800</v>
      </c>
      <c r="G27" s="596">
        <v>800</v>
      </c>
      <c r="H27" s="89"/>
      <c r="I27" s="90"/>
      <c r="J27" s="307"/>
      <c r="K27" s="90"/>
      <c r="L27" s="91"/>
      <c r="M27" s="119"/>
      <c r="N27" s="419"/>
      <c r="O27" s="412">
        <f t="shared" si="4"/>
        <v>0</v>
      </c>
      <c r="P27" s="100" t="e">
        <f>N27/titl!$H$17*12</f>
        <v>#DIV/0!</v>
      </c>
      <c r="Q27" s="677">
        <v>1256</v>
      </c>
      <c r="R27" s="252"/>
      <c r="S27" s="252"/>
    </row>
    <row r="28" spans="1:17" ht="13.5" thickBot="1">
      <c r="A28" s="37" t="s">
        <v>49</v>
      </c>
      <c r="B28" s="38"/>
      <c r="C28" s="38"/>
      <c r="D28" s="38"/>
      <c r="E28" s="19">
        <v>26</v>
      </c>
      <c r="F28" s="197">
        <f>SUM(F29:F45)</f>
        <v>303504</v>
      </c>
      <c r="G28" s="597">
        <f aca="true" t="shared" si="5" ref="G28:N28">SUM(G29:G45)</f>
        <v>276203</v>
      </c>
      <c r="H28" s="125">
        <f t="shared" si="5"/>
        <v>21079</v>
      </c>
      <c r="I28" s="77">
        <f t="shared" si="5"/>
        <v>222</v>
      </c>
      <c r="J28" s="304">
        <f t="shared" si="5"/>
        <v>0</v>
      </c>
      <c r="K28" s="77">
        <f t="shared" si="5"/>
        <v>2000</v>
      </c>
      <c r="L28" s="76">
        <f t="shared" si="5"/>
        <v>4000</v>
      </c>
      <c r="M28" s="197">
        <f>SUM(M29:M45)</f>
        <v>0</v>
      </c>
      <c r="N28" s="471">
        <f t="shared" si="5"/>
        <v>0</v>
      </c>
      <c r="O28" s="413">
        <f t="shared" si="4"/>
        <v>0</v>
      </c>
      <c r="P28" s="78" t="e">
        <f>SUM(P29:P45)</f>
        <v>#DIV/0!</v>
      </c>
      <c r="Q28" s="588">
        <f>SUM(Q29:Q45)</f>
        <v>313579</v>
      </c>
    </row>
    <row r="29" spans="1:19" s="25" customFormat="1" ht="12">
      <c r="A29" s="21" t="s">
        <v>14</v>
      </c>
      <c r="B29" s="27" t="s">
        <v>50</v>
      </c>
      <c r="C29" s="27"/>
      <c r="D29" s="27"/>
      <c r="E29" s="28">
        <v>27</v>
      </c>
      <c r="F29" s="119">
        <f t="shared" si="3"/>
        <v>177490</v>
      </c>
      <c r="G29" s="1007">
        <v>177490</v>
      </c>
      <c r="H29" s="112"/>
      <c r="I29" s="81"/>
      <c r="J29" s="305"/>
      <c r="K29" s="81"/>
      <c r="L29" s="80"/>
      <c r="M29" s="198"/>
      <c r="N29" s="855"/>
      <c r="O29" s="412">
        <f t="shared" si="4"/>
        <v>0</v>
      </c>
      <c r="P29" s="92">
        <f>M29</f>
        <v>0</v>
      </c>
      <c r="Q29" s="964">
        <v>201238</v>
      </c>
      <c r="R29" s="252">
        <v>5462</v>
      </c>
      <c r="S29" s="252"/>
    </row>
    <row r="30" spans="1:19" s="25" customFormat="1" ht="12">
      <c r="A30" s="21"/>
      <c r="B30" s="30" t="s">
        <v>28</v>
      </c>
      <c r="C30" s="30"/>
      <c r="D30" s="30"/>
      <c r="E30" s="28">
        <v>28</v>
      </c>
      <c r="F30" s="119">
        <f t="shared" si="3"/>
        <v>8000</v>
      </c>
      <c r="G30" s="499">
        <f>G16</f>
        <v>8000</v>
      </c>
      <c r="H30" s="126"/>
      <c r="I30" s="95"/>
      <c r="J30" s="308"/>
      <c r="K30" s="95"/>
      <c r="L30" s="94"/>
      <c r="M30" s="472"/>
      <c r="N30" s="420"/>
      <c r="O30" s="412">
        <f t="shared" si="4"/>
        <v>0</v>
      </c>
      <c r="P30" s="92">
        <f>M30</f>
        <v>0</v>
      </c>
      <c r="Q30" s="710">
        <f>Q16</f>
        <v>7797</v>
      </c>
      <c r="R30" s="252"/>
      <c r="S30" s="252"/>
    </row>
    <row r="31" spans="1:19" s="25" customFormat="1" ht="12">
      <c r="A31" s="21"/>
      <c r="B31" s="30" t="s">
        <v>30</v>
      </c>
      <c r="C31" s="30"/>
      <c r="D31" s="30"/>
      <c r="E31" s="28">
        <v>29</v>
      </c>
      <c r="F31" s="119">
        <f t="shared" si="3"/>
        <v>350</v>
      </c>
      <c r="G31" s="499">
        <f>G17</f>
        <v>350</v>
      </c>
      <c r="H31" s="126"/>
      <c r="I31" s="95"/>
      <c r="J31" s="308"/>
      <c r="K31" s="95"/>
      <c r="L31" s="94"/>
      <c r="M31" s="472"/>
      <c r="N31" s="420"/>
      <c r="O31" s="412">
        <f t="shared" si="4"/>
        <v>0</v>
      </c>
      <c r="P31" s="92">
        <f>M31</f>
        <v>0</v>
      </c>
      <c r="Q31" s="710">
        <f>Q17</f>
        <v>380</v>
      </c>
      <c r="R31" s="252"/>
      <c r="S31" s="252"/>
    </row>
    <row r="32" spans="1:19" s="25" customFormat="1" ht="12">
      <c r="A32" s="21"/>
      <c r="B32" s="31" t="s">
        <v>32</v>
      </c>
      <c r="C32" s="32"/>
      <c r="D32" s="32"/>
      <c r="E32" s="33">
        <v>30</v>
      </c>
      <c r="F32" s="119">
        <f t="shared" si="3"/>
        <v>500</v>
      </c>
      <c r="G32" s="499">
        <f>G18</f>
        <v>500</v>
      </c>
      <c r="H32" s="126"/>
      <c r="I32" s="95"/>
      <c r="J32" s="308"/>
      <c r="K32" s="95"/>
      <c r="L32" s="94"/>
      <c r="M32" s="472"/>
      <c r="N32" s="420"/>
      <c r="O32" s="412">
        <f t="shared" si="4"/>
        <v>0</v>
      </c>
      <c r="P32" s="92">
        <f>M32</f>
        <v>0</v>
      </c>
      <c r="Q32" s="710">
        <f>Q18</f>
        <v>2031</v>
      </c>
      <c r="R32" s="252"/>
      <c r="S32" s="252"/>
    </row>
    <row r="33" spans="1:19" s="25" customFormat="1" ht="12">
      <c r="A33" s="21"/>
      <c r="B33" s="31" t="s">
        <v>34</v>
      </c>
      <c r="C33" s="31"/>
      <c r="D33" s="31"/>
      <c r="E33" s="33">
        <v>31</v>
      </c>
      <c r="F33" s="119">
        <f t="shared" si="3"/>
        <v>1213</v>
      </c>
      <c r="G33" s="499">
        <f>G19</f>
        <v>1213</v>
      </c>
      <c r="H33" s="126"/>
      <c r="I33" s="95"/>
      <c r="J33" s="308"/>
      <c r="K33" s="95"/>
      <c r="L33" s="94"/>
      <c r="M33" s="472"/>
      <c r="N33" s="420"/>
      <c r="O33" s="412">
        <f t="shared" si="4"/>
        <v>0</v>
      </c>
      <c r="P33" s="92">
        <f>M33</f>
        <v>0</v>
      </c>
      <c r="Q33" s="710">
        <f>Q19</f>
        <v>724</v>
      </c>
      <c r="R33" s="252"/>
      <c r="S33" s="252"/>
    </row>
    <row r="34" spans="1:19" s="25" customFormat="1" ht="12">
      <c r="A34" s="21"/>
      <c r="B34" s="31" t="s">
        <v>52</v>
      </c>
      <c r="C34" s="31"/>
      <c r="D34" s="31"/>
      <c r="E34" s="33">
        <v>32</v>
      </c>
      <c r="F34" s="119">
        <f t="shared" si="3"/>
        <v>0</v>
      </c>
      <c r="G34" s="499"/>
      <c r="H34" s="126"/>
      <c r="I34" s="95"/>
      <c r="J34" s="308"/>
      <c r="K34" s="95"/>
      <c r="L34" s="94"/>
      <c r="M34" s="472"/>
      <c r="N34" s="420"/>
      <c r="O34" s="412">
        <f t="shared" si="4"/>
        <v>0</v>
      </c>
      <c r="P34" s="92">
        <f>F34</f>
        <v>0</v>
      </c>
      <c r="Q34" s="710"/>
      <c r="R34" s="252"/>
      <c r="S34" s="252"/>
    </row>
    <row r="35" spans="1:19" s="25" customFormat="1" ht="12">
      <c r="A35" s="21"/>
      <c r="B35" s="31" t="s">
        <v>36</v>
      </c>
      <c r="C35" s="31"/>
      <c r="D35" s="31"/>
      <c r="E35" s="33">
        <v>33</v>
      </c>
      <c r="F35" s="119">
        <f t="shared" si="3"/>
        <v>3000</v>
      </c>
      <c r="G35" s="499">
        <f>G20</f>
        <v>3000</v>
      </c>
      <c r="H35" s="126"/>
      <c r="I35" s="95"/>
      <c r="J35" s="308"/>
      <c r="K35" s="95"/>
      <c r="L35" s="94"/>
      <c r="M35" s="472"/>
      <c r="N35" s="420"/>
      <c r="O35" s="412">
        <f t="shared" si="4"/>
        <v>0</v>
      </c>
      <c r="P35" s="92">
        <f>F35</f>
        <v>3000</v>
      </c>
      <c r="Q35" s="710">
        <f>Q20</f>
        <v>5727</v>
      </c>
      <c r="R35" s="252"/>
      <c r="S35" s="252"/>
    </row>
    <row r="36" spans="1:19" s="640" customFormat="1" ht="12">
      <c r="A36" s="628"/>
      <c r="B36" s="629" t="s">
        <v>175</v>
      </c>
      <c r="C36" s="629"/>
      <c r="D36" s="629"/>
      <c r="E36" s="630">
        <v>34</v>
      </c>
      <c r="F36" s="631">
        <f t="shared" si="3"/>
        <v>17000</v>
      </c>
      <c r="G36" s="907">
        <f>G21</f>
        <v>17000</v>
      </c>
      <c r="H36" s="704"/>
      <c r="I36" s="695"/>
      <c r="J36" s="705"/>
      <c r="K36" s="695"/>
      <c r="L36" s="706"/>
      <c r="M36" s="632"/>
      <c r="N36" s="709"/>
      <c r="O36" s="676">
        <f t="shared" si="4"/>
        <v>0</v>
      </c>
      <c r="P36" s="591">
        <f>P21</f>
        <v>0</v>
      </c>
      <c r="Q36" s="710">
        <f>Q21</f>
        <v>8863</v>
      </c>
      <c r="R36" s="252"/>
      <c r="S36" s="252"/>
    </row>
    <row r="37" spans="1:19" s="25" customFormat="1" ht="12">
      <c r="A37" s="21"/>
      <c r="B37" s="31" t="s">
        <v>54</v>
      </c>
      <c r="C37" s="31"/>
      <c r="D37" s="31"/>
      <c r="E37" s="33">
        <v>35</v>
      </c>
      <c r="F37" s="119">
        <f t="shared" si="3"/>
        <v>500</v>
      </c>
      <c r="G37" s="499">
        <f>G22</f>
        <v>500</v>
      </c>
      <c r="H37" s="126"/>
      <c r="I37" s="95"/>
      <c r="J37" s="308"/>
      <c r="K37" s="95"/>
      <c r="L37" s="94"/>
      <c r="M37" s="472"/>
      <c r="N37" s="420"/>
      <c r="O37" s="412">
        <f t="shared" si="4"/>
        <v>0</v>
      </c>
      <c r="P37" s="92">
        <f>N37</f>
        <v>0</v>
      </c>
      <c r="Q37" s="710">
        <v>661</v>
      </c>
      <c r="R37" s="252"/>
      <c r="S37" s="252"/>
    </row>
    <row r="38" spans="1:19" s="25" customFormat="1" ht="12">
      <c r="A38" s="21"/>
      <c r="B38" s="31" t="s">
        <v>170</v>
      </c>
      <c r="C38" s="31"/>
      <c r="D38" s="31"/>
      <c r="E38" s="33">
        <v>36</v>
      </c>
      <c r="F38" s="119">
        <f t="shared" si="3"/>
        <v>10041</v>
      </c>
      <c r="G38" s="499">
        <v>10041</v>
      </c>
      <c r="H38" s="126"/>
      <c r="I38" s="159"/>
      <c r="J38" s="308"/>
      <c r="K38" s="95"/>
      <c r="L38" s="94"/>
      <c r="M38" s="472"/>
      <c r="N38" s="420"/>
      <c r="O38" s="412">
        <f t="shared" si="4"/>
        <v>0</v>
      </c>
      <c r="P38" s="92">
        <f>N38</f>
        <v>0</v>
      </c>
      <c r="Q38" s="710">
        <v>7046</v>
      </c>
      <c r="R38" s="252"/>
      <c r="S38" s="252"/>
    </row>
    <row r="39" spans="1:19" s="25" customFormat="1" ht="12">
      <c r="A39" s="21"/>
      <c r="B39" s="31" t="s">
        <v>56</v>
      </c>
      <c r="C39" s="31"/>
      <c r="D39" s="31"/>
      <c r="E39" s="33">
        <v>37</v>
      </c>
      <c r="F39" s="119">
        <f t="shared" si="3"/>
        <v>15274</v>
      </c>
      <c r="G39" s="499">
        <f>G23</f>
        <v>15202</v>
      </c>
      <c r="H39" s="126"/>
      <c r="I39" s="159">
        <f>I23</f>
        <v>72</v>
      </c>
      <c r="J39" s="308"/>
      <c r="K39" s="95"/>
      <c r="L39" s="94"/>
      <c r="M39" s="472"/>
      <c r="N39" s="420"/>
      <c r="O39" s="412">
        <f t="shared" si="4"/>
        <v>0</v>
      </c>
      <c r="P39" s="92">
        <f>N39</f>
        <v>0</v>
      </c>
      <c r="Q39" s="710">
        <f>Q23</f>
        <v>18187</v>
      </c>
      <c r="R39" s="252"/>
      <c r="S39" s="252"/>
    </row>
    <row r="40" spans="1:19" s="25" customFormat="1" ht="12">
      <c r="A40" s="21"/>
      <c r="B40" s="31" t="s">
        <v>57</v>
      </c>
      <c r="C40" s="31"/>
      <c r="D40" s="31"/>
      <c r="E40" s="33">
        <v>38</v>
      </c>
      <c r="F40" s="119">
        <f t="shared" si="3"/>
        <v>9157</v>
      </c>
      <c r="G40" s="499">
        <f>G24</f>
        <v>9007</v>
      </c>
      <c r="H40" s="126"/>
      <c r="I40" s="159">
        <f>I24</f>
        <v>150</v>
      </c>
      <c r="J40" s="308"/>
      <c r="K40" s="95"/>
      <c r="L40" s="94"/>
      <c r="M40" s="472"/>
      <c r="N40" s="420"/>
      <c r="O40" s="412">
        <f t="shared" si="4"/>
        <v>0</v>
      </c>
      <c r="P40" s="92">
        <f>N40</f>
        <v>0</v>
      </c>
      <c r="Q40" s="710">
        <f>Q24</f>
        <v>11185</v>
      </c>
      <c r="R40" s="252"/>
      <c r="S40" s="252">
        <v>456</v>
      </c>
    </row>
    <row r="41" spans="1:19" s="640" customFormat="1" ht="12">
      <c r="A41" s="628"/>
      <c r="B41" s="629" t="s">
        <v>186</v>
      </c>
      <c r="C41" s="629"/>
      <c r="D41" s="629"/>
      <c r="E41" s="630">
        <v>39</v>
      </c>
      <c r="F41" s="631">
        <f t="shared" si="3"/>
        <v>2000</v>
      </c>
      <c r="G41" s="907">
        <f>G25</f>
        <v>2000</v>
      </c>
      <c r="H41" s="704"/>
      <c r="I41" s="718"/>
      <c r="J41" s="705"/>
      <c r="K41" s="695"/>
      <c r="L41" s="706"/>
      <c r="M41" s="632"/>
      <c r="N41" s="709"/>
      <c r="O41" s="721">
        <f t="shared" si="4"/>
        <v>0</v>
      </c>
      <c r="P41" s="591">
        <f>F41</f>
        <v>2000</v>
      </c>
      <c r="Q41" s="710">
        <f>Q25</f>
        <v>35</v>
      </c>
      <c r="R41" s="252"/>
      <c r="S41" s="252"/>
    </row>
    <row r="42" spans="1:19" s="25" customFormat="1" ht="12">
      <c r="A42" s="21"/>
      <c r="B42" s="31" t="s">
        <v>58</v>
      </c>
      <c r="C42" s="31"/>
      <c r="D42" s="31"/>
      <c r="E42" s="33">
        <v>40</v>
      </c>
      <c r="F42" s="119">
        <f t="shared" si="3"/>
        <v>0</v>
      </c>
      <c r="G42" s="499"/>
      <c r="H42" s="126"/>
      <c r="I42" s="159"/>
      <c r="J42" s="308"/>
      <c r="K42" s="95"/>
      <c r="L42" s="94"/>
      <c r="M42" s="472"/>
      <c r="N42" s="420"/>
      <c r="O42" s="414">
        <f t="shared" si="4"/>
        <v>0</v>
      </c>
      <c r="P42" s="92">
        <f>N42</f>
        <v>0</v>
      </c>
      <c r="Q42" s="710">
        <f>Q26</f>
        <v>352</v>
      </c>
      <c r="R42" s="252"/>
      <c r="S42" s="252"/>
    </row>
    <row r="43" spans="1:19" s="25" customFormat="1" ht="12">
      <c r="A43" s="21"/>
      <c r="B43" s="31" t="s">
        <v>59</v>
      </c>
      <c r="C43" s="31"/>
      <c r="D43" s="31"/>
      <c r="E43" s="33">
        <v>41</v>
      </c>
      <c r="F43" s="119">
        <f t="shared" si="3"/>
        <v>31000</v>
      </c>
      <c r="G43" s="499">
        <v>31000</v>
      </c>
      <c r="H43" s="126"/>
      <c r="I43" s="159"/>
      <c r="J43" s="308"/>
      <c r="K43" s="95"/>
      <c r="L43" s="94"/>
      <c r="M43" s="472"/>
      <c r="N43" s="420"/>
      <c r="O43" s="414">
        <f t="shared" si="4"/>
        <v>0</v>
      </c>
      <c r="P43" s="92" t="e">
        <f>(N43-N49)/titl!H17*12+N49</f>
        <v>#DIV/0!</v>
      </c>
      <c r="Q43" s="710">
        <v>32463</v>
      </c>
      <c r="R43" s="252"/>
      <c r="S43" s="252"/>
    </row>
    <row r="44" spans="1:19" s="25" customFormat="1" ht="12">
      <c r="A44" s="21"/>
      <c r="B44" s="31" t="s">
        <v>60</v>
      </c>
      <c r="C44" s="31"/>
      <c r="D44" s="31"/>
      <c r="E44" s="33">
        <v>42</v>
      </c>
      <c r="F44" s="119">
        <f t="shared" si="3"/>
        <v>27079</v>
      </c>
      <c r="G44" s="612"/>
      <c r="H44" s="126">
        <f>H3</f>
        <v>21079</v>
      </c>
      <c r="I44" s="159"/>
      <c r="J44" s="308"/>
      <c r="K44" s="159">
        <f>K3</f>
        <v>2000</v>
      </c>
      <c r="L44" s="229">
        <f>L14</f>
        <v>4000</v>
      </c>
      <c r="M44" s="472"/>
      <c r="N44" s="420"/>
      <c r="O44" s="414">
        <f t="shared" si="4"/>
        <v>0</v>
      </c>
      <c r="P44" s="92">
        <f>N44</f>
        <v>0</v>
      </c>
      <c r="Q44" s="710">
        <v>15603</v>
      </c>
      <c r="R44" s="252"/>
      <c r="S44" s="252">
        <f>456-S40</f>
        <v>0</v>
      </c>
    </row>
    <row r="45" spans="1:19" s="25" customFormat="1" ht="12.75" thickBot="1">
      <c r="A45" s="40"/>
      <c r="B45" s="41" t="s">
        <v>47</v>
      </c>
      <c r="C45" s="41"/>
      <c r="D45" s="41"/>
      <c r="E45" s="42">
        <v>43</v>
      </c>
      <c r="F45" s="200">
        <f t="shared" si="3"/>
        <v>900</v>
      </c>
      <c r="G45" s="500">
        <v>900</v>
      </c>
      <c r="H45" s="174"/>
      <c r="I45" s="99"/>
      <c r="J45" s="309"/>
      <c r="K45" s="99"/>
      <c r="L45" s="98"/>
      <c r="M45" s="200"/>
      <c r="N45" s="421"/>
      <c r="O45" s="415">
        <f t="shared" si="4"/>
        <v>0</v>
      </c>
      <c r="P45" s="100" t="e">
        <f>N45/titl!$H$17*12</f>
        <v>#DIV/0!</v>
      </c>
      <c r="Q45" s="965">
        <v>1287</v>
      </c>
      <c r="R45" s="252"/>
      <c r="S45" s="252"/>
    </row>
    <row r="46" spans="1:19" s="25" customFormat="1" ht="12.75" hidden="1" thickBot="1">
      <c r="A46" s="44" t="s">
        <v>61</v>
      </c>
      <c r="B46" s="45"/>
      <c r="C46" s="45"/>
      <c r="D46" s="45"/>
      <c r="E46" s="28">
        <v>44</v>
      </c>
      <c r="F46" s="201">
        <f>F29+F34+F38+F43+F44+F45-F4-F27</f>
        <v>2000</v>
      </c>
      <c r="G46" s="613">
        <f>G29+G34+G38+G43+G45-G4-G27</f>
        <v>2000</v>
      </c>
      <c r="H46" s="102">
        <f>H29+H34+H38+H43+H44+H45-H4-H27</f>
        <v>0</v>
      </c>
      <c r="I46" s="102">
        <f>I29+I34+I38+I43+I44+I45-I4-I27</f>
        <v>0</v>
      </c>
      <c r="J46" s="102">
        <f>J29+J34+J38+J43+J44+J45-J4-J27</f>
        <v>0</v>
      </c>
      <c r="K46" s="320"/>
      <c r="L46" s="102">
        <f>L29+L34+L38+L43+L44+L45-L4-L27</f>
        <v>0</v>
      </c>
      <c r="M46" s="201">
        <f>M29+M34+M38+M43+M44+M45+-M4-M27</f>
        <v>0</v>
      </c>
      <c r="N46" s="422">
        <f>N29+N34+N38+N43+N44+N45-N4-N27</f>
        <v>0</v>
      </c>
      <c r="O46" s="416"/>
      <c r="P46" s="466" t="e">
        <f>P29+P34+P38+P43+P44+P45-P4-P27</f>
        <v>#DIV/0!</v>
      </c>
      <c r="Q46" s="593">
        <f>Q29+Q34+Q38+Q43+Q44+Q45-Q4-Q27</f>
        <v>2665</v>
      </c>
      <c r="R46" s="252"/>
      <c r="S46" s="252"/>
    </row>
    <row r="47" spans="1:17" ht="13.5" thickBot="1">
      <c r="A47" s="37" t="s">
        <v>62</v>
      </c>
      <c r="B47" s="38"/>
      <c r="C47" s="38"/>
      <c r="D47" s="38"/>
      <c r="E47" s="19">
        <v>45</v>
      </c>
      <c r="F47" s="197">
        <f>F28-F3</f>
        <v>2000</v>
      </c>
      <c r="G47" s="597">
        <f aca="true" t="shared" si="6" ref="G47:N47">G28-G3</f>
        <v>2000</v>
      </c>
      <c r="H47" s="125">
        <f t="shared" si="6"/>
        <v>0</v>
      </c>
      <c r="I47" s="77">
        <f t="shared" si="6"/>
        <v>0</v>
      </c>
      <c r="J47" s="304">
        <f t="shared" si="6"/>
        <v>0</v>
      </c>
      <c r="K47" s="77">
        <f t="shared" si="6"/>
        <v>0</v>
      </c>
      <c r="L47" s="76">
        <f t="shared" si="6"/>
        <v>0</v>
      </c>
      <c r="M47" s="197">
        <f>M28-M3</f>
        <v>0</v>
      </c>
      <c r="N47" s="471">
        <f t="shared" si="6"/>
        <v>0</v>
      </c>
      <c r="O47" s="78"/>
      <c r="P47" s="78" t="e">
        <f>P28-P3</f>
        <v>#DIV/0!</v>
      </c>
      <c r="Q47" s="588">
        <f>Q28-Q3</f>
        <v>2675</v>
      </c>
    </row>
    <row r="48" spans="1:5" ht="12.75">
      <c r="A48" s="47" t="s">
        <v>227</v>
      </c>
      <c r="B48" s="47"/>
      <c r="C48" s="47"/>
      <c r="D48" s="231"/>
      <c r="E48" s="48"/>
    </row>
    <row r="49" spans="5:19" s="47" customFormat="1" ht="11.25">
      <c r="E49" s="48"/>
      <c r="J49" s="1058"/>
      <c r="K49" s="1058"/>
      <c r="L49" s="1058"/>
      <c r="M49" s="240"/>
      <c r="N49" s="874"/>
      <c r="O49" s="485"/>
      <c r="P49" s="485"/>
      <c r="Q49" s="255"/>
      <c r="R49" s="252"/>
      <c r="S49" s="252"/>
    </row>
    <row r="50" spans="1:19" s="47" customFormat="1" ht="11.25">
      <c r="A50" s="51" t="s">
        <v>90</v>
      </c>
      <c r="E50" s="48"/>
      <c r="F50" s="202"/>
      <c r="G50" s="59"/>
      <c r="I50" s="155"/>
      <c r="L50" s="59"/>
      <c r="M50" s="59"/>
      <c r="N50" s="59"/>
      <c r="O50" s="401"/>
      <c r="P50" s="401"/>
      <c r="Q50" s="255"/>
      <c r="R50" s="252"/>
      <c r="S50" s="252"/>
    </row>
    <row r="51" spans="1:19" s="47" customFormat="1" ht="11.25">
      <c r="A51" s="51"/>
      <c r="B51" s="51"/>
      <c r="C51" s="51"/>
      <c r="D51" s="51"/>
      <c r="E51" s="48"/>
      <c r="G51" s="59"/>
      <c r="H51" s="59"/>
      <c r="I51" s="59"/>
      <c r="J51" s="59"/>
      <c r="K51" s="59"/>
      <c r="L51" s="59"/>
      <c r="M51" s="59"/>
      <c r="N51" s="59"/>
      <c r="O51" s="401"/>
      <c r="P51" s="401"/>
      <c r="Q51" s="255"/>
      <c r="R51" s="252"/>
      <c r="S51" s="252"/>
    </row>
    <row r="52" spans="1:19" s="59" customFormat="1" ht="11.25">
      <c r="A52" s="51"/>
      <c r="B52" s="51"/>
      <c r="C52" s="51"/>
      <c r="D52" s="51"/>
      <c r="E52" s="57"/>
      <c r="F52" s="47"/>
      <c r="O52" s="401"/>
      <c r="P52" s="401"/>
      <c r="Q52" s="255"/>
      <c r="R52" s="255"/>
      <c r="S52" s="255"/>
    </row>
    <row r="53" spans="1:19" s="59" customFormat="1" ht="11.25">
      <c r="A53" s="51"/>
      <c r="C53" s="51"/>
      <c r="D53" s="51"/>
      <c r="E53" s="57"/>
      <c r="F53" s="47"/>
      <c r="O53" s="401"/>
      <c r="P53" s="401"/>
      <c r="Q53" s="255"/>
      <c r="R53" s="255"/>
      <c r="S53" s="255"/>
    </row>
    <row r="54" spans="1:19" s="59" customFormat="1" ht="11.25">
      <c r="A54" s="51"/>
      <c r="B54" s="51"/>
      <c r="C54" s="51"/>
      <c r="D54" s="51"/>
      <c r="E54" s="57"/>
      <c r="F54" s="47"/>
      <c r="O54" s="401"/>
      <c r="P54" s="401"/>
      <c r="Q54" s="255"/>
      <c r="R54" s="255"/>
      <c r="S54" s="255"/>
    </row>
  </sheetData>
  <mergeCells count="6">
    <mergeCell ref="J49:L49"/>
    <mergeCell ref="R1:R2"/>
    <mergeCell ref="S1:S2"/>
    <mergeCell ref="A1:D1"/>
    <mergeCell ref="H1:L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54"/>
  <sheetViews>
    <sheetView workbookViewId="0" topLeftCell="A1">
      <pane ySplit="3" topLeftCell="BM8" activePane="bottomLeft" state="frozen"/>
      <selection pane="topLeft" activeCell="A34" sqref="A34"/>
      <selection pane="bottomLeft" activeCell="A34" sqref="A34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60" bestFit="1" customWidth="1"/>
    <col min="6" max="6" width="9.25390625" style="47" bestFit="1" customWidth="1"/>
    <col min="7" max="7" width="9.25390625" style="59" bestFit="1" customWidth="1"/>
    <col min="8" max="12" width="8.00390625" style="59" customWidth="1"/>
    <col min="13" max="13" width="9.75390625" style="59" hidden="1" customWidth="1"/>
    <col min="14" max="14" width="9.625" style="59" hidden="1" customWidth="1" collapsed="1"/>
    <col min="15" max="15" width="8.875" style="401" hidden="1" customWidth="1"/>
    <col min="16" max="16" width="11.25390625" style="401" hidden="1" customWidth="1"/>
    <col min="17" max="17" width="10.00390625" style="255" customWidth="1" collapsed="1"/>
    <col min="18" max="18" width="7.125" style="255" customWidth="1"/>
    <col min="19" max="19" width="5.00390625" style="255" customWidth="1"/>
  </cols>
  <sheetData>
    <row r="1" spans="1:19" ht="15.75" customHeight="1">
      <c r="A1" s="1046" t="s">
        <v>236</v>
      </c>
      <c r="B1" s="1047"/>
      <c r="C1" s="1047"/>
      <c r="D1" s="1048"/>
      <c r="E1" s="1"/>
      <c r="F1" s="543" t="s">
        <v>0</v>
      </c>
      <c r="G1" s="606" t="s">
        <v>2</v>
      </c>
      <c r="H1" s="1050" t="s">
        <v>3</v>
      </c>
      <c r="I1" s="1050"/>
      <c r="J1" s="1050"/>
      <c r="K1" s="1050"/>
      <c r="L1" s="1051"/>
      <c r="M1" s="181" t="s">
        <v>1</v>
      </c>
      <c r="N1" s="538" t="s">
        <v>4</v>
      </c>
      <c r="O1" s="67" t="s">
        <v>144</v>
      </c>
      <c r="P1" s="67" t="s">
        <v>145</v>
      </c>
      <c r="Q1" s="947" t="s">
        <v>4</v>
      </c>
      <c r="R1" s="1056" t="s">
        <v>190</v>
      </c>
      <c r="S1" s="1057" t="s">
        <v>188</v>
      </c>
    </row>
    <row r="2" spans="1:19" s="16" customFormat="1" ht="13.5" thickBot="1">
      <c r="A2" s="298" t="s">
        <v>127</v>
      </c>
      <c r="B2" s="7"/>
      <c r="C2" s="1052" t="s">
        <v>80</v>
      </c>
      <c r="D2" s="1053"/>
      <c r="E2" s="9" t="s">
        <v>5</v>
      </c>
      <c r="F2" s="544">
        <v>2011</v>
      </c>
      <c r="G2" s="607" t="s">
        <v>8</v>
      </c>
      <c r="H2" s="69" t="s">
        <v>9</v>
      </c>
      <c r="I2" s="70" t="s">
        <v>10</v>
      </c>
      <c r="J2" s="303" t="s">
        <v>11</v>
      </c>
      <c r="K2" s="248" t="s">
        <v>126</v>
      </c>
      <c r="L2" s="68" t="s">
        <v>12</v>
      </c>
      <c r="M2" s="544" t="s">
        <v>7</v>
      </c>
      <c r="N2" s="539">
        <v>2011</v>
      </c>
      <c r="O2" s="71"/>
      <c r="P2" s="71"/>
      <c r="Q2" s="948">
        <v>2010</v>
      </c>
      <c r="R2" s="1056"/>
      <c r="S2" s="1057"/>
    </row>
    <row r="3" spans="1:17" ht="13.5" thickBot="1">
      <c r="A3" s="17" t="s">
        <v>13</v>
      </c>
      <c r="B3" s="18"/>
      <c r="C3" s="18"/>
      <c r="D3" s="18"/>
      <c r="E3" s="19">
        <v>1</v>
      </c>
      <c r="F3" s="197">
        <f>SUM(F5:F27)</f>
        <v>119118</v>
      </c>
      <c r="G3" s="597">
        <f aca="true" t="shared" si="0" ref="G3:N3">SUM(G5:G27)</f>
        <v>104862</v>
      </c>
      <c r="H3" s="125">
        <f t="shared" si="0"/>
        <v>11510</v>
      </c>
      <c r="I3" s="77">
        <f t="shared" si="0"/>
        <v>0</v>
      </c>
      <c r="J3" s="304">
        <f t="shared" si="0"/>
        <v>0</v>
      </c>
      <c r="K3" s="77">
        <f t="shared" si="0"/>
        <v>1146</v>
      </c>
      <c r="L3" s="76">
        <f t="shared" si="0"/>
        <v>1600</v>
      </c>
      <c r="M3" s="197">
        <f>SUM(M5:M27)</f>
        <v>0</v>
      </c>
      <c r="N3" s="471">
        <f t="shared" si="0"/>
        <v>0</v>
      </c>
      <c r="O3" s="413">
        <f aca="true" t="shared" si="1" ref="O3:O19">IF(F3=0,0,N3/F3)</f>
        <v>0</v>
      </c>
      <c r="P3" s="78" t="e">
        <f>SUM(P5:P27)</f>
        <v>#DIV/0!</v>
      </c>
      <c r="Q3" s="588">
        <f>SUM(Q5:Q27)</f>
        <v>98799</v>
      </c>
    </row>
    <row r="4" spans="1:19" s="25" customFormat="1" ht="12">
      <c r="A4" s="21" t="s">
        <v>14</v>
      </c>
      <c r="B4" s="22" t="s">
        <v>15</v>
      </c>
      <c r="C4" s="22"/>
      <c r="D4" s="22"/>
      <c r="E4" s="23">
        <v>2</v>
      </c>
      <c r="F4" s="198">
        <f aca="true" t="shared" si="2" ref="F4:N4">SUM(F5:F15)</f>
        <v>80429</v>
      </c>
      <c r="G4" s="608">
        <f t="shared" si="2"/>
        <v>66173</v>
      </c>
      <c r="H4" s="112">
        <f t="shared" si="2"/>
        <v>11510</v>
      </c>
      <c r="I4" s="81">
        <f t="shared" si="2"/>
        <v>0</v>
      </c>
      <c r="J4" s="305">
        <f t="shared" si="2"/>
        <v>0</v>
      </c>
      <c r="K4" s="81">
        <f t="shared" si="2"/>
        <v>1146</v>
      </c>
      <c r="L4" s="80">
        <f t="shared" si="2"/>
        <v>1600</v>
      </c>
      <c r="M4" s="198">
        <f>SUM(M5:M15)</f>
        <v>0</v>
      </c>
      <c r="N4" s="417">
        <f t="shared" si="2"/>
        <v>0</v>
      </c>
      <c r="O4" s="410">
        <f t="shared" si="1"/>
        <v>0</v>
      </c>
      <c r="P4" s="82" t="e">
        <f>SUM(P5:P15)</f>
        <v>#DIV/0!</v>
      </c>
      <c r="Q4" s="589">
        <f>SUM(Q5:Q15)</f>
        <v>76938</v>
      </c>
      <c r="R4" s="252"/>
      <c r="S4" s="252"/>
    </row>
    <row r="5" spans="1:19" s="65" customFormat="1" ht="12">
      <c r="A5" s="61"/>
      <c r="B5" s="62"/>
      <c r="C5" s="62" t="s">
        <v>16</v>
      </c>
      <c r="D5" s="63" t="s">
        <v>17</v>
      </c>
      <c r="E5" s="64">
        <v>3</v>
      </c>
      <c r="F5" s="199">
        <f>SUM(G5:L5)</f>
        <v>33810</v>
      </c>
      <c r="G5" s="609">
        <v>33810</v>
      </c>
      <c r="H5" s="84"/>
      <c r="I5" s="85"/>
      <c r="J5" s="306"/>
      <c r="K5" s="85"/>
      <c r="L5" s="86"/>
      <c r="M5" s="199"/>
      <c r="N5" s="418"/>
      <c r="O5" s="428">
        <f t="shared" si="1"/>
        <v>0</v>
      </c>
      <c r="P5" s="850">
        <f>N5</f>
        <v>0</v>
      </c>
      <c r="Q5" s="966">
        <v>32926</v>
      </c>
      <c r="R5" s="546"/>
      <c r="S5" s="546"/>
    </row>
    <row r="6" spans="1:19" s="65" customFormat="1" ht="12">
      <c r="A6" s="61"/>
      <c r="B6" s="62"/>
      <c r="C6" s="62"/>
      <c r="D6" s="63" t="s">
        <v>18</v>
      </c>
      <c r="E6" s="64">
        <v>4</v>
      </c>
      <c r="F6" s="199">
        <f aca="true" t="shared" si="3" ref="F6:F45">SUM(G6:L6)</f>
        <v>1255</v>
      </c>
      <c r="G6" s="609">
        <v>1255</v>
      </c>
      <c r="H6" s="84"/>
      <c r="I6" s="85"/>
      <c r="J6" s="306"/>
      <c r="K6" s="85"/>
      <c r="L6" s="86"/>
      <c r="M6" s="199"/>
      <c r="N6" s="418"/>
      <c r="O6" s="428">
        <f t="shared" si="1"/>
        <v>0</v>
      </c>
      <c r="P6" s="850">
        <f>N6</f>
        <v>0</v>
      </c>
      <c r="Q6" s="966">
        <v>1710</v>
      </c>
      <c r="R6" s="546"/>
      <c r="S6" s="546"/>
    </row>
    <row r="7" spans="1:19" s="65" customFormat="1" ht="12">
      <c r="A7" s="61"/>
      <c r="B7" s="62"/>
      <c r="C7" s="62"/>
      <c r="D7" s="63" t="s">
        <v>19</v>
      </c>
      <c r="E7" s="64">
        <v>5</v>
      </c>
      <c r="F7" s="199">
        <f t="shared" si="3"/>
        <v>11600</v>
      </c>
      <c r="G7" s="609">
        <v>11600</v>
      </c>
      <c r="H7" s="84"/>
      <c r="I7" s="85"/>
      <c r="J7" s="313"/>
      <c r="K7" s="242"/>
      <c r="L7" s="86"/>
      <c r="M7" s="199"/>
      <c r="N7" s="418"/>
      <c r="O7" s="428">
        <f t="shared" si="1"/>
        <v>0</v>
      </c>
      <c r="P7" s="850">
        <f>N7</f>
        <v>0</v>
      </c>
      <c r="Q7" s="966">
        <v>11877</v>
      </c>
      <c r="R7" s="546"/>
      <c r="S7" s="546"/>
    </row>
    <row r="8" spans="1:19" s="65" customFormat="1" ht="12">
      <c r="A8" s="61"/>
      <c r="B8" s="62"/>
      <c r="C8" s="62"/>
      <c r="D8" s="63" t="s">
        <v>20</v>
      </c>
      <c r="E8" s="64">
        <v>6</v>
      </c>
      <c r="F8" s="199">
        <f t="shared" si="3"/>
        <v>9221</v>
      </c>
      <c r="G8" s="609">
        <v>3621</v>
      </c>
      <c r="H8" s="84">
        <v>5600</v>
      </c>
      <c r="I8" s="85"/>
      <c r="J8" s="306"/>
      <c r="K8" s="85"/>
      <c r="L8" s="86"/>
      <c r="M8" s="199"/>
      <c r="N8" s="418"/>
      <c r="O8" s="428">
        <f t="shared" si="1"/>
        <v>0</v>
      </c>
      <c r="P8" s="87" t="e">
        <f>N8/titl!$H$17*12</f>
        <v>#DIV/0!</v>
      </c>
      <c r="Q8" s="966">
        <v>6774</v>
      </c>
      <c r="R8" s="546"/>
      <c r="S8" s="546"/>
    </row>
    <row r="9" spans="1:19" s="65" customFormat="1" ht="12">
      <c r="A9" s="61"/>
      <c r="B9" s="62"/>
      <c r="C9" s="62"/>
      <c r="D9" s="63" t="s">
        <v>21</v>
      </c>
      <c r="E9" s="64">
        <v>7</v>
      </c>
      <c r="F9" s="199">
        <f t="shared" si="3"/>
        <v>2098</v>
      </c>
      <c r="G9" s="609">
        <v>2098</v>
      </c>
      <c r="H9" s="84"/>
      <c r="I9" s="85"/>
      <c r="J9" s="306"/>
      <c r="K9" s="85"/>
      <c r="L9" s="86"/>
      <c r="M9" s="199"/>
      <c r="N9" s="418"/>
      <c r="O9" s="428">
        <f t="shared" si="1"/>
        <v>0</v>
      </c>
      <c r="P9" s="87" t="e">
        <f>N9/titl!$H$17*12</f>
        <v>#DIV/0!</v>
      </c>
      <c r="Q9" s="966">
        <v>1606</v>
      </c>
      <c r="R9" s="546"/>
      <c r="S9" s="546"/>
    </row>
    <row r="10" spans="1:19" s="65" customFormat="1" ht="12">
      <c r="A10" s="61"/>
      <c r="B10" s="62"/>
      <c r="C10" s="62"/>
      <c r="D10" s="63" t="s">
        <v>22</v>
      </c>
      <c r="E10" s="64">
        <v>8</v>
      </c>
      <c r="F10" s="199">
        <f t="shared" si="3"/>
        <v>3215</v>
      </c>
      <c r="G10" s="609">
        <v>3215</v>
      </c>
      <c r="H10" s="84"/>
      <c r="I10" s="85"/>
      <c r="J10" s="306"/>
      <c r="K10" s="85"/>
      <c r="L10" s="86"/>
      <c r="M10" s="199"/>
      <c r="N10" s="418"/>
      <c r="O10" s="428">
        <f t="shared" si="1"/>
        <v>0</v>
      </c>
      <c r="P10" s="87" t="e">
        <f>N10/titl!$H$17*12</f>
        <v>#DIV/0!</v>
      </c>
      <c r="Q10" s="966">
        <v>1963</v>
      </c>
      <c r="R10" s="546"/>
      <c r="S10" s="546"/>
    </row>
    <row r="11" spans="1:19" s="65" customFormat="1" ht="12">
      <c r="A11" s="61"/>
      <c r="B11" s="62"/>
      <c r="C11" s="62"/>
      <c r="D11" s="63" t="s">
        <v>23</v>
      </c>
      <c r="E11" s="64">
        <v>9</v>
      </c>
      <c r="F11" s="199">
        <f t="shared" si="3"/>
        <v>6777</v>
      </c>
      <c r="G11" s="609">
        <v>867</v>
      </c>
      <c r="H11" s="84">
        <v>5910</v>
      </c>
      <c r="I11" s="85"/>
      <c r="J11" s="306"/>
      <c r="K11" s="85"/>
      <c r="L11" s="86"/>
      <c r="M11" s="199"/>
      <c r="N11" s="418"/>
      <c r="O11" s="428">
        <f t="shared" si="1"/>
        <v>0</v>
      </c>
      <c r="P11" s="87" t="e">
        <f>N11/titl!$H$17*12</f>
        <v>#DIV/0!</v>
      </c>
      <c r="Q11" s="966">
        <v>6630</v>
      </c>
      <c r="R11" s="546"/>
      <c r="S11" s="546"/>
    </row>
    <row r="12" spans="1:19" s="65" customFormat="1" ht="12">
      <c r="A12" s="61"/>
      <c r="B12" s="62"/>
      <c r="C12" s="62"/>
      <c r="D12" s="63" t="s">
        <v>24</v>
      </c>
      <c r="E12" s="64">
        <v>10</v>
      </c>
      <c r="F12" s="199">
        <f t="shared" si="3"/>
        <v>453</v>
      </c>
      <c r="G12" s="609">
        <v>453</v>
      </c>
      <c r="H12" s="84"/>
      <c r="I12" s="85"/>
      <c r="J12" s="306"/>
      <c r="K12" s="85"/>
      <c r="L12" s="86"/>
      <c r="M12" s="199"/>
      <c r="N12" s="418"/>
      <c r="O12" s="428">
        <f t="shared" si="1"/>
        <v>0</v>
      </c>
      <c r="P12" s="87" t="e">
        <f>N12/titl!$H$17*12</f>
        <v>#DIV/0!</v>
      </c>
      <c r="Q12" s="966">
        <v>753</v>
      </c>
      <c r="R12" s="546"/>
      <c r="S12" s="546"/>
    </row>
    <row r="13" spans="1:19" s="65" customFormat="1" ht="12">
      <c r="A13" s="61"/>
      <c r="B13" s="62"/>
      <c r="C13" s="62"/>
      <c r="D13" s="63" t="s">
        <v>25</v>
      </c>
      <c r="E13" s="64">
        <v>11</v>
      </c>
      <c r="F13" s="199">
        <f t="shared" si="3"/>
        <v>3990</v>
      </c>
      <c r="G13" s="609">
        <v>3990</v>
      </c>
      <c r="H13" s="84"/>
      <c r="I13" s="85"/>
      <c r="J13" s="306"/>
      <c r="K13" s="85"/>
      <c r="L13" s="86"/>
      <c r="M13" s="199"/>
      <c r="N13" s="418"/>
      <c r="O13" s="428">
        <f t="shared" si="1"/>
        <v>0</v>
      </c>
      <c r="P13" s="850">
        <f>N13</f>
        <v>0</v>
      </c>
      <c r="Q13" s="966">
        <v>4061</v>
      </c>
      <c r="R13" s="546"/>
      <c r="S13" s="546"/>
    </row>
    <row r="14" spans="1:19" s="65" customFormat="1" ht="12">
      <c r="A14" s="61"/>
      <c r="B14" s="62"/>
      <c r="C14" s="62"/>
      <c r="D14" s="63" t="s">
        <v>26</v>
      </c>
      <c r="E14" s="64">
        <v>12</v>
      </c>
      <c r="F14" s="199">
        <f t="shared" si="3"/>
        <v>1600</v>
      </c>
      <c r="G14" s="609"/>
      <c r="H14" s="84"/>
      <c r="I14" s="85"/>
      <c r="J14" s="306"/>
      <c r="K14" s="85"/>
      <c r="L14" s="262">
        <v>1600</v>
      </c>
      <c r="M14" s="199"/>
      <c r="N14" s="418"/>
      <c r="O14" s="428">
        <f t="shared" si="1"/>
        <v>0</v>
      </c>
      <c r="P14" s="87" t="e">
        <f>N14/titl!$H$17*12</f>
        <v>#DIV/0!</v>
      </c>
      <c r="Q14" s="966">
        <v>1532</v>
      </c>
      <c r="R14" s="546"/>
      <c r="S14" s="546"/>
    </row>
    <row r="15" spans="1:19" s="65" customFormat="1" ht="12">
      <c r="A15" s="61"/>
      <c r="B15" s="62"/>
      <c r="C15" s="63"/>
      <c r="D15" s="63" t="s">
        <v>27</v>
      </c>
      <c r="E15" s="64">
        <v>13</v>
      </c>
      <c r="F15" s="536">
        <f t="shared" si="3"/>
        <v>6410</v>
      </c>
      <c r="G15" s="609">
        <v>5264</v>
      </c>
      <c r="H15" s="84"/>
      <c r="I15" s="85"/>
      <c r="J15" s="306"/>
      <c r="K15" s="85">
        <v>1146</v>
      </c>
      <c r="L15" s="262"/>
      <c r="M15" s="199"/>
      <c r="N15" s="418"/>
      <c r="O15" s="428">
        <f t="shared" si="1"/>
        <v>0</v>
      </c>
      <c r="P15" s="87" t="e">
        <f>N15/titl!$H$17*12</f>
        <v>#DIV/0!</v>
      </c>
      <c r="Q15" s="966">
        <v>7106</v>
      </c>
      <c r="R15" s="546"/>
      <c r="S15" s="546"/>
    </row>
    <row r="16" spans="1:19" s="25" customFormat="1" ht="12">
      <c r="A16" s="21"/>
      <c r="B16" s="30" t="s">
        <v>28</v>
      </c>
      <c r="C16" s="27"/>
      <c r="D16" s="27"/>
      <c r="E16" s="28">
        <v>14</v>
      </c>
      <c r="F16" s="119">
        <f t="shared" si="3"/>
        <v>3100</v>
      </c>
      <c r="G16" s="596">
        <v>3100</v>
      </c>
      <c r="H16" s="89"/>
      <c r="I16" s="90"/>
      <c r="J16" s="307"/>
      <c r="K16" s="90"/>
      <c r="L16" s="91"/>
      <c r="M16" s="119">
        <f>M30</f>
        <v>0</v>
      </c>
      <c r="N16" s="419"/>
      <c r="O16" s="412">
        <f t="shared" si="1"/>
        <v>0</v>
      </c>
      <c r="P16" s="92">
        <f>P30</f>
        <v>0</v>
      </c>
      <c r="Q16" s="677">
        <v>3082</v>
      </c>
      <c r="R16" s="252"/>
      <c r="S16" s="252"/>
    </row>
    <row r="17" spans="1:19" s="25" customFormat="1" ht="12">
      <c r="A17" s="21"/>
      <c r="B17" s="30" t="s">
        <v>30</v>
      </c>
      <c r="C17" s="27"/>
      <c r="D17" s="27"/>
      <c r="E17" s="28">
        <v>15</v>
      </c>
      <c r="F17" s="119">
        <f t="shared" si="3"/>
        <v>0</v>
      </c>
      <c r="G17" s="596"/>
      <c r="H17" s="89"/>
      <c r="I17" s="90"/>
      <c r="J17" s="307"/>
      <c r="K17" s="90"/>
      <c r="L17" s="91"/>
      <c r="M17" s="119">
        <f>M31</f>
        <v>0</v>
      </c>
      <c r="N17" s="419"/>
      <c r="O17" s="412">
        <f t="shared" si="1"/>
        <v>0</v>
      </c>
      <c r="P17" s="92">
        <f>P31</f>
        <v>0</v>
      </c>
      <c r="Q17" s="677"/>
      <c r="R17" s="252"/>
      <c r="S17" s="252"/>
    </row>
    <row r="18" spans="1:19" s="25" customFormat="1" ht="12">
      <c r="A18" s="21"/>
      <c r="B18" s="31" t="s">
        <v>32</v>
      </c>
      <c r="C18" s="32"/>
      <c r="D18" s="32"/>
      <c r="E18" s="33">
        <v>16</v>
      </c>
      <c r="F18" s="119">
        <f t="shared" si="3"/>
        <v>1357</v>
      </c>
      <c r="G18" s="596">
        <v>1357</v>
      </c>
      <c r="H18" s="89"/>
      <c r="I18" s="90"/>
      <c r="J18" s="307"/>
      <c r="K18" s="90"/>
      <c r="L18" s="91"/>
      <c r="M18" s="119">
        <f>M32</f>
        <v>0</v>
      </c>
      <c r="N18" s="419"/>
      <c r="O18" s="412">
        <f t="shared" si="1"/>
        <v>0</v>
      </c>
      <c r="P18" s="92">
        <f>P32</f>
        <v>0</v>
      </c>
      <c r="Q18" s="677">
        <v>2012</v>
      </c>
      <c r="R18" s="252"/>
      <c r="S18" s="252"/>
    </row>
    <row r="19" spans="1:19" s="25" customFormat="1" ht="12">
      <c r="A19" s="21"/>
      <c r="B19" s="31" t="s">
        <v>34</v>
      </c>
      <c r="C19" s="32"/>
      <c r="D19" s="32"/>
      <c r="E19" s="33">
        <v>17</v>
      </c>
      <c r="F19" s="119">
        <f t="shared" si="3"/>
        <v>545</v>
      </c>
      <c r="G19" s="596">
        <v>545</v>
      </c>
      <c r="H19" s="89"/>
      <c r="I19" s="90"/>
      <c r="J19" s="307"/>
      <c r="K19" s="90"/>
      <c r="L19" s="91"/>
      <c r="M19" s="119">
        <f>M33</f>
        <v>0</v>
      </c>
      <c r="N19" s="419"/>
      <c r="O19" s="412">
        <f t="shared" si="1"/>
        <v>0</v>
      </c>
      <c r="P19" s="92">
        <f>P33</f>
        <v>0</v>
      </c>
      <c r="Q19" s="677">
        <v>949</v>
      </c>
      <c r="R19" s="252"/>
      <c r="S19" s="252"/>
    </row>
    <row r="20" spans="1:19" s="25" customFormat="1" ht="12">
      <c r="A20" s="21"/>
      <c r="B20" s="31" t="s">
        <v>36</v>
      </c>
      <c r="C20" s="31"/>
      <c r="D20" s="31"/>
      <c r="E20" s="33">
        <v>18</v>
      </c>
      <c r="F20" s="119">
        <f t="shared" si="3"/>
        <v>0</v>
      </c>
      <c r="G20" s="596"/>
      <c r="H20" s="89"/>
      <c r="I20" s="90"/>
      <c r="J20" s="307"/>
      <c r="K20" s="90"/>
      <c r="L20" s="91"/>
      <c r="M20" s="119"/>
      <c r="N20" s="419"/>
      <c r="O20" s="412">
        <f aca="true" t="shared" si="4" ref="O20:O45">IF(F20=0,0,N20/F20)</f>
        <v>0</v>
      </c>
      <c r="P20" s="92">
        <f>P35</f>
        <v>0</v>
      </c>
      <c r="Q20" s="677"/>
      <c r="R20" s="252"/>
      <c r="S20" s="252"/>
    </row>
    <row r="21" spans="1:19" s="640" customFormat="1" ht="12">
      <c r="A21" s="628"/>
      <c r="B21" s="629" t="s">
        <v>175</v>
      </c>
      <c r="C21" s="629"/>
      <c r="D21" s="629"/>
      <c r="E21" s="630">
        <v>19</v>
      </c>
      <c r="F21" s="631">
        <f t="shared" si="3"/>
        <v>28939</v>
      </c>
      <c r="G21" s="986">
        <v>28939</v>
      </c>
      <c r="H21" s="672"/>
      <c r="I21" s="665"/>
      <c r="J21" s="673"/>
      <c r="K21" s="665"/>
      <c r="L21" s="674"/>
      <c r="M21" s="631"/>
      <c r="N21" s="675"/>
      <c r="O21" s="676">
        <f t="shared" si="4"/>
        <v>0</v>
      </c>
      <c r="P21" s="591">
        <f>N21</f>
        <v>0</v>
      </c>
      <c r="Q21" s="677">
        <v>5531</v>
      </c>
      <c r="R21" s="252"/>
      <c r="S21" s="252"/>
    </row>
    <row r="22" spans="1:19" s="25" customFormat="1" ht="12">
      <c r="A22" s="21"/>
      <c r="B22" s="31" t="s">
        <v>40</v>
      </c>
      <c r="C22" s="31"/>
      <c r="D22" s="31"/>
      <c r="E22" s="33">
        <v>20</v>
      </c>
      <c r="F22" s="119">
        <f t="shared" si="3"/>
        <v>20</v>
      </c>
      <c r="G22" s="596">
        <v>20</v>
      </c>
      <c r="H22" s="89"/>
      <c r="I22" s="90"/>
      <c r="J22" s="307"/>
      <c r="K22" s="90"/>
      <c r="L22" s="91"/>
      <c r="M22" s="119"/>
      <c r="N22" s="419"/>
      <c r="O22" s="412">
        <f t="shared" si="4"/>
        <v>0</v>
      </c>
      <c r="P22" s="92">
        <f>P37</f>
        <v>0</v>
      </c>
      <c r="Q22" s="677">
        <v>6990</v>
      </c>
      <c r="R22" s="252"/>
      <c r="S22" s="252"/>
    </row>
    <row r="23" spans="1:19" s="25" customFormat="1" ht="12">
      <c r="A23" s="21"/>
      <c r="B23" s="31" t="s">
        <v>42</v>
      </c>
      <c r="C23" s="31"/>
      <c r="D23" s="31"/>
      <c r="E23" s="33">
        <v>21</v>
      </c>
      <c r="F23" s="119">
        <f t="shared" si="3"/>
        <v>0</v>
      </c>
      <c r="G23" s="596"/>
      <c r="H23" s="89"/>
      <c r="I23" s="90"/>
      <c r="J23" s="307"/>
      <c r="K23" s="90"/>
      <c r="L23" s="91"/>
      <c r="M23" s="119">
        <f>M39</f>
        <v>0</v>
      </c>
      <c r="N23" s="419"/>
      <c r="O23" s="412">
        <f t="shared" si="4"/>
        <v>0</v>
      </c>
      <c r="P23" s="92">
        <f>P39</f>
        <v>0</v>
      </c>
      <c r="Q23" s="677"/>
      <c r="R23" s="252"/>
      <c r="S23" s="252"/>
    </row>
    <row r="24" spans="1:19" s="25" customFormat="1" ht="12">
      <c r="A24" s="21"/>
      <c r="B24" s="31" t="s">
        <v>43</v>
      </c>
      <c r="C24" s="31"/>
      <c r="D24" s="31"/>
      <c r="E24" s="33">
        <v>22</v>
      </c>
      <c r="F24" s="119">
        <f t="shared" si="3"/>
        <v>1192</v>
      </c>
      <c r="G24" s="596">
        <v>1192</v>
      </c>
      <c r="H24" s="89"/>
      <c r="I24" s="90"/>
      <c r="J24" s="307"/>
      <c r="K24" s="90"/>
      <c r="L24" s="91"/>
      <c r="M24" s="119">
        <f>M40</f>
        <v>0</v>
      </c>
      <c r="N24" s="419"/>
      <c r="O24" s="412">
        <f t="shared" si="4"/>
        <v>0</v>
      </c>
      <c r="P24" s="92">
        <f>P40</f>
        <v>0</v>
      </c>
      <c r="Q24" s="677">
        <v>1399</v>
      </c>
      <c r="R24" s="252"/>
      <c r="S24" s="252"/>
    </row>
    <row r="25" spans="1:19" s="640" customFormat="1" ht="12">
      <c r="A25" s="628"/>
      <c r="B25" s="629" t="s">
        <v>186</v>
      </c>
      <c r="C25" s="629"/>
      <c r="D25" s="629"/>
      <c r="E25" s="630">
        <v>23</v>
      </c>
      <c r="F25" s="631">
        <f t="shared" si="3"/>
        <v>2641</v>
      </c>
      <c r="G25" s="986">
        <v>2641</v>
      </c>
      <c r="H25" s="672"/>
      <c r="I25" s="665"/>
      <c r="J25" s="673"/>
      <c r="K25" s="665"/>
      <c r="L25" s="674"/>
      <c r="M25" s="631"/>
      <c r="N25" s="675"/>
      <c r="O25" s="676">
        <f t="shared" si="4"/>
        <v>0</v>
      </c>
      <c r="P25" s="591">
        <f>P41</f>
        <v>2641</v>
      </c>
      <c r="Q25" s="677">
        <v>1003</v>
      </c>
      <c r="R25" s="252"/>
      <c r="S25" s="252"/>
    </row>
    <row r="26" spans="1:19" s="25" customFormat="1" ht="12">
      <c r="A26" s="21"/>
      <c r="B26" s="31" t="s">
        <v>45</v>
      </c>
      <c r="C26" s="31"/>
      <c r="D26" s="31"/>
      <c r="E26" s="33">
        <v>24</v>
      </c>
      <c r="F26" s="119">
        <f t="shared" si="3"/>
        <v>0</v>
      </c>
      <c r="G26" s="596"/>
      <c r="H26" s="89"/>
      <c r="I26" s="90"/>
      <c r="J26" s="307"/>
      <c r="K26" s="90"/>
      <c r="L26" s="91"/>
      <c r="M26" s="119"/>
      <c r="N26" s="419"/>
      <c r="O26" s="412">
        <f t="shared" si="4"/>
        <v>0</v>
      </c>
      <c r="P26" s="92">
        <f>P42</f>
        <v>0</v>
      </c>
      <c r="Q26" s="677"/>
      <c r="R26" s="252"/>
      <c r="S26" s="252"/>
    </row>
    <row r="27" spans="1:19" s="25" customFormat="1" ht="12.75" thickBot="1">
      <c r="A27" s="21"/>
      <c r="B27" s="30" t="s">
        <v>47</v>
      </c>
      <c r="C27" s="30"/>
      <c r="D27" s="30"/>
      <c r="E27" s="28">
        <v>25</v>
      </c>
      <c r="F27" s="119">
        <f t="shared" si="3"/>
        <v>895</v>
      </c>
      <c r="G27" s="596">
        <v>895</v>
      </c>
      <c r="H27" s="89"/>
      <c r="I27" s="90"/>
      <c r="J27" s="307"/>
      <c r="K27" s="90"/>
      <c r="L27" s="91"/>
      <c r="M27" s="119"/>
      <c r="N27" s="419"/>
      <c r="O27" s="412">
        <f t="shared" si="4"/>
        <v>0</v>
      </c>
      <c r="P27" s="100" t="e">
        <f>N27/titl!$H$17*12</f>
        <v>#DIV/0!</v>
      </c>
      <c r="Q27" s="677">
        <v>895</v>
      </c>
      <c r="R27" s="252"/>
      <c r="S27" s="252"/>
    </row>
    <row r="28" spans="1:17" ht="13.5" thickBot="1">
      <c r="A28" s="37" t="s">
        <v>49</v>
      </c>
      <c r="B28" s="38"/>
      <c r="C28" s="38"/>
      <c r="D28" s="38"/>
      <c r="E28" s="19">
        <v>26</v>
      </c>
      <c r="F28" s="197">
        <f>SUM(F29:F45)</f>
        <v>119427</v>
      </c>
      <c r="G28" s="597">
        <f aca="true" t="shared" si="5" ref="G28:N28">SUM(G29:G45)</f>
        <v>105171</v>
      </c>
      <c r="H28" s="125">
        <f t="shared" si="5"/>
        <v>11510</v>
      </c>
      <c r="I28" s="77">
        <f t="shared" si="5"/>
        <v>0</v>
      </c>
      <c r="J28" s="304">
        <f t="shared" si="5"/>
        <v>0</v>
      </c>
      <c r="K28" s="77">
        <f t="shared" si="5"/>
        <v>1146</v>
      </c>
      <c r="L28" s="76">
        <f t="shared" si="5"/>
        <v>1600</v>
      </c>
      <c r="M28" s="197">
        <f>SUM(M29:M45)</f>
        <v>0</v>
      </c>
      <c r="N28" s="471">
        <f t="shared" si="5"/>
        <v>0</v>
      </c>
      <c r="O28" s="413">
        <f t="shared" si="4"/>
        <v>0</v>
      </c>
      <c r="P28" s="78" t="e">
        <f>SUM(P29:P45)</f>
        <v>#DIV/0!</v>
      </c>
      <c r="Q28" s="588">
        <f>SUM(Q29:Q45)</f>
        <v>102219</v>
      </c>
    </row>
    <row r="29" spans="1:19" s="25" customFormat="1" ht="12">
      <c r="A29" s="21" t="s">
        <v>14</v>
      </c>
      <c r="B29" s="27" t="s">
        <v>50</v>
      </c>
      <c r="C29" s="27"/>
      <c r="D29" s="27"/>
      <c r="E29" s="28">
        <v>27</v>
      </c>
      <c r="F29" s="119">
        <f t="shared" si="3"/>
        <v>56535</v>
      </c>
      <c r="G29" s="608">
        <v>56535</v>
      </c>
      <c r="H29" s="112"/>
      <c r="I29" s="81"/>
      <c r="J29" s="305"/>
      <c r="K29" s="81"/>
      <c r="L29" s="80"/>
      <c r="M29" s="198"/>
      <c r="N29" s="417"/>
      <c r="O29" s="412">
        <f t="shared" si="4"/>
        <v>0</v>
      </c>
      <c r="P29" s="92">
        <f>M29</f>
        <v>0</v>
      </c>
      <c r="Q29" s="964">
        <v>64941</v>
      </c>
      <c r="R29" s="252">
        <v>5813</v>
      </c>
      <c r="S29" s="252"/>
    </row>
    <row r="30" spans="1:19" s="25" customFormat="1" ht="12">
      <c r="A30" s="21"/>
      <c r="B30" s="30" t="s">
        <v>28</v>
      </c>
      <c r="C30" s="30"/>
      <c r="D30" s="30"/>
      <c r="E30" s="28">
        <v>28</v>
      </c>
      <c r="F30" s="119">
        <f t="shared" si="3"/>
        <v>3100</v>
      </c>
      <c r="G30" s="499">
        <f>G16</f>
        <v>3100</v>
      </c>
      <c r="H30" s="126"/>
      <c r="I30" s="95"/>
      <c r="J30" s="308"/>
      <c r="K30" s="95"/>
      <c r="L30" s="94"/>
      <c r="M30" s="472"/>
      <c r="N30" s="420"/>
      <c r="O30" s="412">
        <f t="shared" si="4"/>
        <v>0</v>
      </c>
      <c r="P30" s="92">
        <f>M30</f>
        <v>0</v>
      </c>
      <c r="Q30" s="710">
        <f>Q16</f>
        <v>3082</v>
      </c>
      <c r="R30" s="252"/>
      <c r="S30" s="252"/>
    </row>
    <row r="31" spans="1:19" s="25" customFormat="1" ht="12">
      <c r="A31" s="21"/>
      <c r="B31" s="30" t="s">
        <v>30</v>
      </c>
      <c r="C31" s="30"/>
      <c r="D31" s="30"/>
      <c r="E31" s="28">
        <v>29</v>
      </c>
      <c r="F31" s="119">
        <f t="shared" si="3"/>
        <v>0</v>
      </c>
      <c r="G31" s="499">
        <f>G17</f>
        <v>0</v>
      </c>
      <c r="H31" s="126"/>
      <c r="I31" s="95"/>
      <c r="J31" s="308"/>
      <c r="K31" s="95"/>
      <c r="L31" s="94"/>
      <c r="M31" s="472"/>
      <c r="N31" s="420"/>
      <c r="O31" s="412">
        <f t="shared" si="4"/>
        <v>0</v>
      </c>
      <c r="P31" s="92">
        <f>M31</f>
        <v>0</v>
      </c>
      <c r="Q31" s="710"/>
      <c r="R31" s="252"/>
      <c r="S31" s="252"/>
    </row>
    <row r="32" spans="1:19" s="25" customFormat="1" ht="12">
      <c r="A32" s="21"/>
      <c r="B32" s="31" t="s">
        <v>32</v>
      </c>
      <c r="C32" s="32"/>
      <c r="D32" s="32"/>
      <c r="E32" s="33">
        <v>30</v>
      </c>
      <c r="F32" s="119">
        <f t="shared" si="3"/>
        <v>1357</v>
      </c>
      <c r="G32" s="499">
        <f>G18</f>
        <v>1357</v>
      </c>
      <c r="H32" s="126"/>
      <c r="I32" s="95"/>
      <c r="J32" s="308"/>
      <c r="K32" s="95"/>
      <c r="L32" s="94"/>
      <c r="M32" s="472"/>
      <c r="N32" s="420"/>
      <c r="O32" s="412">
        <f t="shared" si="4"/>
        <v>0</v>
      </c>
      <c r="P32" s="92">
        <f>M32</f>
        <v>0</v>
      </c>
      <c r="Q32" s="710">
        <f>Q18</f>
        <v>2012</v>
      </c>
      <c r="R32" s="252"/>
      <c r="S32" s="252"/>
    </row>
    <row r="33" spans="1:19" s="25" customFormat="1" ht="12">
      <c r="A33" s="21"/>
      <c r="B33" s="31" t="s">
        <v>34</v>
      </c>
      <c r="C33" s="31"/>
      <c r="D33" s="31"/>
      <c r="E33" s="33">
        <v>31</v>
      </c>
      <c r="F33" s="119">
        <f t="shared" si="3"/>
        <v>545</v>
      </c>
      <c r="G33" s="499">
        <f>G19</f>
        <v>545</v>
      </c>
      <c r="H33" s="126"/>
      <c r="I33" s="95"/>
      <c r="J33" s="308"/>
      <c r="K33" s="95"/>
      <c r="L33" s="94"/>
      <c r="M33" s="472"/>
      <c r="N33" s="420"/>
      <c r="O33" s="412">
        <f t="shared" si="4"/>
        <v>0</v>
      </c>
      <c r="P33" s="92">
        <f>M33</f>
        <v>0</v>
      </c>
      <c r="Q33" s="710">
        <f>Q19</f>
        <v>949</v>
      </c>
      <c r="R33" s="252"/>
      <c r="S33" s="252"/>
    </row>
    <row r="34" spans="1:19" s="25" customFormat="1" ht="12">
      <c r="A34" s="21"/>
      <c r="B34" s="31" t="s">
        <v>52</v>
      </c>
      <c r="C34" s="31"/>
      <c r="D34" s="31"/>
      <c r="E34" s="33">
        <v>32</v>
      </c>
      <c r="F34" s="119">
        <f t="shared" si="3"/>
        <v>0</v>
      </c>
      <c r="G34" s="499"/>
      <c r="H34" s="126"/>
      <c r="I34" s="95"/>
      <c r="J34" s="308"/>
      <c r="K34" s="95"/>
      <c r="L34" s="94"/>
      <c r="M34" s="472"/>
      <c r="N34" s="420"/>
      <c r="O34" s="412">
        <f t="shared" si="4"/>
        <v>0</v>
      </c>
      <c r="P34" s="92">
        <f>F34</f>
        <v>0</v>
      </c>
      <c r="Q34" s="710"/>
      <c r="R34" s="252"/>
      <c r="S34" s="252"/>
    </row>
    <row r="35" spans="1:19" s="25" customFormat="1" ht="12">
      <c r="A35" s="21"/>
      <c r="B35" s="31" t="s">
        <v>36</v>
      </c>
      <c r="C35" s="31"/>
      <c r="D35" s="31"/>
      <c r="E35" s="33">
        <v>33</v>
      </c>
      <c r="F35" s="119">
        <f t="shared" si="3"/>
        <v>0</v>
      </c>
      <c r="G35" s="499">
        <f>G20</f>
        <v>0</v>
      </c>
      <c r="H35" s="126"/>
      <c r="I35" s="95"/>
      <c r="J35" s="308"/>
      <c r="K35" s="95"/>
      <c r="L35" s="94"/>
      <c r="M35" s="472"/>
      <c r="N35" s="420"/>
      <c r="O35" s="412">
        <f t="shared" si="4"/>
        <v>0</v>
      </c>
      <c r="P35" s="92">
        <f>F35</f>
        <v>0</v>
      </c>
      <c r="Q35" s="710"/>
      <c r="R35" s="252"/>
      <c r="S35" s="252"/>
    </row>
    <row r="36" spans="1:19" s="640" customFormat="1" ht="12">
      <c r="A36" s="628"/>
      <c r="B36" s="629" t="s">
        <v>175</v>
      </c>
      <c r="C36" s="629"/>
      <c r="D36" s="629"/>
      <c r="E36" s="630">
        <v>34</v>
      </c>
      <c r="F36" s="631">
        <f t="shared" si="3"/>
        <v>28939</v>
      </c>
      <c r="G36" s="907">
        <f>G21</f>
        <v>28939</v>
      </c>
      <c r="H36" s="704"/>
      <c r="I36" s="695"/>
      <c r="J36" s="705"/>
      <c r="K36" s="695"/>
      <c r="L36" s="706"/>
      <c r="M36" s="632"/>
      <c r="N36" s="709"/>
      <c r="O36" s="676">
        <f t="shared" si="4"/>
        <v>0</v>
      </c>
      <c r="P36" s="591">
        <f>P21</f>
        <v>0</v>
      </c>
      <c r="Q36" s="710">
        <f>Q21</f>
        <v>5531</v>
      </c>
      <c r="R36" s="252"/>
      <c r="S36" s="252"/>
    </row>
    <row r="37" spans="1:19" s="25" customFormat="1" ht="12">
      <c r="A37" s="21"/>
      <c r="B37" s="31" t="s">
        <v>54</v>
      </c>
      <c r="C37" s="31"/>
      <c r="D37" s="31"/>
      <c r="E37" s="33">
        <v>35</v>
      </c>
      <c r="F37" s="119">
        <f t="shared" si="3"/>
        <v>20</v>
      </c>
      <c r="G37" s="907">
        <f>G22</f>
        <v>20</v>
      </c>
      <c r="H37" s="126"/>
      <c r="I37" s="95"/>
      <c r="J37" s="308"/>
      <c r="K37" s="95"/>
      <c r="L37" s="94"/>
      <c r="M37" s="472"/>
      <c r="N37" s="420"/>
      <c r="O37" s="412">
        <f t="shared" si="4"/>
        <v>0</v>
      </c>
      <c r="P37" s="92">
        <f>N37</f>
        <v>0</v>
      </c>
      <c r="Q37" s="710">
        <f>Q22</f>
        <v>6990</v>
      </c>
      <c r="R37" s="546"/>
      <c r="S37" s="252"/>
    </row>
    <row r="38" spans="1:19" s="25" customFormat="1" ht="12">
      <c r="A38" s="21"/>
      <c r="B38" s="31" t="s">
        <v>170</v>
      </c>
      <c r="C38" s="31"/>
      <c r="D38" s="31"/>
      <c r="E38" s="33">
        <v>36</v>
      </c>
      <c r="F38" s="119">
        <f t="shared" si="3"/>
        <v>551</v>
      </c>
      <c r="G38" s="907">
        <v>551</v>
      </c>
      <c r="H38" s="126"/>
      <c r="I38" s="95"/>
      <c r="J38" s="308"/>
      <c r="K38" s="95"/>
      <c r="L38" s="94"/>
      <c r="M38" s="472"/>
      <c r="N38" s="420"/>
      <c r="O38" s="412">
        <f t="shared" si="4"/>
        <v>0</v>
      </c>
      <c r="P38" s="92">
        <f>N38</f>
        <v>0</v>
      </c>
      <c r="Q38" s="710">
        <v>276</v>
      </c>
      <c r="R38" s="252"/>
      <c r="S38" s="252"/>
    </row>
    <row r="39" spans="1:19" s="25" customFormat="1" ht="12">
      <c r="A39" s="21"/>
      <c r="B39" s="31" t="s">
        <v>56</v>
      </c>
      <c r="C39" s="31"/>
      <c r="D39" s="31"/>
      <c r="E39" s="33">
        <v>37</v>
      </c>
      <c r="F39" s="119">
        <f t="shared" si="3"/>
        <v>0</v>
      </c>
      <c r="G39" s="499">
        <f>G23</f>
        <v>0</v>
      </c>
      <c r="H39" s="126"/>
      <c r="I39" s="95"/>
      <c r="J39" s="308"/>
      <c r="K39" s="95"/>
      <c r="L39" s="94"/>
      <c r="M39" s="472"/>
      <c r="N39" s="420"/>
      <c r="O39" s="412">
        <f t="shared" si="4"/>
        <v>0</v>
      </c>
      <c r="P39" s="92">
        <f>N39</f>
        <v>0</v>
      </c>
      <c r="Q39" s="710"/>
      <c r="R39" s="252"/>
      <c r="S39" s="252"/>
    </row>
    <row r="40" spans="1:19" s="25" customFormat="1" ht="12">
      <c r="A40" s="21"/>
      <c r="B40" s="31" t="s">
        <v>57</v>
      </c>
      <c r="C40" s="31"/>
      <c r="D40" s="31"/>
      <c r="E40" s="33">
        <v>38</v>
      </c>
      <c r="F40" s="119">
        <f t="shared" si="3"/>
        <v>1192</v>
      </c>
      <c r="G40" s="499">
        <f>G24</f>
        <v>1192</v>
      </c>
      <c r="H40" s="126"/>
      <c r="I40" s="95"/>
      <c r="J40" s="308"/>
      <c r="K40" s="95"/>
      <c r="L40" s="94"/>
      <c r="M40" s="472"/>
      <c r="N40" s="420"/>
      <c r="O40" s="412">
        <f t="shared" si="4"/>
        <v>0</v>
      </c>
      <c r="P40" s="92">
        <f>N40</f>
        <v>0</v>
      </c>
      <c r="Q40" s="710">
        <f>Q24</f>
        <v>1399</v>
      </c>
      <c r="R40" s="252"/>
      <c r="S40" s="252">
        <v>0</v>
      </c>
    </row>
    <row r="41" spans="1:19" s="640" customFormat="1" ht="12">
      <c r="A41" s="628"/>
      <c r="B41" s="629" t="s">
        <v>186</v>
      </c>
      <c r="C41" s="629"/>
      <c r="D41" s="629"/>
      <c r="E41" s="630">
        <v>39</v>
      </c>
      <c r="F41" s="631">
        <f t="shared" si="3"/>
        <v>2641</v>
      </c>
      <c r="G41" s="907">
        <f>G25</f>
        <v>2641</v>
      </c>
      <c r="H41" s="704"/>
      <c r="I41" s="695"/>
      <c r="J41" s="705"/>
      <c r="K41" s="695"/>
      <c r="L41" s="706"/>
      <c r="M41" s="632"/>
      <c r="N41" s="709"/>
      <c r="O41" s="721">
        <f t="shared" si="4"/>
        <v>0</v>
      </c>
      <c r="P41" s="591">
        <f>F41</f>
        <v>2641</v>
      </c>
      <c r="Q41" s="710">
        <f>Q25</f>
        <v>1003</v>
      </c>
      <c r="R41" s="252"/>
      <c r="S41" s="252"/>
    </row>
    <row r="42" spans="1:19" s="25" customFormat="1" ht="12">
      <c r="A42" s="21"/>
      <c r="B42" s="31" t="s">
        <v>58</v>
      </c>
      <c r="C42" s="31"/>
      <c r="D42" s="31"/>
      <c r="E42" s="33">
        <v>40</v>
      </c>
      <c r="F42" s="119">
        <f t="shared" si="3"/>
        <v>0</v>
      </c>
      <c r="G42" s="499">
        <f>G26</f>
        <v>0</v>
      </c>
      <c r="H42" s="126"/>
      <c r="I42" s="95"/>
      <c r="J42" s="308"/>
      <c r="K42" s="95"/>
      <c r="L42" s="94"/>
      <c r="M42" s="472"/>
      <c r="N42" s="420"/>
      <c r="O42" s="414">
        <f t="shared" si="4"/>
        <v>0</v>
      </c>
      <c r="P42" s="92">
        <f>N42</f>
        <v>0</v>
      </c>
      <c r="Q42" s="710"/>
      <c r="R42" s="252"/>
      <c r="S42" s="252"/>
    </row>
    <row r="43" spans="1:19" s="25" customFormat="1" ht="12">
      <c r="A43" s="21"/>
      <c r="B43" s="31" t="s">
        <v>59</v>
      </c>
      <c r="C43" s="31"/>
      <c r="D43" s="31"/>
      <c r="E43" s="33">
        <v>41</v>
      </c>
      <c r="F43" s="531">
        <f t="shared" si="3"/>
        <v>9254</v>
      </c>
      <c r="G43" s="499">
        <v>9254</v>
      </c>
      <c r="H43" s="126"/>
      <c r="I43" s="95"/>
      <c r="J43" s="308"/>
      <c r="K43" s="95"/>
      <c r="L43" s="229"/>
      <c r="M43" s="472"/>
      <c r="N43" s="420"/>
      <c r="O43" s="414">
        <f t="shared" si="4"/>
        <v>0</v>
      </c>
      <c r="P43" s="92" t="e">
        <f>(N43-N49)/titl!H17*12+N49</f>
        <v>#DIV/0!</v>
      </c>
      <c r="Q43" s="710">
        <v>12659</v>
      </c>
      <c r="R43" s="252"/>
      <c r="S43" s="252"/>
    </row>
    <row r="44" spans="1:19" s="25" customFormat="1" ht="12">
      <c r="A44" s="21"/>
      <c r="B44" s="31" t="s">
        <v>60</v>
      </c>
      <c r="C44" s="31"/>
      <c r="D44" s="31"/>
      <c r="E44" s="33">
        <v>42</v>
      </c>
      <c r="F44" s="531">
        <f t="shared" si="3"/>
        <v>14256</v>
      </c>
      <c r="G44" s="612"/>
      <c r="H44" s="126">
        <f>H3</f>
        <v>11510</v>
      </c>
      <c r="I44" s="95"/>
      <c r="J44" s="308"/>
      <c r="K44" s="95">
        <f>K15</f>
        <v>1146</v>
      </c>
      <c r="L44" s="94">
        <f>L3</f>
        <v>1600</v>
      </c>
      <c r="M44" s="472"/>
      <c r="N44" s="420"/>
      <c r="O44" s="414">
        <f t="shared" si="4"/>
        <v>0</v>
      </c>
      <c r="P44" s="92">
        <f>N44</f>
        <v>0</v>
      </c>
      <c r="Q44" s="710">
        <v>2340</v>
      </c>
      <c r="R44" s="252"/>
      <c r="S44" s="252">
        <v>9</v>
      </c>
    </row>
    <row r="45" spans="1:19" s="25" customFormat="1" ht="12.75" thickBot="1">
      <c r="A45" s="40"/>
      <c r="B45" s="41" t="s">
        <v>47</v>
      </c>
      <c r="C45" s="41"/>
      <c r="D45" s="41"/>
      <c r="E45" s="42">
        <v>43</v>
      </c>
      <c r="F45" s="200">
        <f t="shared" si="3"/>
        <v>1037</v>
      </c>
      <c r="G45" s="500">
        <v>1037</v>
      </c>
      <c r="H45" s="174"/>
      <c r="I45" s="99"/>
      <c r="J45" s="309"/>
      <c r="K45" s="99"/>
      <c r="L45" s="98"/>
      <c r="M45" s="200"/>
      <c r="N45" s="421"/>
      <c r="O45" s="415">
        <f t="shared" si="4"/>
        <v>0</v>
      </c>
      <c r="P45" s="100" t="e">
        <f>N45/titl!$H$17*12</f>
        <v>#DIV/0!</v>
      </c>
      <c r="Q45" s="965">
        <v>1037</v>
      </c>
      <c r="R45" s="252"/>
      <c r="S45" s="252"/>
    </row>
    <row r="46" spans="1:19" s="25" customFormat="1" ht="12.75" hidden="1" thickBot="1">
      <c r="A46" s="44" t="s">
        <v>61</v>
      </c>
      <c r="B46" s="45"/>
      <c r="C46" s="45"/>
      <c r="D46" s="45"/>
      <c r="E46" s="28">
        <v>44</v>
      </c>
      <c r="F46" s="201">
        <f>F29+F34+F38+F43+F44+F45-F4-F27</f>
        <v>309</v>
      </c>
      <c r="G46" s="613">
        <f>G29+G34+G38+G43+G45-G4-G27</f>
        <v>309</v>
      </c>
      <c r="H46" s="102">
        <f>H29+H34+H38+H43+H44+H45-H4-H27</f>
        <v>0</v>
      </c>
      <c r="I46" s="102">
        <f>I29+I34+I38+I43+I44+I45-I4-I27</f>
        <v>0</v>
      </c>
      <c r="J46" s="102">
        <f>J29+J34+J38+J43+J44+J45-J4-J27</f>
        <v>0</v>
      </c>
      <c r="K46" s="320"/>
      <c r="L46" s="102">
        <f>L29+L34+L38+L43+L44+L45-L4-L27</f>
        <v>0</v>
      </c>
      <c r="M46" s="201">
        <f>M29+M34+M38+M43+M44+M45+-M4-M27</f>
        <v>0</v>
      </c>
      <c r="N46" s="422">
        <f>N29+N34+N38+N43+N44+N45-N4-N27</f>
        <v>0</v>
      </c>
      <c r="O46" s="416"/>
      <c r="P46" s="103" t="e">
        <f>P29+P34+P38+P43+P44+P45-P4-P27</f>
        <v>#DIV/0!</v>
      </c>
      <c r="Q46" s="593">
        <f>Q29+Q34+Q38+Q43+Q44+Q45-Q4-Q27</f>
        <v>3420</v>
      </c>
      <c r="R46" s="252"/>
      <c r="S46" s="252"/>
    </row>
    <row r="47" spans="1:17" ht="13.5" thickBot="1">
      <c r="A47" s="37" t="s">
        <v>62</v>
      </c>
      <c r="B47" s="38"/>
      <c r="C47" s="38"/>
      <c r="D47" s="38"/>
      <c r="E47" s="19">
        <v>45</v>
      </c>
      <c r="F47" s="197">
        <f>F28-F3</f>
        <v>309</v>
      </c>
      <c r="G47" s="597">
        <f aca="true" t="shared" si="6" ref="G47:N47">G28-G3</f>
        <v>309</v>
      </c>
      <c r="H47" s="125">
        <f t="shared" si="6"/>
        <v>0</v>
      </c>
      <c r="I47" s="77">
        <f t="shared" si="6"/>
        <v>0</v>
      </c>
      <c r="J47" s="304">
        <f t="shared" si="6"/>
        <v>0</v>
      </c>
      <c r="K47" s="77">
        <f t="shared" si="6"/>
        <v>0</v>
      </c>
      <c r="L47" s="76">
        <f t="shared" si="6"/>
        <v>0</v>
      </c>
      <c r="M47" s="197">
        <f>M28-M3</f>
        <v>0</v>
      </c>
      <c r="N47" s="471">
        <f t="shared" si="6"/>
        <v>0</v>
      </c>
      <c r="O47" s="78"/>
      <c r="P47" s="78" t="e">
        <f>P28-P3</f>
        <v>#DIV/0!</v>
      </c>
      <c r="Q47" s="588">
        <f>Q28-Q3</f>
        <v>3420</v>
      </c>
    </row>
    <row r="48" spans="1:13" ht="12.75">
      <c r="A48" s="47" t="s">
        <v>228</v>
      </c>
      <c r="B48" s="47"/>
      <c r="C48" s="47"/>
      <c r="D48" s="231"/>
      <c r="E48" s="48"/>
      <c r="F48" s="254"/>
      <c r="G48" s="260"/>
      <c r="H48" s="260"/>
      <c r="I48" s="260"/>
      <c r="J48" s="260"/>
      <c r="K48" s="260"/>
      <c r="L48" s="254"/>
      <c r="M48" s="254"/>
    </row>
    <row r="49" spans="5:19" s="47" customFormat="1" ht="11.25">
      <c r="E49" s="48"/>
      <c r="G49" s="59"/>
      <c r="H49" s="59"/>
      <c r="I49" s="59"/>
      <c r="J49" s="1058"/>
      <c r="K49" s="1058"/>
      <c r="L49" s="1058"/>
      <c r="M49" s="240"/>
      <c r="N49" s="874"/>
      <c r="O49" s="401"/>
      <c r="P49" s="401"/>
      <c r="Q49" s="255"/>
      <c r="R49" s="252"/>
      <c r="S49" s="252"/>
    </row>
    <row r="50" spans="1:19" s="47" customFormat="1" ht="11.25">
      <c r="A50" s="51" t="s">
        <v>90</v>
      </c>
      <c r="E50" s="48"/>
      <c r="F50" s="202"/>
      <c r="G50" s="59"/>
      <c r="I50" s="337"/>
      <c r="L50" s="59"/>
      <c r="M50" s="59"/>
      <c r="N50" s="59"/>
      <c r="O50" s="401"/>
      <c r="P50" s="401"/>
      <c r="Q50" s="255"/>
      <c r="R50" s="252"/>
      <c r="S50" s="252"/>
    </row>
    <row r="51" spans="5:19" s="260" customFormat="1" ht="11.25">
      <c r="E51" s="261"/>
      <c r="O51" s="401"/>
      <c r="P51" s="401"/>
      <c r="Q51" s="255"/>
      <c r="R51" s="252"/>
      <c r="S51" s="252"/>
    </row>
    <row r="52" spans="1:19" s="59" customFormat="1" ht="11.25">
      <c r="A52" s="51"/>
      <c r="B52" s="51"/>
      <c r="C52" s="51"/>
      <c r="D52" s="51"/>
      <c r="E52" s="57"/>
      <c r="F52" s="47"/>
      <c r="O52" s="401"/>
      <c r="P52" s="401"/>
      <c r="Q52" s="255"/>
      <c r="R52" s="255"/>
      <c r="S52" s="255"/>
    </row>
    <row r="53" spans="1:19" s="59" customFormat="1" ht="11.25">
      <c r="A53" s="51"/>
      <c r="C53" s="51"/>
      <c r="D53" s="51"/>
      <c r="E53" s="57"/>
      <c r="F53" s="47"/>
      <c r="O53" s="401"/>
      <c r="P53" s="401"/>
      <c r="Q53" s="255"/>
      <c r="R53" s="255"/>
      <c r="S53" s="255"/>
    </row>
    <row r="54" spans="1:19" s="59" customFormat="1" ht="11.25">
      <c r="A54" s="51"/>
      <c r="B54" s="51"/>
      <c r="C54" s="51"/>
      <c r="D54" s="51"/>
      <c r="E54" s="57"/>
      <c r="F54" s="47"/>
      <c r="O54" s="401"/>
      <c r="P54" s="401"/>
      <c r="Q54" s="255"/>
      <c r="R54" s="255"/>
      <c r="S54" s="255"/>
    </row>
  </sheetData>
  <mergeCells count="6">
    <mergeCell ref="J49:L49"/>
    <mergeCell ref="R1:R2"/>
    <mergeCell ref="S1:S2"/>
    <mergeCell ref="A1:D1"/>
    <mergeCell ref="H1:L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56"/>
  <sheetViews>
    <sheetView workbookViewId="0" topLeftCell="A1">
      <pane ySplit="3" topLeftCell="BM50" activePane="bottomLeft" state="frozen"/>
      <selection pane="topLeft" activeCell="A34" sqref="A34"/>
      <selection pane="bottomLeft" activeCell="A34" sqref="A34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60" bestFit="1" customWidth="1"/>
    <col min="6" max="6" width="9.625" style="47" bestFit="1" customWidth="1"/>
    <col min="7" max="7" width="9.625" style="123" bestFit="1" customWidth="1"/>
    <col min="8" max="11" width="8.00390625" style="59" customWidth="1"/>
    <col min="12" max="12" width="8.125" style="59" customWidth="1"/>
    <col min="13" max="13" width="9.375" style="59" hidden="1" customWidth="1"/>
    <col min="14" max="14" width="10.625" style="59" hidden="1" customWidth="1" collapsed="1"/>
    <col min="15" max="15" width="8.00390625" style="253" hidden="1" customWidth="1"/>
    <col min="16" max="16" width="11.25390625" style="401" hidden="1" customWidth="1"/>
    <col min="17" max="17" width="9.75390625" style="255" customWidth="1" collapsed="1"/>
    <col min="18" max="18" width="6.875" style="255" customWidth="1"/>
    <col min="19" max="19" width="5.125" style="255" customWidth="1"/>
  </cols>
  <sheetData>
    <row r="1" spans="1:19" ht="15.75" customHeight="1">
      <c r="A1" s="1046" t="s">
        <v>236</v>
      </c>
      <c r="B1" s="1047"/>
      <c r="C1" s="1047"/>
      <c r="D1" s="1048"/>
      <c r="E1" s="1"/>
      <c r="F1" s="543" t="s">
        <v>0</v>
      </c>
      <c r="G1" s="606" t="s">
        <v>2</v>
      </c>
      <c r="H1" s="1050" t="s">
        <v>3</v>
      </c>
      <c r="I1" s="1050"/>
      <c r="J1" s="1050"/>
      <c r="K1" s="1050"/>
      <c r="L1" s="1051"/>
      <c r="M1" s="181" t="s">
        <v>1</v>
      </c>
      <c r="N1" s="538" t="s">
        <v>4</v>
      </c>
      <c r="O1" s="67" t="s">
        <v>144</v>
      </c>
      <c r="P1" s="67" t="s">
        <v>145</v>
      </c>
      <c r="Q1" s="947" t="s">
        <v>4</v>
      </c>
      <c r="R1" s="1056" t="s">
        <v>190</v>
      </c>
      <c r="S1" s="1057" t="s">
        <v>188</v>
      </c>
    </row>
    <row r="2" spans="1:19" s="16" customFormat="1" ht="13.5" thickBot="1">
      <c r="A2" s="298" t="s">
        <v>127</v>
      </c>
      <c r="B2" s="7"/>
      <c r="C2" s="1052" t="s">
        <v>81</v>
      </c>
      <c r="D2" s="1053"/>
      <c r="E2" s="9" t="s">
        <v>5</v>
      </c>
      <c r="F2" s="544">
        <v>2011</v>
      </c>
      <c r="G2" s="607" t="s">
        <v>8</v>
      </c>
      <c r="H2" s="69" t="s">
        <v>9</v>
      </c>
      <c r="I2" s="70" t="s">
        <v>10</v>
      </c>
      <c r="J2" s="303" t="s">
        <v>11</v>
      </c>
      <c r="K2" s="248" t="s">
        <v>126</v>
      </c>
      <c r="L2" s="68" t="s">
        <v>12</v>
      </c>
      <c r="M2" s="544" t="s">
        <v>7</v>
      </c>
      <c r="N2" s="539">
        <v>2011</v>
      </c>
      <c r="O2" s="71"/>
      <c r="P2" s="71"/>
      <c r="Q2" s="948">
        <v>2010</v>
      </c>
      <c r="R2" s="1056"/>
      <c r="S2" s="1057"/>
    </row>
    <row r="3" spans="1:17" ht="13.5" thickBot="1">
      <c r="A3" s="17" t="s">
        <v>13</v>
      </c>
      <c r="B3" s="18"/>
      <c r="C3" s="18"/>
      <c r="D3" s="18"/>
      <c r="E3" s="19">
        <v>1</v>
      </c>
      <c r="F3" s="197">
        <f>SUM(F5:F27)</f>
        <v>192348</v>
      </c>
      <c r="G3" s="1008">
        <f aca="true" t="shared" si="0" ref="G3:N3">SUM(G5:G27)</f>
        <v>171626</v>
      </c>
      <c r="H3" s="125">
        <f t="shared" si="0"/>
        <v>18201</v>
      </c>
      <c r="I3" s="77">
        <f t="shared" si="0"/>
        <v>1021</v>
      </c>
      <c r="J3" s="304">
        <f t="shared" si="0"/>
        <v>0</v>
      </c>
      <c r="K3" s="77">
        <f t="shared" si="0"/>
        <v>750</v>
      </c>
      <c r="L3" s="76">
        <f t="shared" si="0"/>
        <v>750</v>
      </c>
      <c r="M3" s="197">
        <f>SUM(M5:M27)</f>
        <v>0</v>
      </c>
      <c r="N3" s="471">
        <f t="shared" si="0"/>
        <v>0</v>
      </c>
      <c r="O3" s="413">
        <f aca="true" t="shared" si="1" ref="O3:O19">IF(F3=0,0,N3/F3)</f>
        <v>0</v>
      </c>
      <c r="P3" s="78" t="e">
        <f>SUM(P5:P27)</f>
        <v>#DIV/0!</v>
      </c>
      <c r="Q3" s="588">
        <f>SUM(Q5:Q27)</f>
        <v>191812</v>
      </c>
    </row>
    <row r="4" spans="1:19" s="25" customFormat="1" ht="12">
      <c r="A4" s="21" t="s">
        <v>14</v>
      </c>
      <c r="B4" s="22" t="s">
        <v>15</v>
      </c>
      <c r="C4" s="22"/>
      <c r="D4" s="22"/>
      <c r="E4" s="23">
        <v>2</v>
      </c>
      <c r="F4" s="198">
        <f aca="true" t="shared" si="2" ref="F4:N4">SUM(F5:F15)</f>
        <v>144655</v>
      </c>
      <c r="G4" s="1009">
        <f t="shared" si="2"/>
        <v>124365</v>
      </c>
      <c r="H4" s="112">
        <f t="shared" si="2"/>
        <v>18201</v>
      </c>
      <c r="I4" s="81">
        <f t="shared" si="2"/>
        <v>589</v>
      </c>
      <c r="J4" s="305">
        <f t="shared" si="2"/>
        <v>0</v>
      </c>
      <c r="K4" s="81">
        <f t="shared" si="2"/>
        <v>750</v>
      </c>
      <c r="L4" s="80">
        <f t="shared" si="2"/>
        <v>750</v>
      </c>
      <c r="M4" s="198">
        <f>SUM(M5:M15)</f>
        <v>0</v>
      </c>
      <c r="N4" s="417">
        <f t="shared" si="2"/>
        <v>0</v>
      </c>
      <c r="O4" s="410">
        <f t="shared" si="1"/>
        <v>0</v>
      </c>
      <c r="P4" s="82" t="e">
        <f>SUM(P5:P15)</f>
        <v>#DIV/0!</v>
      </c>
      <c r="Q4" s="589">
        <f>SUM(Q5:Q15)</f>
        <v>142014</v>
      </c>
      <c r="R4" s="255"/>
      <c r="S4" s="252"/>
    </row>
    <row r="5" spans="1:19" s="65" customFormat="1" ht="12">
      <c r="A5" s="61"/>
      <c r="B5" s="62"/>
      <c r="C5" s="62" t="s">
        <v>16</v>
      </c>
      <c r="D5" s="63" t="s">
        <v>17</v>
      </c>
      <c r="E5" s="64">
        <v>3</v>
      </c>
      <c r="F5" s="199">
        <f>SUM(G5:L5)</f>
        <v>66513</v>
      </c>
      <c r="G5" s="1010">
        <v>63500</v>
      </c>
      <c r="H5" s="241">
        <v>2953</v>
      </c>
      <c r="I5" s="116">
        <v>60</v>
      </c>
      <c r="J5" s="311"/>
      <c r="K5" s="116"/>
      <c r="L5" s="117"/>
      <c r="M5" s="199"/>
      <c r="N5" s="449"/>
      <c r="O5" s="863">
        <f t="shared" si="1"/>
        <v>0</v>
      </c>
      <c r="P5" s="849">
        <f>N5</f>
        <v>0</v>
      </c>
      <c r="Q5" s="671">
        <v>63742</v>
      </c>
      <c r="R5" s="546"/>
      <c r="S5" s="546"/>
    </row>
    <row r="6" spans="1:19" s="65" customFormat="1" ht="12">
      <c r="A6" s="61"/>
      <c r="B6" s="62"/>
      <c r="C6" s="62"/>
      <c r="D6" s="63" t="s">
        <v>18</v>
      </c>
      <c r="E6" s="64">
        <v>4</v>
      </c>
      <c r="F6" s="199">
        <f aca="true" t="shared" si="3" ref="F6:F45">SUM(G6:L6)</f>
        <v>2000</v>
      </c>
      <c r="G6" s="1011">
        <v>2000</v>
      </c>
      <c r="H6" s="241"/>
      <c r="I6" s="116"/>
      <c r="J6" s="311"/>
      <c r="K6" s="116"/>
      <c r="L6" s="117"/>
      <c r="M6" s="199"/>
      <c r="N6" s="449"/>
      <c r="O6" s="863">
        <f t="shared" si="1"/>
        <v>0</v>
      </c>
      <c r="P6" s="849">
        <f>N6</f>
        <v>0</v>
      </c>
      <c r="Q6" s="671">
        <v>1793</v>
      </c>
      <c r="R6" s="546"/>
      <c r="S6" s="546"/>
    </row>
    <row r="7" spans="1:19" s="65" customFormat="1" ht="12">
      <c r="A7" s="61"/>
      <c r="B7" s="62"/>
      <c r="C7" s="62"/>
      <c r="D7" s="63" t="s">
        <v>19</v>
      </c>
      <c r="E7" s="64">
        <v>5</v>
      </c>
      <c r="F7" s="199">
        <f t="shared" si="3"/>
        <v>23450</v>
      </c>
      <c r="G7" s="1011">
        <v>22395</v>
      </c>
      <c r="H7" s="241">
        <v>1034</v>
      </c>
      <c r="I7" s="116">
        <v>21</v>
      </c>
      <c r="J7" s="311"/>
      <c r="K7" s="116"/>
      <c r="L7" s="117"/>
      <c r="M7" s="199"/>
      <c r="N7" s="449"/>
      <c r="O7" s="863">
        <f t="shared" si="1"/>
        <v>0</v>
      </c>
      <c r="P7" s="849">
        <f>N7</f>
        <v>0</v>
      </c>
      <c r="Q7" s="671">
        <v>22925</v>
      </c>
      <c r="R7" s="546"/>
      <c r="S7" s="546"/>
    </row>
    <row r="8" spans="1:19" s="65" customFormat="1" ht="12">
      <c r="A8" s="61"/>
      <c r="B8" s="62"/>
      <c r="C8" s="62"/>
      <c r="D8" s="63" t="s">
        <v>20</v>
      </c>
      <c r="E8" s="64">
        <v>6</v>
      </c>
      <c r="F8" s="199">
        <f t="shared" si="3"/>
        <v>3000</v>
      </c>
      <c r="G8" s="1011"/>
      <c r="H8" s="241">
        <v>3000</v>
      </c>
      <c r="I8" s="116"/>
      <c r="J8" s="311"/>
      <c r="K8" s="116"/>
      <c r="L8" s="117"/>
      <c r="M8" s="199"/>
      <c r="N8" s="449"/>
      <c r="O8" s="863">
        <f t="shared" si="1"/>
        <v>0</v>
      </c>
      <c r="P8" s="127" t="e">
        <f>N8/titl!$H$17*12</f>
        <v>#DIV/0!</v>
      </c>
      <c r="Q8" s="671">
        <v>2622</v>
      </c>
      <c r="R8" s="546"/>
      <c r="S8" s="546"/>
    </row>
    <row r="9" spans="1:19" s="65" customFormat="1" ht="12">
      <c r="A9" s="61"/>
      <c r="B9" s="62"/>
      <c r="C9" s="62"/>
      <c r="D9" s="63" t="s">
        <v>21</v>
      </c>
      <c r="E9" s="64">
        <v>7</v>
      </c>
      <c r="F9" s="199">
        <f t="shared" si="3"/>
        <v>3073</v>
      </c>
      <c r="G9" s="1011">
        <v>2073</v>
      </c>
      <c r="H9" s="241">
        <v>1000</v>
      </c>
      <c r="I9" s="116"/>
      <c r="J9" s="311"/>
      <c r="K9" s="116"/>
      <c r="L9" s="117"/>
      <c r="M9" s="199"/>
      <c r="N9" s="449"/>
      <c r="O9" s="863">
        <f t="shared" si="1"/>
        <v>0</v>
      </c>
      <c r="P9" s="127" t="e">
        <f>N9/titl!$H$17*12</f>
        <v>#DIV/0!</v>
      </c>
      <c r="Q9" s="671">
        <v>1046</v>
      </c>
      <c r="R9" s="546"/>
      <c r="S9" s="546"/>
    </row>
    <row r="10" spans="1:19" s="65" customFormat="1" ht="12">
      <c r="A10" s="61"/>
      <c r="B10" s="62"/>
      <c r="C10" s="62"/>
      <c r="D10" s="63" t="s">
        <v>22</v>
      </c>
      <c r="E10" s="64">
        <v>8</v>
      </c>
      <c r="F10" s="199">
        <f t="shared" si="3"/>
        <v>4500</v>
      </c>
      <c r="G10" s="1011">
        <v>4500</v>
      </c>
      <c r="H10" s="241"/>
      <c r="I10" s="116"/>
      <c r="J10" s="311"/>
      <c r="K10" s="116"/>
      <c r="L10" s="117"/>
      <c r="M10" s="199"/>
      <c r="N10" s="449"/>
      <c r="O10" s="863">
        <f t="shared" si="1"/>
        <v>0</v>
      </c>
      <c r="P10" s="127" t="e">
        <f>N10/titl!$H$17*12</f>
        <v>#DIV/0!</v>
      </c>
      <c r="Q10" s="671">
        <v>3621</v>
      </c>
      <c r="R10" s="546"/>
      <c r="S10" s="546"/>
    </row>
    <row r="11" spans="1:19" s="65" customFormat="1" ht="12">
      <c r="A11" s="61"/>
      <c r="B11" s="62"/>
      <c r="C11" s="62"/>
      <c r="D11" s="63" t="s">
        <v>23</v>
      </c>
      <c r="E11" s="64">
        <v>9</v>
      </c>
      <c r="F11" s="199">
        <f t="shared" si="3"/>
        <v>8056</v>
      </c>
      <c r="G11" s="1011">
        <v>5467</v>
      </c>
      <c r="H11" s="241">
        <v>2556</v>
      </c>
      <c r="I11" s="116">
        <v>33</v>
      </c>
      <c r="J11" s="311"/>
      <c r="K11" s="116"/>
      <c r="L11" s="117"/>
      <c r="M11" s="199"/>
      <c r="N11" s="449"/>
      <c r="O11" s="863">
        <f t="shared" si="1"/>
        <v>0</v>
      </c>
      <c r="P11" s="127" t="e">
        <f>N11/titl!$H$17*12</f>
        <v>#DIV/0!</v>
      </c>
      <c r="Q11" s="671">
        <v>7757</v>
      </c>
      <c r="R11" s="546"/>
      <c r="S11" s="546"/>
    </row>
    <row r="12" spans="1:19" s="65" customFormat="1" ht="12">
      <c r="A12" s="61"/>
      <c r="B12" s="62"/>
      <c r="C12" s="62"/>
      <c r="D12" s="63" t="s">
        <v>24</v>
      </c>
      <c r="E12" s="64">
        <v>10</v>
      </c>
      <c r="F12" s="199">
        <f t="shared" si="3"/>
        <v>1000</v>
      </c>
      <c r="G12" s="1011">
        <v>987</v>
      </c>
      <c r="H12" s="241"/>
      <c r="I12" s="116">
        <v>13</v>
      </c>
      <c r="J12" s="311"/>
      <c r="K12" s="116"/>
      <c r="L12" s="117"/>
      <c r="M12" s="199"/>
      <c r="N12" s="449"/>
      <c r="O12" s="863">
        <f t="shared" si="1"/>
        <v>0</v>
      </c>
      <c r="P12" s="127" t="e">
        <f>N12/titl!$H$17*12</f>
        <v>#DIV/0!</v>
      </c>
      <c r="Q12" s="671">
        <v>813</v>
      </c>
      <c r="R12" s="546"/>
      <c r="S12" s="546"/>
    </row>
    <row r="13" spans="1:19" s="65" customFormat="1" ht="12">
      <c r="A13" s="61"/>
      <c r="B13" s="62"/>
      <c r="C13" s="62"/>
      <c r="D13" s="63" t="s">
        <v>25</v>
      </c>
      <c r="E13" s="64">
        <v>11</v>
      </c>
      <c r="F13" s="199">
        <f t="shared" si="3"/>
        <v>6568</v>
      </c>
      <c r="G13" s="1011">
        <v>4805</v>
      </c>
      <c r="H13" s="241">
        <v>1763</v>
      </c>
      <c r="I13" s="85"/>
      <c r="J13" s="311"/>
      <c r="K13" s="116"/>
      <c r="L13" s="117"/>
      <c r="M13" s="199"/>
      <c r="N13" s="449"/>
      <c r="O13" s="863">
        <f t="shared" si="1"/>
        <v>0</v>
      </c>
      <c r="P13" s="849">
        <f>N13</f>
        <v>0</v>
      </c>
      <c r="Q13" s="671">
        <v>6568</v>
      </c>
      <c r="R13" s="546"/>
      <c r="S13" s="546"/>
    </row>
    <row r="14" spans="1:19" s="65" customFormat="1" ht="12">
      <c r="A14" s="61"/>
      <c r="B14" s="62"/>
      <c r="C14" s="62"/>
      <c r="D14" s="63" t="s">
        <v>26</v>
      </c>
      <c r="E14" s="64">
        <v>12</v>
      </c>
      <c r="F14" s="199">
        <f t="shared" si="3"/>
        <v>1497</v>
      </c>
      <c r="G14" s="1011">
        <v>91</v>
      </c>
      <c r="H14" s="241">
        <v>653</v>
      </c>
      <c r="I14" s="85">
        <v>3</v>
      </c>
      <c r="J14" s="311"/>
      <c r="K14" s="116"/>
      <c r="L14" s="86">
        <v>750</v>
      </c>
      <c r="M14" s="199"/>
      <c r="N14" s="449"/>
      <c r="O14" s="863">
        <f t="shared" si="1"/>
        <v>0</v>
      </c>
      <c r="P14" s="127" t="e">
        <f>N14/titl!$H$17*12</f>
        <v>#DIV/0!</v>
      </c>
      <c r="Q14" s="671">
        <v>1148</v>
      </c>
      <c r="R14" s="546"/>
      <c r="S14" s="546"/>
    </row>
    <row r="15" spans="1:19" s="65" customFormat="1" ht="12">
      <c r="A15" s="61"/>
      <c r="B15" s="62"/>
      <c r="C15" s="63"/>
      <c r="D15" s="63" t="s">
        <v>27</v>
      </c>
      <c r="E15" s="64">
        <v>13</v>
      </c>
      <c r="F15" s="199">
        <f t="shared" si="3"/>
        <v>24998</v>
      </c>
      <c r="G15" s="1011">
        <v>18547</v>
      </c>
      <c r="H15" s="241">
        <v>5242</v>
      </c>
      <c r="I15" s="85">
        <v>459</v>
      </c>
      <c r="J15" s="311"/>
      <c r="K15" s="85">
        <v>750</v>
      </c>
      <c r="L15" s="117"/>
      <c r="M15" s="199"/>
      <c r="N15" s="449"/>
      <c r="O15" s="863">
        <f t="shared" si="1"/>
        <v>0</v>
      </c>
      <c r="P15" s="127" t="e">
        <f>N15/titl!$H$17*12</f>
        <v>#DIV/0!</v>
      </c>
      <c r="Q15" s="671">
        <v>29979</v>
      </c>
      <c r="R15" s="546"/>
      <c r="S15" s="546"/>
    </row>
    <row r="16" spans="1:19" s="25" customFormat="1" ht="12">
      <c r="A16" s="21"/>
      <c r="B16" s="30" t="s">
        <v>28</v>
      </c>
      <c r="C16" s="27"/>
      <c r="D16" s="27"/>
      <c r="E16" s="28">
        <v>14</v>
      </c>
      <c r="F16" s="119">
        <f t="shared" si="3"/>
        <v>5000</v>
      </c>
      <c r="G16" s="1012">
        <v>5000</v>
      </c>
      <c r="H16" s="113"/>
      <c r="I16" s="90"/>
      <c r="J16" s="312"/>
      <c r="K16" s="114"/>
      <c r="L16" s="115"/>
      <c r="M16" s="119">
        <f>M30</f>
        <v>0</v>
      </c>
      <c r="N16" s="449"/>
      <c r="O16" s="432">
        <f t="shared" si="1"/>
        <v>0</v>
      </c>
      <c r="P16" s="127">
        <f>P30</f>
        <v>0</v>
      </c>
      <c r="Q16" s="671">
        <v>5043</v>
      </c>
      <c r="R16" s="255"/>
      <c r="S16" s="252"/>
    </row>
    <row r="17" spans="1:19" s="25" customFormat="1" ht="12">
      <c r="A17" s="21"/>
      <c r="B17" s="30" t="s">
        <v>30</v>
      </c>
      <c r="C17" s="27"/>
      <c r="D17" s="27"/>
      <c r="E17" s="28">
        <v>15</v>
      </c>
      <c r="F17" s="119">
        <f t="shared" si="3"/>
        <v>478</v>
      </c>
      <c r="G17" s="1012">
        <v>478</v>
      </c>
      <c r="H17" s="113"/>
      <c r="I17" s="90"/>
      <c r="J17" s="312"/>
      <c r="K17" s="114"/>
      <c r="L17" s="115"/>
      <c r="M17" s="119">
        <f>M31</f>
        <v>0</v>
      </c>
      <c r="N17" s="449"/>
      <c r="O17" s="432">
        <f t="shared" si="1"/>
        <v>0</v>
      </c>
      <c r="P17" s="127">
        <f>P31</f>
        <v>0</v>
      </c>
      <c r="Q17" s="671">
        <v>479</v>
      </c>
      <c r="R17" s="255"/>
      <c r="S17" s="252"/>
    </row>
    <row r="18" spans="1:19" s="25" customFormat="1" ht="12">
      <c r="A18" s="21"/>
      <c r="B18" s="31" t="s">
        <v>32</v>
      </c>
      <c r="C18" s="32"/>
      <c r="D18" s="32"/>
      <c r="E18" s="33">
        <v>16</v>
      </c>
      <c r="F18" s="119">
        <f t="shared" si="3"/>
        <v>0</v>
      </c>
      <c r="G18" s="1012"/>
      <c r="H18" s="113"/>
      <c r="I18" s="90"/>
      <c r="J18" s="312"/>
      <c r="K18" s="114"/>
      <c r="L18" s="115"/>
      <c r="M18" s="119">
        <f>M32</f>
        <v>0</v>
      </c>
      <c r="N18" s="449"/>
      <c r="O18" s="432">
        <f t="shared" si="1"/>
        <v>0</v>
      </c>
      <c r="P18" s="127">
        <f>P32</f>
        <v>0</v>
      </c>
      <c r="Q18" s="671">
        <v>3054</v>
      </c>
      <c r="R18" s="255"/>
      <c r="S18" s="252"/>
    </row>
    <row r="19" spans="1:19" s="25" customFormat="1" ht="12">
      <c r="A19" s="21"/>
      <c r="B19" s="31" t="s">
        <v>34</v>
      </c>
      <c r="C19" s="32"/>
      <c r="D19" s="32"/>
      <c r="E19" s="33">
        <v>17</v>
      </c>
      <c r="F19" s="119">
        <f t="shared" si="3"/>
        <v>117</v>
      </c>
      <c r="G19" s="1012">
        <v>117</v>
      </c>
      <c r="H19" s="113"/>
      <c r="I19" s="90"/>
      <c r="J19" s="312"/>
      <c r="K19" s="114"/>
      <c r="L19" s="115"/>
      <c r="M19" s="119">
        <f>M33</f>
        <v>0</v>
      </c>
      <c r="N19" s="449"/>
      <c r="O19" s="432">
        <f t="shared" si="1"/>
        <v>0</v>
      </c>
      <c r="P19" s="127">
        <f>P33</f>
        <v>0</v>
      </c>
      <c r="Q19" s="671">
        <v>84</v>
      </c>
      <c r="R19" s="255"/>
      <c r="S19" s="252"/>
    </row>
    <row r="20" spans="1:19" s="25" customFormat="1" ht="12">
      <c r="A20" s="21"/>
      <c r="B20" s="31" t="s">
        <v>36</v>
      </c>
      <c r="C20" s="31"/>
      <c r="D20" s="31"/>
      <c r="E20" s="33">
        <v>18</v>
      </c>
      <c r="F20" s="119">
        <f t="shared" si="3"/>
        <v>0</v>
      </c>
      <c r="G20" s="1012"/>
      <c r="H20" s="113"/>
      <c r="I20" s="90"/>
      <c r="J20" s="312"/>
      <c r="K20" s="114"/>
      <c r="L20" s="115"/>
      <c r="M20" s="119"/>
      <c r="N20" s="449"/>
      <c r="O20" s="432">
        <f aca="true" t="shared" si="4" ref="O20:O45">IF(F20=0,0,N20/F20)</f>
        <v>0</v>
      </c>
      <c r="P20" s="127">
        <f>P35</f>
        <v>0</v>
      </c>
      <c r="Q20" s="671"/>
      <c r="R20" s="255"/>
      <c r="S20" s="252"/>
    </row>
    <row r="21" spans="1:19" s="640" customFormat="1" ht="12">
      <c r="A21" s="628"/>
      <c r="B21" s="629" t="s">
        <v>175</v>
      </c>
      <c r="C21" s="629"/>
      <c r="D21" s="629"/>
      <c r="E21" s="630">
        <v>19</v>
      </c>
      <c r="F21" s="631">
        <f t="shared" si="3"/>
        <v>12850</v>
      </c>
      <c r="G21" s="1013">
        <v>12850</v>
      </c>
      <c r="H21" s="664"/>
      <c r="I21" s="665"/>
      <c r="J21" s="666"/>
      <c r="K21" s="667"/>
      <c r="L21" s="668"/>
      <c r="M21" s="631"/>
      <c r="N21" s="669"/>
      <c r="O21" s="662">
        <f t="shared" si="4"/>
        <v>0</v>
      </c>
      <c r="P21" s="670">
        <f>N21</f>
        <v>0</v>
      </c>
      <c r="Q21" s="671">
        <v>9030</v>
      </c>
      <c r="R21" s="255"/>
      <c r="S21" s="252"/>
    </row>
    <row r="22" spans="1:19" s="25" customFormat="1" ht="12">
      <c r="A22" s="21"/>
      <c r="B22" s="31" t="s">
        <v>40</v>
      </c>
      <c r="C22" s="31"/>
      <c r="D22" s="31"/>
      <c r="E22" s="33">
        <v>20</v>
      </c>
      <c r="F22" s="119">
        <f t="shared" si="3"/>
        <v>0</v>
      </c>
      <c r="G22" s="1012"/>
      <c r="H22" s="113"/>
      <c r="I22" s="90"/>
      <c r="J22" s="312"/>
      <c r="K22" s="114"/>
      <c r="L22" s="115"/>
      <c r="M22" s="119"/>
      <c r="N22" s="449"/>
      <c r="O22" s="432">
        <f t="shared" si="4"/>
        <v>0</v>
      </c>
      <c r="P22" s="127">
        <f>P37</f>
        <v>0</v>
      </c>
      <c r="Q22" s="671">
        <v>111</v>
      </c>
      <c r="R22" s="255"/>
      <c r="S22" s="252"/>
    </row>
    <row r="23" spans="1:19" s="25" customFormat="1" ht="12">
      <c r="A23" s="21"/>
      <c r="B23" s="31" t="s">
        <v>42</v>
      </c>
      <c r="C23" s="31"/>
      <c r="D23" s="31"/>
      <c r="E23" s="33">
        <v>21</v>
      </c>
      <c r="F23" s="119">
        <f t="shared" si="3"/>
        <v>0</v>
      </c>
      <c r="G23" s="1012"/>
      <c r="H23" s="113"/>
      <c r="I23" s="90"/>
      <c r="J23" s="312"/>
      <c r="K23" s="114"/>
      <c r="L23" s="115"/>
      <c r="M23" s="119">
        <f>M39</f>
        <v>0</v>
      </c>
      <c r="N23" s="449"/>
      <c r="O23" s="432">
        <f t="shared" si="4"/>
        <v>0</v>
      </c>
      <c r="P23" s="127">
        <f>P39</f>
        <v>0</v>
      </c>
      <c r="Q23" s="671">
        <v>243</v>
      </c>
      <c r="R23" s="255"/>
      <c r="S23" s="252"/>
    </row>
    <row r="24" spans="1:19" s="25" customFormat="1" ht="12">
      <c r="A24" s="21"/>
      <c r="B24" s="31" t="s">
        <v>43</v>
      </c>
      <c r="C24" s="31"/>
      <c r="D24" s="31"/>
      <c r="E24" s="33">
        <v>22</v>
      </c>
      <c r="F24" s="119">
        <f t="shared" si="3"/>
        <v>25179</v>
      </c>
      <c r="G24" s="1012">
        <v>24747</v>
      </c>
      <c r="H24" s="113"/>
      <c r="I24" s="90">
        <v>432</v>
      </c>
      <c r="J24" s="312"/>
      <c r="K24" s="114"/>
      <c r="L24" s="115"/>
      <c r="M24" s="119">
        <f>M40</f>
        <v>0</v>
      </c>
      <c r="N24" s="449"/>
      <c r="O24" s="432">
        <f t="shared" si="4"/>
        <v>0</v>
      </c>
      <c r="P24" s="127">
        <f>P40</f>
        <v>0</v>
      </c>
      <c r="Q24" s="671">
        <v>25344</v>
      </c>
      <c r="R24" s="255"/>
      <c r="S24" s="252"/>
    </row>
    <row r="25" spans="1:19" s="640" customFormat="1" ht="12">
      <c r="A25" s="628"/>
      <c r="B25" s="629" t="s">
        <v>186</v>
      </c>
      <c r="C25" s="629"/>
      <c r="D25" s="629"/>
      <c r="E25" s="630">
        <v>23</v>
      </c>
      <c r="F25" s="631">
        <f t="shared" si="3"/>
        <v>0</v>
      </c>
      <c r="G25" s="1013"/>
      <c r="H25" s="664"/>
      <c r="I25" s="665"/>
      <c r="J25" s="666"/>
      <c r="K25" s="667"/>
      <c r="L25" s="668"/>
      <c r="M25" s="631"/>
      <c r="N25" s="669"/>
      <c r="O25" s="662">
        <f t="shared" si="4"/>
        <v>0</v>
      </c>
      <c r="P25" s="670">
        <f>P41</f>
        <v>0</v>
      </c>
      <c r="Q25" s="671">
        <v>1766</v>
      </c>
      <c r="R25" s="255"/>
      <c r="S25" s="252"/>
    </row>
    <row r="26" spans="1:19" s="25" customFormat="1" ht="12">
      <c r="A26" s="21"/>
      <c r="B26" s="31" t="s">
        <v>45</v>
      </c>
      <c r="C26" s="31"/>
      <c r="D26" s="31"/>
      <c r="E26" s="33">
        <v>24</v>
      </c>
      <c r="F26" s="119">
        <f t="shared" si="3"/>
        <v>69</v>
      </c>
      <c r="G26" s="1012">
        <v>69</v>
      </c>
      <c r="H26" s="113"/>
      <c r="I26" s="90"/>
      <c r="J26" s="312"/>
      <c r="K26" s="114"/>
      <c r="L26" s="115"/>
      <c r="M26" s="119"/>
      <c r="N26" s="449"/>
      <c r="O26" s="432">
        <f t="shared" si="4"/>
        <v>0</v>
      </c>
      <c r="P26" s="127">
        <f>P42</f>
        <v>69</v>
      </c>
      <c r="Q26" s="671">
        <v>69</v>
      </c>
      <c r="R26" s="255"/>
      <c r="S26" s="252"/>
    </row>
    <row r="27" spans="1:19" s="25" customFormat="1" ht="12.75" thickBot="1">
      <c r="A27" s="21"/>
      <c r="B27" s="30" t="s">
        <v>47</v>
      </c>
      <c r="C27" s="30"/>
      <c r="D27" s="30"/>
      <c r="E27" s="28">
        <v>25</v>
      </c>
      <c r="F27" s="119">
        <f t="shared" si="3"/>
        <v>4000</v>
      </c>
      <c r="G27" s="1014">
        <v>4000</v>
      </c>
      <c r="H27" s="113"/>
      <c r="I27" s="90"/>
      <c r="J27" s="312"/>
      <c r="K27" s="114"/>
      <c r="L27" s="115"/>
      <c r="M27" s="119"/>
      <c r="N27" s="449"/>
      <c r="O27" s="432">
        <f t="shared" si="4"/>
        <v>0</v>
      </c>
      <c r="P27" s="137" t="e">
        <f>N27/titl!$H$17*12</f>
        <v>#DIV/0!</v>
      </c>
      <c r="Q27" s="671">
        <v>4575</v>
      </c>
      <c r="R27" s="255"/>
      <c r="S27" s="252"/>
    </row>
    <row r="28" spans="1:17" ht="13.5" thickBot="1">
      <c r="A28" s="37" t="s">
        <v>49</v>
      </c>
      <c r="B28" s="38"/>
      <c r="C28" s="38"/>
      <c r="D28" s="38"/>
      <c r="E28" s="19">
        <v>26</v>
      </c>
      <c r="F28" s="197">
        <f>SUM(F29:F45)</f>
        <v>193998</v>
      </c>
      <c r="G28" s="1008">
        <f aca="true" t="shared" si="5" ref="G28:N28">SUM(G29:G45)</f>
        <v>173276</v>
      </c>
      <c r="H28" s="125">
        <f t="shared" si="5"/>
        <v>18201</v>
      </c>
      <c r="I28" s="77">
        <f t="shared" si="5"/>
        <v>1021</v>
      </c>
      <c r="J28" s="304">
        <f t="shared" si="5"/>
        <v>0</v>
      </c>
      <c r="K28" s="77">
        <f t="shared" si="5"/>
        <v>750</v>
      </c>
      <c r="L28" s="76">
        <f t="shared" si="5"/>
        <v>750</v>
      </c>
      <c r="M28" s="197">
        <f>SUM(M29:M45)</f>
        <v>0</v>
      </c>
      <c r="N28" s="471">
        <f t="shared" si="5"/>
        <v>0</v>
      </c>
      <c r="O28" s="413">
        <f t="shared" si="4"/>
        <v>0</v>
      </c>
      <c r="P28" s="78" t="e">
        <f>SUM(P29:P45)</f>
        <v>#DIV/0!</v>
      </c>
      <c r="Q28" s="588">
        <f>SUM(Q29:Q45)</f>
        <v>194121</v>
      </c>
    </row>
    <row r="29" spans="1:19" s="25" customFormat="1" ht="12">
      <c r="A29" s="21" t="s">
        <v>14</v>
      </c>
      <c r="B29" s="27" t="s">
        <v>50</v>
      </c>
      <c r="C29" s="27"/>
      <c r="D29" s="27"/>
      <c r="E29" s="28">
        <v>27</v>
      </c>
      <c r="F29" s="119">
        <f t="shared" si="3"/>
        <v>104055</v>
      </c>
      <c r="G29" s="1009">
        <v>104055</v>
      </c>
      <c r="H29" s="112"/>
      <c r="I29" s="81"/>
      <c r="J29" s="305"/>
      <c r="K29" s="81"/>
      <c r="L29" s="80"/>
      <c r="M29" s="198"/>
      <c r="N29" s="458"/>
      <c r="O29" s="432">
        <f t="shared" si="4"/>
        <v>0</v>
      </c>
      <c r="P29" s="127">
        <f>M29</f>
        <v>0</v>
      </c>
      <c r="Q29" s="973">
        <v>112011</v>
      </c>
      <c r="R29" s="255">
        <v>17959</v>
      </c>
      <c r="S29" s="252"/>
    </row>
    <row r="30" spans="1:19" s="25" customFormat="1" ht="12">
      <c r="A30" s="21"/>
      <c r="B30" s="30" t="s">
        <v>28</v>
      </c>
      <c r="C30" s="30"/>
      <c r="D30" s="30"/>
      <c r="E30" s="28">
        <v>28</v>
      </c>
      <c r="F30" s="119">
        <f t="shared" si="3"/>
        <v>5000</v>
      </c>
      <c r="G30" s="1015">
        <f>G16</f>
        <v>5000</v>
      </c>
      <c r="H30" s="126"/>
      <c r="I30" s="95"/>
      <c r="J30" s="308"/>
      <c r="K30" s="95"/>
      <c r="L30" s="94"/>
      <c r="M30" s="472"/>
      <c r="N30" s="459"/>
      <c r="O30" s="432">
        <f t="shared" si="4"/>
        <v>0</v>
      </c>
      <c r="P30" s="127">
        <f>M30</f>
        <v>0</v>
      </c>
      <c r="Q30" s="708">
        <f>Q16</f>
        <v>5043</v>
      </c>
      <c r="R30" s="255"/>
      <c r="S30" s="252"/>
    </row>
    <row r="31" spans="1:19" s="25" customFormat="1" ht="12">
      <c r="A31" s="21"/>
      <c r="B31" s="30" t="s">
        <v>30</v>
      </c>
      <c r="C31" s="30"/>
      <c r="D31" s="30"/>
      <c r="E31" s="28">
        <v>29</v>
      </c>
      <c r="F31" s="119">
        <f t="shared" si="3"/>
        <v>478</v>
      </c>
      <c r="G31" s="1015">
        <f>G17</f>
        <v>478</v>
      </c>
      <c r="H31" s="126"/>
      <c r="I31" s="95"/>
      <c r="J31" s="308"/>
      <c r="K31" s="95"/>
      <c r="L31" s="94"/>
      <c r="M31" s="472"/>
      <c r="N31" s="459"/>
      <c r="O31" s="432">
        <f t="shared" si="4"/>
        <v>0</v>
      </c>
      <c r="P31" s="127">
        <f>M31</f>
        <v>0</v>
      </c>
      <c r="Q31" s="708">
        <f>Q17</f>
        <v>479</v>
      </c>
      <c r="R31" s="255"/>
      <c r="S31" s="252"/>
    </row>
    <row r="32" spans="1:19" s="25" customFormat="1" ht="12">
      <c r="A32" s="21"/>
      <c r="B32" s="31" t="s">
        <v>32</v>
      </c>
      <c r="C32" s="32"/>
      <c r="D32" s="32"/>
      <c r="E32" s="33">
        <v>30</v>
      </c>
      <c r="F32" s="119">
        <f t="shared" si="3"/>
        <v>0</v>
      </c>
      <c r="G32" s="1015">
        <f>G18</f>
        <v>0</v>
      </c>
      <c r="H32" s="126"/>
      <c r="I32" s="95"/>
      <c r="J32" s="308"/>
      <c r="K32" s="95"/>
      <c r="L32" s="94"/>
      <c r="M32" s="472"/>
      <c r="N32" s="459"/>
      <c r="O32" s="432">
        <f t="shared" si="4"/>
        <v>0</v>
      </c>
      <c r="P32" s="127">
        <f>M32</f>
        <v>0</v>
      </c>
      <c r="Q32" s="708">
        <f>Q18</f>
        <v>3054</v>
      </c>
      <c r="R32" s="255"/>
      <c r="S32" s="252"/>
    </row>
    <row r="33" spans="1:19" s="25" customFormat="1" ht="12">
      <c r="A33" s="21"/>
      <c r="B33" s="31" t="s">
        <v>34</v>
      </c>
      <c r="C33" s="31"/>
      <c r="D33" s="31"/>
      <c r="E33" s="33">
        <v>31</v>
      </c>
      <c r="F33" s="119">
        <f t="shared" si="3"/>
        <v>117</v>
      </c>
      <c r="G33" s="1015">
        <f>G19</f>
        <v>117</v>
      </c>
      <c r="H33" s="126"/>
      <c r="I33" s="95"/>
      <c r="J33" s="308"/>
      <c r="K33" s="95"/>
      <c r="L33" s="94"/>
      <c r="M33" s="472"/>
      <c r="N33" s="459"/>
      <c r="O33" s="432">
        <f t="shared" si="4"/>
        <v>0</v>
      </c>
      <c r="P33" s="127">
        <f>M33</f>
        <v>0</v>
      </c>
      <c r="Q33" s="708">
        <f>Q19</f>
        <v>84</v>
      </c>
      <c r="R33" s="255"/>
      <c r="S33" s="252"/>
    </row>
    <row r="34" spans="1:19" s="25" customFormat="1" ht="12">
      <c r="A34" s="21"/>
      <c r="B34" s="31" t="s">
        <v>52</v>
      </c>
      <c r="C34" s="31"/>
      <c r="D34" s="31"/>
      <c r="E34" s="33">
        <v>32</v>
      </c>
      <c r="F34" s="119">
        <f t="shared" si="3"/>
        <v>0</v>
      </c>
      <c r="G34" s="1015"/>
      <c r="H34" s="126"/>
      <c r="I34" s="95"/>
      <c r="J34" s="308"/>
      <c r="K34" s="95"/>
      <c r="L34" s="94"/>
      <c r="M34" s="472"/>
      <c r="N34" s="459"/>
      <c r="O34" s="432">
        <f t="shared" si="4"/>
        <v>0</v>
      </c>
      <c r="P34" s="127">
        <f>F34</f>
        <v>0</v>
      </c>
      <c r="Q34" s="708"/>
      <c r="R34" s="255"/>
      <c r="S34" s="252"/>
    </row>
    <row r="35" spans="1:19" s="25" customFormat="1" ht="12">
      <c r="A35" s="21"/>
      <c r="B35" s="31" t="s">
        <v>36</v>
      </c>
      <c r="C35" s="31"/>
      <c r="D35" s="31"/>
      <c r="E35" s="33">
        <v>33</v>
      </c>
      <c r="F35" s="119">
        <f t="shared" si="3"/>
        <v>0</v>
      </c>
      <c r="G35" s="1015">
        <f>G20</f>
        <v>0</v>
      </c>
      <c r="H35" s="126"/>
      <c r="I35" s="95"/>
      <c r="J35" s="308"/>
      <c r="K35" s="95"/>
      <c r="L35" s="94"/>
      <c r="M35" s="472"/>
      <c r="N35" s="459"/>
      <c r="O35" s="432">
        <f t="shared" si="4"/>
        <v>0</v>
      </c>
      <c r="P35" s="127">
        <f>F35</f>
        <v>0</v>
      </c>
      <c r="Q35" s="708"/>
      <c r="R35" s="255"/>
      <c r="S35" s="252"/>
    </row>
    <row r="36" spans="1:19" s="640" customFormat="1" ht="12">
      <c r="A36" s="628"/>
      <c r="B36" s="629" t="s">
        <v>175</v>
      </c>
      <c r="C36" s="629"/>
      <c r="D36" s="629"/>
      <c r="E36" s="630">
        <v>34</v>
      </c>
      <c r="F36" s="631">
        <f t="shared" si="3"/>
        <v>12850</v>
      </c>
      <c r="G36" s="1016">
        <f>G21</f>
        <v>12850</v>
      </c>
      <c r="H36" s="704"/>
      <c r="I36" s="695"/>
      <c r="J36" s="705"/>
      <c r="K36" s="695"/>
      <c r="L36" s="706"/>
      <c r="M36" s="632"/>
      <c r="N36" s="707"/>
      <c r="O36" s="662">
        <f t="shared" si="4"/>
        <v>0</v>
      </c>
      <c r="P36" s="670">
        <f>P21</f>
        <v>0</v>
      </c>
      <c r="Q36" s="708">
        <f>Q21</f>
        <v>9030</v>
      </c>
      <c r="R36" s="255"/>
      <c r="S36" s="252"/>
    </row>
    <row r="37" spans="1:19" s="25" customFormat="1" ht="12">
      <c r="A37" s="21"/>
      <c r="B37" s="31" t="s">
        <v>54</v>
      </c>
      <c r="C37" s="31"/>
      <c r="D37" s="31"/>
      <c r="E37" s="33">
        <v>35</v>
      </c>
      <c r="F37" s="119">
        <f t="shared" si="3"/>
        <v>0</v>
      </c>
      <c r="G37" s="1015">
        <f>G22</f>
        <v>0</v>
      </c>
      <c r="H37" s="126"/>
      <c r="I37" s="95">
        <f>I22</f>
        <v>0</v>
      </c>
      <c r="J37" s="308"/>
      <c r="K37" s="95"/>
      <c r="L37" s="94"/>
      <c r="M37" s="472"/>
      <c r="N37" s="459"/>
      <c r="O37" s="432">
        <f t="shared" si="4"/>
        <v>0</v>
      </c>
      <c r="P37" s="127">
        <f>N37</f>
        <v>0</v>
      </c>
      <c r="Q37" s="708">
        <f>Q22</f>
        <v>111</v>
      </c>
      <c r="R37" s="255"/>
      <c r="S37" s="252"/>
    </row>
    <row r="38" spans="1:19" s="25" customFormat="1" ht="12">
      <c r="A38" s="21"/>
      <c r="B38" s="31" t="s">
        <v>170</v>
      </c>
      <c r="C38" s="31"/>
      <c r="D38" s="31"/>
      <c r="E38" s="33">
        <v>36</v>
      </c>
      <c r="F38" s="119">
        <f t="shared" si="3"/>
        <v>3113</v>
      </c>
      <c r="G38" s="1015">
        <v>2983</v>
      </c>
      <c r="H38" s="126"/>
      <c r="I38" s="95">
        <v>130</v>
      </c>
      <c r="J38" s="308"/>
      <c r="K38" s="95"/>
      <c r="L38" s="94"/>
      <c r="M38" s="472"/>
      <c r="N38" s="459"/>
      <c r="O38" s="432">
        <f t="shared" si="4"/>
        <v>0</v>
      </c>
      <c r="P38" s="127">
        <f>N38</f>
        <v>0</v>
      </c>
      <c r="Q38" s="708">
        <v>2948</v>
      </c>
      <c r="R38" s="255"/>
      <c r="S38" s="252"/>
    </row>
    <row r="39" spans="1:19" s="25" customFormat="1" ht="12">
      <c r="A39" s="21"/>
      <c r="B39" s="31" t="s">
        <v>56</v>
      </c>
      <c r="C39" s="31"/>
      <c r="D39" s="31"/>
      <c r="E39" s="33">
        <v>37</v>
      </c>
      <c r="F39" s="119">
        <f t="shared" si="3"/>
        <v>0</v>
      </c>
      <c r="G39" s="1015">
        <f>G23</f>
        <v>0</v>
      </c>
      <c r="H39" s="126"/>
      <c r="I39" s="95"/>
      <c r="J39" s="308"/>
      <c r="K39" s="95"/>
      <c r="L39" s="94"/>
      <c r="M39" s="472"/>
      <c r="N39" s="459"/>
      <c r="O39" s="432">
        <f t="shared" si="4"/>
        <v>0</v>
      </c>
      <c r="P39" s="127">
        <f>N39</f>
        <v>0</v>
      </c>
      <c r="Q39" s="708">
        <f>Q23</f>
        <v>243</v>
      </c>
      <c r="R39" s="255"/>
      <c r="S39" s="252"/>
    </row>
    <row r="40" spans="1:19" s="25" customFormat="1" ht="12">
      <c r="A40" s="21"/>
      <c r="B40" s="31" t="s">
        <v>57</v>
      </c>
      <c r="C40" s="31"/>
      <c r="D40" s="31"/>
      <c r="E40" s="33">
        <v>38</v>
      </c>
      <c r="F40" s="119">
        <f t="shared" si="3"/>
        <v>25179</v>
      </c>
      <c r="G40" s="1015">
        <f>G24</f>
        <v>24747</v>
      </c>
      <c r="H40" s="126"/>
      <c r="I40" s="95">
        <v>432</v>
      </c>
      <c r="J40" s="308"/>
      <c r="K40" s="95"/>
      <c r="L40" s="94"/>
      <c r="M40" s="472"/>
      <c r="N40" s="459"/>
      <c r="O40" s="432">
        <f t="shared" si="4"/>
        <v>0</v>
      </c>
      <c r="P40" s="127">
        <f>N40</f>
        <v>0</v>
      </c>
      <c r="Q40" s="708">
        <f>Q24</f>
        <v>25344</v>
      </c>
      <c r="R40" s="255"/>
      <c r="S40" s="252">
        <v>0</v>
      </c>
    </row>
    <row r="41" spans="1:19" s="640" customFormat="1" ht="12">
      <c r="A41" s="628"/>
      <c r="B41" s="629" t="s">
        <v>186</v>
      </c>
      <c r="C41" s="629"/>
      <c r="D41" s="629"/>
      <c r="E41" s="630">
        <v>39</v>
      </c>
      <c r="F41" s="631">
        <f t="shared" si="3"/>
        <v>0</v>
      </c>
      <c r="G41" s="1016">
        <f>G25</f>
        <v>0</v>
      </c>
      <c r="H41" s="704"/>
      <c r="I41" s="695"/>
      <c r="J41" s="705"/>
      <c r="K41" s="695"/>
      <c r="L41" s="706"/>
      <c r="M41" s="632"/>
      <c r="N41" s="707"/>
      <c r="O41" s="703">
        <f t="shared" si="4"/>
        <v>0</v>
      </c>
      <c r="P41" s="670">
        <f>F41</f>
        <v>0</v>
      </c>
      <c r="Q41" s="708">
        <f>Q25</f>
        <v>1766</v>
      </c>
      <c r="R41" s="255"/>
      <c r="S41" s="252"/>
    </row>
    <row r="42" spans="1:19" s="25" customFormat="1" ht="12">
      <c r="A42" s="21"/>
      <c r="B42" s="31" t="s">
        <v>58</v>
      </c>
      <c r="C42" s="31"/>
      <c r="D42" s="31"/>
      <c r="E42" s="33">
        <v>40</v>
      </c>
      <c r="F42" s="119">
        <f t="shared" si="3"/>
        <v>69</v>
      </c>
      <c r="G42" s="1015">
        <f>G26</f>
        <v>69</v>
      </c>
      <c r="H42" s="126"/>
      <c r="I42" s="95"/>
      <c r="J42" s="308"/>
      <c r="K42" s="95"/>
      <c r="L42" s="94"/>
      <c r="M42" s="472"/>
      <c r="N42" s="459"/>
      <c r="O42" s="434">
        <f t="shared" si="4"/>
        <v>0</v>
      </c>
      <c r="P42" s="127">
        <f>F42</f>
        <v>69</v>
      </c>
      <c r="Q42" s="708">
        <f>Q26</f>
        <v>69</v>
      </c>
      <c r="R42" s="255"/>
      <c r="S42" s="252"/>
    </row>
    <row r="43" spans="1:19" s="25" customFormat="1" ht="12">
      <c r="A43" s="21"/>
      <c r="B43" s="31" t="s">
        <v>59</v>
      </c>
      <c r="C43" s="31"/>
      <c r="D43" s="31"/>
      <c r="E43" s="33">
        <v>41</v>
      </c>
      <c r="F43" s="119">
        <f t="shared" si="3"/>
        <v>18936</v>
      </c>
      <c r="G43" s="1015">
        <v>18477</v>
      </c>
      <c r="H43" s="126"/>
      <c r="I43" s="95">
        <v>459</v>
      </c>
      <c r="J43" s="308"/>
      <c r="K43" s="95"/>
      <c r="L43" s="94"/>
      <c r="M43" s="472"/>
      <c r="N43" s="459"/>
      <c r="O43" s="434">
        <f t="shared" si="4"/>
        <v>0</v>
      </c>
      <c r="P43" s="127" t="e">
        <f>(N43-N49)/titl!H17*12+N49</f>
        <v>#DIV/0!</v>
      </c>
      <c r="Q43" s="708">
        <v>19274</v>
      </c>
      <c r="R43" s="255"/>
      <c r="S43" s="252"/>
    </row>
    <row r="44" spans="1:19" s="25" customFormat="1" ht="12">
      <c r="A44" s="21"/>
      <c r="B44" s="31" t="s">
        <v>60</v>
      </c>
      <c r="C44" s="31"/>
      <c r="D44" s="31"/>
      <c r="E44" s="33">
        <v>42</v>
      </c>
      <c r="F44" s="119">
        <f t="shared" si="3"/>
        <v>19701</v>
      </c>
      <c r="G44" s="612"/>
      <c r="H44" s="126">
        <f>H3</f>
        <v>18201</v>
      </c>
      <c r="I44" s="95"/>
      <c r="J44" s="308"/>
      <c r="K44" s="95">
        <f>K3</f>
        <v>750</v>
      </c>
      <c r="L44" s="94">
        <f>L3</f>
        <v>750</v>
      </c>
      <c r="M44" s="472"/>
      <c r="N44" s="459"/>
      <c r="O44" s="434">
        <f t="shared" si="4"/>
        <v>0</v>
      </c>
      <c r="P44" s="127">
        <f>N44</f>
        <v>0</v>
      </c>
      <c r="Q44" s="708">
        <v>9474</v>
      </c>
      <c r="R44" s="255"/>
      <c r="S44" s="252"/>
    </row>
    <row r="45" spans="1:19" s="25" customFormat="1" ht="12.75" thickBot="1">
      <c r="A45" s="40"/>
      <c r="B45" s="41" t="s">
        <v>47</v>
      </c>
      <c r="C45" s="41"/>
      <c r="D45" s="41"/>
      <c r="E45" s="42">
        <v>43</v>
      </c>
      <c r="F45" s="200">
        <f t="shared" si="3"/>
        <v>4500</v>
      </c>
      <c r="G45" s="1017">
        <v>4500</v>
      </c>
      <c r="H45" s="174"/>
      <c r="I45" s="99"/>
      <c r="J45" s="309"/>
      <c r="K45" s="99"/>
      <c r="L45" s="98"/>
      <c r="M45" s="200"/>
      <c r="N45" s="460"/>
      <c r="O45" s="435">
        <f t="shared" si="4"/>
        <v>0</v>
      </c>
      <c r="P45" s="137" t="e">
        <f>N45/titl!$H$17*12</f>
        <v>#DIV/0!</v>
      </c>
      <c r="Q45" s="974">
        <v>5191</v>
      </c>
      <c r="R45" s="255"/>
      <c r="S45" s="252"/>
    </row>
    <row r="46" spans="1:19" s="25" customFormat="1" ht="12.75" hidden="1" thickBot="1">
      <c r="A46" s="44" t="s">
        <v>61</v>
      </c>
      <c r="B46" s="45"/>
      <c r="C46" s="45"/>
      <c r="D46" s="45"/>
      <c r="E46" s="28">
        <v>44</v>
      </c>
      <c r="F46" s="201">
        <f>F29+F34+F38+F43+F44+F45-F4-F27</f>
        <v>1650</v>
      </c>
      <c r="G46" s="613">
        <f>G29+G34+G38+G43+G45-G4-G27</f>
        <v>1650</v>
      </c>
      <c r="H46" s="102">
        <f>H29+H34+H38+H43+H44+H45-H4-H27</f>
        <v>0</v>
      </c>
      <c r="I46" s="102">
        <f>I29+I34+I38+I43+I44+I45-I4-I27</f>
        <v>0</v>
      </c>
      <c r="J46" s="102">
        <f>J29+J34+J38+J43+J44+J45-J4-J27</f>
        <v>0</v>
      </c>
      <c r="K46" s="320"/>
      <c r="L46" s="102">
        <f>L29+L34+L38+L43+L44+L45-L4-L27</f>
        <v>0</v>
      </c>
      <c r="M46" s="201">
        <f>M29+M34+M38+M43+M44+M45+-M4-M27</f>
        <v>0</v>
      </c>
      <c r="N46" s="422">
        <f>N29+N34+N38+N43+N44+N45-N4-N27</f>
        <v>0</v>
      </c>
      <c r="O46" s="416"/>
      <c r="P46" s="103" t="e">
        <f>P29+P34+P38+P43+P44+P45-P4-P27</f>
        <v>#DIV/0!</v>
      </c>
      <c r="Q46" s="593">
        <f>Q29+Q34+Q38+Q43+Q44+Q45-Q4-Q27</f>
        <v>2309</v>
      </c>
      <c r="R46" s="255"/>
      <c r="S46" s="252"/>
    </row>
    <row r="47" spans="1:17" ht="13.5" thickBot="1">
      <c r="A47" s="37" t="s">
        <v>62</v>
      </c>
      <c r="B47" s="38"/>
      <c r="C47" s="38"/>
      <c r="D47" s="38"/>
      <c r="E47" s="19">
        <v>45</v>
      </c>
      <c r="F47" s="197">
        <f>F28-F3</f>
        <v>1650</v>
      </c>
      <c r="G47" s="1008">
        <f aca="true" t="shared" si="6" ref="G47:N47">G28-G3</f>
        <v>1650</v>
      </c>
      <c r="H47" s="125">
        <f t="shared" si="6"/>
        <v>0</v>
      </c>
      <c r="I47" s="77">
        <f t="shared" si="6"/>
        <v>0</v>
      </c>
      <c r="J47" s="304">
        <f t="shared" si="6"/>
        <v>0</v>
      </c>
      <c r="K47" s="77">
        <f t="shared" si="6"/>
        <v>0</v>
      </c>
      <c r="L47" s="76">
        <f t="shared" si="6"/>
        <v>0</v>
      </c>
      <c r="M47" s="197">
        <f>M28-M3</f>
        <v>0</v>
      </c>
      <c r="N47" s="471">
        <f t="shared" si="6"/>
        <v>0</v>
      </c>
      <c r="O47" s="78"/>
      <c r="P47" s="78" t="e">
        <f>P28-P3</f>
        <v>#DIV/0!</v>
      </c>
      <c r="Q47" s="588">
        <f>Q28-Q3</f>
        <v>2309</v>
      </c>
    </row>
    <row r="48" spans="1:5" ht="12.75">
      <c r="A48" s="47" t="s">
        <v>229</v>
      </c>
      <c r="B48" s="47"/>
      <c r="C48" s="47"/>
      <c r="D48" s="122"/>
      <c r="E48" s="48"/>
    </row>
    <row r="49" spans="5:19" s="47" customFormat="1" ht="12" customHeight="1">
      <c r="E49" s="48"/>
      <c r="G49" s="123"/>
      <c r="H49" s="59"/>
      <c r="I49" s="59"/>
      <c r="J49" s="1058"/>
      <c r="K49" s="1058"/>
      <c r="L49" s="1058"/>
      <c r="M49" s="240"/>
      <c r="N49" s="874"/>
      <c r="O49" s="254"/>
      <c r="P49" s="401"/>
      <c r="Q49" s="255"/>
      <c r="R49" s="255"/>
      <c r="S49" s="252"/>
    </row>
    <row r="50" spans="1:19" s="47" customFormat="1" ht="11.25">
      <c r="A50" s="51" t="s">
        <v>90</v>
      </c>
      <c r="E50" s="48"/>
      <c r="F50" s="202"/>
      <c r="G50" s="123"/>
      <c r="H50" s="59"/>
      <c r="I50" s="155">
        <v>0</v>
      </c>
      <c r="J50" s="59"/>
      <c r="K50" s="59"/>
      <c r="L50" s="59"/>
      <c r="M50" s="59"/>
      <c r="N50" s="59"/>
      <c r="O50" s="254"/>
      <c r="P50" s="401"/>
      <c r="Q50" s="255"/>
      <c r="R50" s="255"/>
      <c r="S50" s="252"/>
    </row>
    <row r="51" spans="5:19" s="51" customFormat="1" ht="11.25">
      <c r="E51" s="53"/>
      <c r="G51" s="124"/>
      <c r="H51" s="72"/>
      <c r="I51" s="72"/>
      <c r="J51" s="72"/>
      <c r="K51" s="72"/>
      <c r="L51" s="72"/>
      <c r="M51" s="72"/>
      <c r="N51" s="72"/>
      <c r="O51" s="254"/>
      <c r="P51" s="401"/>
      <c r="Q51" s="255"/>
      <c r="R51" s="255"/>
      <c r="S51" s="252"/>
    </row>
    <row r="52" spans="5:19" s="51" customFormat="1" ht="11.25">
      <c r="E52" s="53"/>
      <c r="G52" s="124"/>
      <c r="H52" s="72"/>
      <c r="I52" s="72"/>
      <c r="J52" s="72"/>
      <c r="K52" s="72"/>
      <c r="L52" s="72"/>
      <c r="M52" s="72"/>
      <c r="N52" s="72"/>
      <c r="O52" s="254"/>
      <c r="P52" s="401"/>
      <c r="Q52" s="255"/>
      <c r="R52" s="255"/>
      <c r="S52" s="252"/>
    </row>
    <row r="53" spans="1:19" s="47" customFormat="1" ht="11.25">
      <c r="A53" s="51"/>
      <c r="C53" s="51"/>
      <c r="D53" s="51"/>
      <c r="E53" s="48"/>
      <c r="G53" s="123"/>
      <c r="H53" s="59"/>
      <c r="I53" s="59"/>
      <c r="J53" s="59"/>
      <c r="K53" s="59"/>
      <c r="L53" s="59"/>
      <c r="M53" s="59"/>
      <c r="N53" s="59"/>
      <c r="O53" s="254"/>
      <c r="P53" s="401"/>
      <c r="Q53" s="255"/>
      <c r="R53" s="255"/>
      <c r="S53" s="252"/>
    </row>
    <row r="54" spans="1:19" s="59" customFormat="1" ht="11.25">
      <c r="A54" s="51"/>
      <c r="B54" s="51"/>
      <c r="C54" s="51"/>
      <c r="D54" s="51"/>
      <c r="E54" s="57"/>
      <c r="F54" s="47"/>
      <c r="G54" s="123"/>
      <c r="O54" s="253"/>
      <c r="P54" s="401"/>
      <c r="Q54" s="255"/>
      <c r="R54" s="255"/>
      <c r="S54" s="255"/>
    </row>
    <row r="55" spans="1:19" s="59" customFormat="1" ht="11.25">
      <c r="A55" s="51"/>
      <c r="B55" s="51"/>
      <c r="C55" s="51"/>
      <c r="D55" s="51"/>
      <c r="E55" s="57"/>
      <c r="F55" s="47"/>
      <c r="G55" s="123"/>
      <c r="O55" s="253"/>
      <c r="P55" s="401"/>
      <c r="Q55" s="255"/>
      <c r="R55" s="255"/>
      <c r="S55" s="255"/>
    </row>
    <row r="56" spans="1:19" s="59" customFormat="1" ht="11.25">
      <c r="A56" s="51"/>
      <c r="B56" s="51"/>
      <c r="C56" s="51"/>
      <c r="D56" s="51"/>
      <c r="E56" s="57"/>
      <c r="F56" s="47"/>
      <c r="G56" s="123"/>
      <c r="O56" s="253"/>
      <c r="P56" s="401"/>
      <c r="Q56" s="255"/>
      <c r="R56" s="255"/>
      <c r="S56" s="255"/>
    </row>
  </sheetData>
  <mergeCells count="6">
    <mergeCell ref="J49:L49"/>
    <mergeCell ref="R1:R2"/>
    <mergeCell ref="S1:S2"/>
    <mergeCell ref="A1:D1"/>
    <mergeCell ref="H1:L1"/>
    <mergeCell ref="C2:D2"/>
  </mergeCells>
  <printOptions horizontalCentered="1" verticalCentered="1"/>
  <pageMargins left="0.31496062992125984" right="0.2755905511811024" top="0.3" bottom="0.23" header="0.1968503937007874" footer="0.17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57"/>
  <sheetViews>
    <sheetView workbookViewId="0" topLeftCell="A1">
      <pane ySplit="3" topLeftCell="BM21" activePane="bottomLeft" state="frozen"/>
      <selection pane="topLeft" activeCell="A34" sqref="A34"/>
      <selection pane="bottomLeft" activeCell="A34" sqref="A34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60" bestFit="1" customWidth="1"/>
    <col min="6" max="6" width="10.875" style="47" bestFit="1" customWidth="1"/>
    <col min="7" max="7" width="11.375" style="59" bestFit="1" customWidth="1"/>
    <col min="8" max="8" width="9.25390625" style="59" customWidth="1"/>
    <col min="9" max="10" width="8.875" style="59" customWidth="1"/>
    <col min="11" max="11" width="7.25390625" style="59" customWidth="1"/>
    <col min="12" max="12" width="9.25390625" style="59" bestFit="1" customWidth="1"/>
    <col min="13" max="13" width="11.375" style="59" hidden="1" customWidth="1"/>
    <col min="14" max="14" width="10.875" style="493" hidden="1" customWidth="1" collapsed="1"/>
    <col min="15" max="15" width="7.125" style="253" hidden="1" customWidth="1"/>
    <col min="16" max="16" width="10.875" style="401" hidden="1" customWidth="1"/>
    <col min="17" max="17" width="10.875" style="47" bestFit="1" customWidth="1" collapsed="1"/>
    <col min="18" max="18" width="7.375" style="255" customWidth="1"/>
    <col min="19" max="19" width="7.125" style="255" customWidth="1"/>
  </cols>
  <sheetData>
    <row r="1" spans="1:19" ht="15.75" customHeight="1">
      <c r="A1" s="1046" t="s">
        <v>236</v>
      </c>
      <c r="B1" s="1047"/>
      <c r="C1" s="1047"/>
      <c r="D1" s="1048"/>
      <c r="E1" s="1"/>
      <c r="F1" s="543" t="s">
        <v>0</v>
      </c>
      <c r="G1" s="66" t="s">
        <v>2</v>
      </c>
      <c r="H1" s="1049" t="s">
        <v>3</v>
      </c>
      <c r="I1" s="1050"/>
      <c r="J1" s="1050"/>
      <c r="K1" s="1050"/>
      <c r="L1" s="1051"/>
      <c r="M1" s="67" t="s">
        <v>1</v>
      </c>
      <c r="N1" s="538" t="s">
        <v>4</v>
      </c>
      <c r="O1" s="67" t="s">
        <v>144</v>
      </c>
      <c r="P1" s="67" t="s">
        <v>145</v>
      </c>
      <c r="Q1" s="487" t="s">
        <v>4</v>
      </c>
      <c r="R1" s="1061" t="s">
        <v>190</v>
      </c>
      <c r="S1" s="1057" t="s">
        <v>188</v>
      </c>
    </row>
    <row r="2" spans="1:19" s="16" customFormat="1" ht="13.5" thickBot="1">
      <c r="A2" s="298" t="s">
        <v>127</v>
      </c>
      <c r="B2" s="7"/>
      <c r="C2" s="1052" t="s">
        <v>155</v>
      </c>
      <c r="D2" s="1053"/>
      <c r="E2" s="9" t="s">
        <v>5</v>
      </c>
      <c r="F2" s="544">
        <v>2011</v>
      </c>
      <c r="G2" s="68" t="s">
        <v>8</v>
      </c>
      <c r="H2" s="69" t="s">
        <v>9</v>
      </c>
      <c r="I2" s="70" t="s">
        <v>10</v>
      </c>
      <c r="J2" s="303" t="s">
        <v>11</v>
      </c>
      <c r="K2" s="248" t="s">
        <v>126</v>
      </c>
      <c r="L2" s="68" t="s">
        <v>12</v>
      </c>
      <c r="M2" s="71" t="s">
        <v>7</v>
      </c>
      <c r="N2" s="539">
        <v>2011</v>
      </c>
      <c r="O2" s="71"/>
      <c r="P2" s="71"/>
      <c r="Q2" s="488">
        <v>2010</v>
      </c>
      <c r="R2" s="1061"/>
      <c r="S2" s="1057"/>
    </row>
    <row r="3" spans="1:17" ht="13.5" thickBot="1">
      <c r="A3" s="17" t="s">
        <v>13</v>
      </c>
      <c r="B3" s="18"/>
      <c r="C3" s="18"/>
      <c r="D3" s="18"/>
      <c r="E3" s="19">
        <v>1</v>
      </c>
      <c r="F3" s="197">
        <f aca="true" t="shared" si="0" ref="F3:N3">SUM(F5:F27)</f>
        <v>3525516</v>
      </c>
      <c r="G3" s="76">
        <f t="shared" si="0"/>
        <v>3252742</v>
      </c>
      <c r="H3" s="77">
        <f t="shared" si="0"/>
        <v>179735</v>
      </c>
      <c r="I3" s="77">
        <f t="shared" si="0"/>
        <v>23397</v>
      </c>
      <c r="J3" s="304">
        <f t="shared" si="0"/>
        <v>2000</v>
      </c>
      <c r="K3" s="77">
        <f t="shared" si="0"/>
        <v>21572</v>
      </c>
      <c r="L3" s="76">
        <f t="shared" si="0"/>
        <v>46070</v>
      </c>
      <c r="M3" s="471">
        <f t="shared" si="0"/>
        <v>0</v>
      </c>
      <c r="N3" s="471">
        <f t="shared" si="0"/>
        <v>0</v>
      </c>
      <c r="O3" s="413">
        <f aca="true" t="shared" si="1" ref="O3:O45">IF(F3=0,0,N3/F3)</f>
        <v>0</v>
      </c>
      <c r="P3" s="78" t="e">
        <f>SUM(P5:P27)</f>
        <v>#DIV/0!</v>
      </c>
      <c r="Q3" s="197">
        <f>SUM(Q5:Q27)</f>
        <v>3259897</v>
      </c>
    </row>
    <row r="4" spans="1:19" s="25" customFormat="1" ht="12">
      <c r="A4" s="21" t="s">
        <v>14</v>
      </c>
      <c r="B4" s="22" t="s">
        <v>15</v>
      </c>
      <c r="C4" s="22"/>
      <c r="D4" s="22"/>
      <c r="E4" s="23">
        <v>2</v>
      </c>
      <c r="F4" s="198">
        <f aca="true" t="shared" si="2" ref="F4:N4">SUM(F5:F15)</f>
        <v>2248123</v>
      </c>
      <c r="G4" s="80">
        <f t="shared" si="2"/>
        <v>1995759</v>
      </c>
      <c r="H4" s="81">
        <f t="shared" si="2"/>
        <v>179294</v>
      </c>
      <c r="I4" s="81">
        <f t="shared" si="2"/>
        <v>3428</v>
      </c>
      <c r="J4" s="305">
        <f t="shared" si="2"/>
        <v>2000</v>
      </c>
      <c r="K4" s="305">
        <f>SUM(K5:K15)</f>
        <v>21572</v>
      </c>
      <c r="L4" s="305">
        <f>SUM(L5:L15)</f>
        <v>46070</v>
      </c>
      <c r="M4" s="164">
        <f>LF!M4+'FF'!M4+PrF!M4+FSS!M4+PřF!M4+'FI'!M4+PdF!M4+FSpS!M4+ESF!M4</f>
        <v>0</v>
      </c>
      <c r="N4" s="525">
        <f t="shared" si="2"/>
        <v>0</v>
      </c>
      <c r="O4" s="410">
        <f t="shared" si="1"/>
        <v>0</v>
      </c>
      <c r="P4" s="82" t="e">
        <f>SUM(P5:P15)</f>
        <v>#DIV/0!</v>
      </c>
      <c r="Q4" s="198">
        <f>SUM(Q5:Q15)</f>
        <v>1996131</v>
      </c>
      <c r="R4" s="255"/>
      <c r="S4" s="252"/>
    </row>
    <row r="5" spans="1:19" s="65" customFormat="1" ht="12">
      <c r="A5" s="61"/>
      <c r="B5" s="62"/>
      <c r="C5" s="62" t="s">
        <v>16</v>
      </c>
      <c r="D5" s="63" t="s">
        <v>17</v>
      </c>
      <c r="E5" s="64">
        <v>3</v>
      </c>
      <c r="F5" s="199">
        <f aca="true" t="shared" si="3" ref="F5:F27">SUM(G5:L5)</f>
        <v>967331</v>
      </c>
      <c r="G5" s="220">
        <f>LF!G5+'FF'!G5+PrF!G5+FSS!G5+PřF!G5+'FI'!G5+PdF!G5+FSpS!G5+ESF!G5</f>
        <v>929258</v>
      </c>
      <c r="H5" s="121">
        <f>LF!H5+'FF'!H5+PrF!H5+FSS!H5+PřF!H5+'FI'!H5+PdF!H5+FSpS!H5+ESF!H5</f>
        <v>35748</v>
      </c>
      <c r="I5" s="121">
        <f>LF!I5+'FF'!I5+PrF!I5+FSS!I5+PřF!I5+'FI'!I5+PdF!I5+FSpS!I5+ESF!I5</f>
        <v>325</v>
      </c>
      <c r="J5" s="300">
        <f>LF!J5+'FF'!J5+PrF!J5+FSS!J5+PřF!J5+'FI'!J5+PdF!J5+FSpS!J5+ESF!J5</f>
        <v>2000</v>
      </c>
      <c r="K5" s="300">
        <f>LF!K5+'FF'!K5+PrF!K5+FSS!K5+PřF!K5+'FI'!K5+PdF!K5+FSpS!K5+ESF!K5</f>
        <v>0</v>
      </c>
      <c r="L5" s="300">
        <f>LF!L5+'FF'!L5+PrF!L5+FSS!L5+PřF!L5+'FI'!L5+PdF!L5+FSpS!L5+ESF!L5</f>
        <v>0</v>
      </c>
      <c r="M5" s="164">
        <f>LF!M5+'FF'!M5+PrF!M5+FSS!M5+PřF!M5+'FI'!M5+PdF!M5+FSpS!M5+ESF!M5</f>
        <v>0</v>
      </c>
      <c r="N5" s="87">
        <f>LF!N5+'FF'!N5+PrF!N5+FSS!N5+PřF!N5+'FI'!N5+PdF!N5+FSpS!N5+ESF!N5</f>
        <v>0</v>
      </c>
      <c r="O5" s="863">
        <f t="shared" si="1"/>
        <v>0</v>
      </c>
      <c r="P5" s="199">
        <f>LF!P5+'FF'!P5+PrF!P5+FSS!P5+PřF!P5+'FI'!P5+PdF!P5+FSpS!P5+ESF!P5</f>
        <v>0</v>
      </c>
      <c r="Q5" s="199">
        <f>LF!Q5+'FF'!Q5+PrF!Q5+FSS!Q5+PřF!Q5+'FI'!Q5+PdF!Q5+FSpS!Q5+ESF!Q5</f>
        <v>835943</v>
      </c>
      <c r="R5" s="546"/>
      <c r="S5" s="546"/>
    </row>
    <row r="6" spans="1:19" s="65" customFormat="1" ht="12">
      <c r="A6" s="61"/>
      <c r="B6" s="62"/>
      <c r="C6" s="62"/>
      <c r="D6" s="63" t="s">
        <v>18</v>
      </c>
      <c r="E6" s="64">
        <v>4</v>
      </c>
      <c r="F6" s="199">
        <f t="shared" si="3"/>
        <v>97259</v>
      </c>
      <c r="G6" s="220">
        <f>LF!G6+'FF'!G6+PrF!G6+FSS!G5+PřF!G6+'FI'!G6+PdF!G6+FSpS!G6+ESF!G6</f>
        <v>97109</v>
      </c>
      <c r="H6" s="121">
        <f>LF!H6+'FF'!H6+PrF!H6+FSS!H6+PřF!H6+'FI'!H6+PdF!H6+FSpS!H6+ESF!H6</f>
        <v>50</v>
      </c>
      <c r="I6" s="121">
        <f>LF!I6+'FF'!I6+PrF!I6+FSS!I6+PřF!I6+'FI'!I6+PdF!I6+FSpS!I6+ESF!I6</f>
        <v>100</v>
      </c>
      <c r="J6" s="300">
        <f>LF!J6+'FF'!J6+PrF!J6+FSS!J6+PřF!J6+'FI'!J6+PdF!J6+FSpS!J6+ESF!J6</f>
        <v>0</v>
      </c>
      <c r="K6" s="300">
        <f>LF!K6+'FF'!K6+PrF!K6+FSS!K6+PřF!K6+'FI'!K6+PdF!K6+FSpS!K6+ESF!K6</f>
        <v>0</v>
      </c>
      <c r="L6" s="300">
        <f>LF!L6+'FF'!L6+PrF!L6+FSS!L6+PřF!L6+'FI'!L6+PdF!L6+FSpS!L6+ESF!L6</f>
        <v>0</v>
      </c>
      <c r="M6" s="164">
        <f>LF!M6+'FF'!M6+PrF!M6+FSS!M6+PřF!M6+'FI'!M6+PdF!M6+FSpS!M6+ESF!M6</f>
        <v>0</v>
      </c>
      <c r="N6" s="87">
        <f>LF!N6+'FF'!N6+PrF!N6+FSS!N6+PřF!N6+'FI'!N6+PdF!N6+FSpS!N6+ESF!N6</f>
        <v>0</v>
      </c>
      <c r="O6" s="863">
        <f t="shared" si="1"/>
        <v>0</v>
      </c>
      <c r="P6" s="199">
        <f>LF!P6+'FF'!P6+PrF!P6+FSS!P6+PřF!P6+'FI'!P6+PdF!P6+FSpS!P6+ESF!P6</f>
        <v>0</v>
      </c>
      <c r="Q6" s="199">
        <f>LF!Q6+'FF'!Q6+PrF!Q6+FSS!Q6+PřF!Q6+'FI'!Q6+PdF!Q6+FSpS!Q6+ESF!Q6</f>
        <v>32249</v>
      </c>
      <c r="R6" s="546"/>
      <c r="S6" s="546"/>
    </row>
    <row r="7" spans="1:19" s="65" customFormat="1" ht="12">
      <c r="A7" s="61"/>
      <c r="B7" s="62"/>
      <c r="C7" s="62"/>
      <c r="D7" s="63" t="s">
        <v>19</v>
      </c>
      <c r="E7" s="64">
        <v>5</v>
      </c>
      <c r="F7" s="199">
        <f t="shared" si="3"/>
        <v>317792</v>
      </c>
      <c r="G7" s="220">
        <f>LF!G7+'FF'!G7+PrF!G7+FSS!G6+PřF!G7+'FI'!G7+PdF!G7+FSpS!G7+ESF!G7</f>
        <v>312166</v>
      </c>
      <c r="H7" s="121">
        <f>LF!H7+'FF'!H7+PrF!H7+FSS!H7+PřF!H7+'FI'!H7+PdF!H7+FSpS!H7+ESF!H7</f>
        <v>5512</v>
      </c>
      <c r="I7" s="121">
        <f>LF!I7+'FF'!I7+PrF!I7+FSS!I7+PřF!I7+'FI'!I7+PdF!I7+FSpS!I7+ESF!I7</f>
        <v>114</v>
      </c>
      <c r="J7" s="300">
        <f>LF!J7+'FF'!J7+PrF!J7+FSS!J7+PřF!J7+'FI'!J7+PdF!J7+FSpS!J7+ESF!J7</f>
        <v>0</v>
      </c>
      <c r="K7" s="300">
        <f>LF!K7+'FF'!K7+PrF!K7+FSS!K7+PřF!K7+'FI'!K7+PdF!K7+FSpS!K7+ESF!K7</f>
        <v>0</v>
      </c>
      <c r="L7" s="300">
        <f>LF!L7+'FF'!L7+PrF!L7+FSS!L7+PřF!L7+'FI'!L7+PdF!L7+FSpS!L7+ESF!L7</f>
        <v>0</v>
      </c>
      <c r="M7" s="164">
        <f>LF!M7+'FF'!M7+PrF!M7+FSS!M7+PřF!M7+'FI'!M7+PdF!M7+FSpS!M7+ESF!M7</f>
        <v>0</v>
      </c>
      <c r="N7" s="87">
        <f>LF!N7+'FF'!N7+PrF!N7+FSS!N7+PřF!N7+'FI'!N7+PdF!N7+FSpS!N7+ESF!N7</f>
        <v>0</v>
      </c>
      <c r="O7" s="863">
        <f t="shared" si="1"/>
        <v>0</v>
      </c>
      <c r="P7" s="199">
        <f>LF!P7+'FF'!P7+PrF!P7+FSS!P7+PřF!P7+'FI'!P7+PdF!P7+FSpS!P7+ESF!P7</f>
        <v>0</v>
      </c>
      <c r="Q7" s="199">
        <f>LF!Q7+'FF'!Q7+PrF!Q7+FSS!Q7+PřF!Q7+'FI'!Q7+PdF!Q7+FSpS!Q7+ESF!Q7</f>
        <v>300357</v>
      </c>
      <c r="R7" s="546"/>
      <c r="S7" s="546"/>
    </row>
    <row r="8" spans="1:19" s="65" customFormat="1" ht="12">
      <c r="A8" s="61"/>
      <c r="B8" s="62"/>
      <c r="C8" s="62"/>
      <c r="D8" s="63" t="s">
        <v>20</v>
      </c>
      <c r="E8" s="64">
        <v>6</v>
      </c>
      <c r="F8" s="199">
        <f t="shared" si="3"/>
        <v>134964</v>
      </c>
      <c r="G8" s="220">
        <f>LF!G8+'FF'!G8+PrF!G8+FSS!G7+PřF!G8+'FI'!G8+PdF!G8+FSpS!G8+ESF!G8</f>
        <v>84092</v>
      </c>
      <c r="H8" s="121">
        <f>LF!H8+'FF'!H8+PrF!H8+FSS!H8+PřF!H8+'FI'!H8+PdF!H8+FSpS!H8+ESF!H8</f>
        <v>50872</v>
      </c>
      <c r="I8" s="121">
        <f>LF!I8+'FF'!I8+PrF!I8+FSS!I8+PřF!I8+'FI'!I8+PdF!I8+FSpS!I8+ESF!I8</f>
        <v>0</v>
      </c>
      <c r="J8" s="300">
        <f>LF!J8+'FF'!J8+PrF!J8+FSS!J8+PřF!J8+'FI'!J8+PdF!J8+FSpS!J8+ESF!J8</f>
        <v>0</v>
      </c>
      <c r="K8" s="300">
        <f>LF!K8+'FF'!K8+PrF!K8+FSS!K8+PřF!K8+'FI'!K8+PdF!K8+FSpS!K8+ESF!K8</f>
        <v>0</v>
      </c>
      <c r="L8" s="300">
        <f>LF!L8+'FF'!L8+PrF!L8+FSS!L8+PřF!L8+'FI'!L8+PdF!L8+FSpS!L8+ESF!L8</f>
        <v>0</v>
      </c>
      <c r="M8" s="164">
        <f>LF!M8+'FF'!M8+PrF!M8+FSS!M8+PřF!M8+'FI'!M8+PdF!M8+FSpS!M8+ESF!M8</f>
        <v>0</v>
      </c>
      <c r="N8" s="87">
        <f>LF!N8+'FF'!N8+PrF!N8+FSS!N8+PřF!N8+'FI'!N8+PdF!N8+FSpS!N8+ESF!N8</f>
        <v>0</v>
      </c>
      <c r="O8" s="863">
        <f t="shared" si="1"/>
        <v>0</v>
      </c>
      <c r="P8" s="199" t="e">
        <f>LF!P8+'FF'!P8+PrF!P8+FSS!P8+PřF!P8+'FI'!P8+PdF!P8+FSpS!P8+ESF!P8</f>
        <v>#DIV/0!</v>
      </c>
      <c r="Q8" s="199">
        <f>LF!Q8+'FF'!Q8+PrF!Q8+FSS!Q8+PřF!Q8+'FI'!Q8+PdF!Q8+FSpS!Q8+ESF!Q8</f>
        <v>88237</v>
      </c>
      <c r="R8" s="546"/>
      <c r="S8" s="546"/>
    </row>
    <row r="9" spans="1:19" s="65" customFormat="1" ht="12">
      <c r="A9" s="61"/>
      <c r="B9" s="62"/>
      <c r="C9" s="62"/>
      <c r="D9" s="63" t="s">
        <v>21</v>
      </c>
      <c r="E9" s="64">
        <v>7</v>
      </c>
      <c r="F9" s="199">
        <f t="shared" si="3"/>
        <v>39817</v>
      </c>
      <c r="G9" s="220">
        <f>LF!G9+'FF'!G9+PrF!G9+FSS!G8+PřF!G9+'FI'!G9+PdF!G9+FSpS!G9+ESF!G9</f>
        <v>28583</v>
      </c>
      <c r="H9" s="121">
        <f>LF!H9+'FF'!H9+PrF!H9+FSS!H9+PřF!H9+'FI'!H9+PdF!H9+FSpS!H9+ESF!H9</f>
        <v>11234</v>
      </c>
      <c r="I9" s="121">
        <f>LF!I9+'FF'!I9+PrF!I9+FSS!I9+PřF!I9+'FI'!I9+PdF!I9+FSpS!I9+ESF!I9</f>
        <v>0</v>
      </c>
      <c r="J9" s="300">
        <f>LF!J9+'FF'!J9+PrF!J9+FSS!J9+PřF!J9+'FI'!J9+PdF!J9+FSpS!J9+ESF!J9</f>
        <v>0</v>
      </c>
      <c r="K9" s="300">
        <f>LF!K9+'FF'!K9+PrF!K9+FSS!K9+PřF!K9+'FI'!K9+PdF!K9+FSpS!K9+ESF!K9</f>
        <v>0</v>
      </c>
      <c r="L9" s="300">
        <f>LF!L9+'FF'!L9+PrF!L9+FSS!L9+PřF!L9+'FI'!L9+PdF!L9+FSpS!L9+ESF!L9</f>
        <v>0</v>
      </c>
      <c r="M9" s="164">
        <f>LF!M9+'FF'!M9+PrF!M9+FSS!M9+PřF!M9+'FI'!M9+PdF!M9+FSpS!M9+ESF!M9</f>
        <v>0</v>
      </c>
      <c r="N9" s="87">
        <f>LF!N9+'FF'!N9+PrF!N9+FSS!N9+PřF!N9+'FI'!N9+PdF!N9+FSpS!N9+ESF!N9</f>
        <v>0</v>
      </c>
      <c r="O9" s="863">
        <f t="shared" si="1"/>
        <v>0</v>
      </c>
      <c r="P9" s="199" t="e">
        <f>LF!P9+'FF'!P9+PrF!P9+FSS!P9+PřF!P9+'FI'!P9+PdF!P9+FSpS!P9+ESF!P9</f>
        <v>#DIV/0!</v>
      </c>
      <c r="Q9" s="199">
        <f>LF!Q9+'FF'!Q9+PrF!Q9+FSS!Q9+PřF!Q9+'FI'!Q9+PdF!Q9+FSpS!Q9+ESF!Q9</f>
        <v>29346</v>
      </c>
      <c r="R9" s="546"/>
      <c r="S9" s="546"/>
    </row>
    <row r="10" spans="1:19" s="65" customFormat="1" ht="12">
      <c r="A10" s="61"/>
      <c r="B10" s="62"/>
      <c r="C10" s="62"/>
      <c r="D10" s="63" t="s">
        <v>22</v>
      </c>
      <c r="E10" s="64">
        <v>8</v>
      </c>
      <c r="F10" s="199">
        <f t="shared" si="3"/>
        <v>74624</v>
      </c>
      <c r="G10" s="220">
        <f>LF!G10+'FF'!G10+PrF!G10+FSS!G9+PřF!G10+'FI'!G10+PdF!G10+FSpS!G10+ESF!G10</f>
        <v>65591</v>
      </c>
      <c r="H10" s="121">
        <f>LF!H10+'FF'!H10+PrF!H10+FSS!H10+PřF!H10+'FI'!H10+PdF!H10+FSpS!H10+ESF!H10</f>
        <v>8556</v>
      </c>
      <c r="I10" s="121">
        <f>LF!I10+'FF'!I10+PrF!I10+FSS!I10+PřF!I10+'FI'!I10+PdF!I10+FSpS!I10+ESF!I10</f>
        <v>477</v>
      </c>
      <c r="J10" s="300">
        <f>LF!J10+'FF'!J10+PrF!J10+FSS!J10+PřF!J10+'FI'!J10+PdF!J10+FSpS!J10+ESF!J10</f>
        <v>0</v>
      </c>
      <c r="K10" s="300">
        <f>LF!K10+'FF'!K10+PrF!K10+FSS!K10+PřF!K10+'FI'!K10+PdF!K10+FSpS!K10+ESF!K10</f>
        <v>0</v>
      </c>
      <c r="L10" s="300">
        <f>LF!L10+'FF'!L10+PrF!L10+FSS!L10+PřF!L10+'FI'!L10+PdF!L10+FSpS!L10+ESF!L10</f>
        <v>0</v>
      </c>
      <c r="M10" s="164">
        <f>LF!M10+'FF'!M10+PrF!M10+FSS!M10+PřF!M10+'FI'!M10+PdF!M10+FSpS!M10+ESF!M10</f>
        <v>0</v>
      </c>
      <c r="N10" s="87">
        <f>LF!N10+'FF'!N10+PrF!N10+FSS!N10+PřF!N10+'FI'!N10+PdF!N10+FSpS!N10+ESF!N10</f>
        <v>0</v>
      </c>
      <c r="O10" s="863">
        <f t="shared" si="1"/>
        <v>0</v>
      </c>
      <c r="P10" s="199" t="e">
        <f>LF!P10+'FF'!P10+PrF!P10+FSS!P10+PřF!P10+'FI'!P10+PdF!P10+FSpS!P10+ESF!P10</f>
        <v>#DIV/0!</v>
      </c>
      <c r="Q10" s="199">
        <f>LF!Q10+'FF'!Q10+PrF!Q10+FSS!Q10+PřF!Q10+'FI'!Q10+PdF!Q10+FSpS!Q10+ESF!Q10</f>
        <v>68404</v>
      </c>
      <c r="R10" s="546"/>
      <c r="S10" s="546"/>
    </row>
    <row r="11" spans="1:19" s="65" customFormat="1" ht="12">
      <c r="A11" s="61"/>
      <c r="B11" s="62"/>
      <c r="C11" s="62"/>
      <c r="D11" s="63" t="s">
        <v>23</v>
      </c>
      <c r="E11" s="64">
        <v>9</v>
      </c>
      <c r="F11" s="199">
        <f t="shared" si="3"/>
        <v>128971</v>
      </c>
      <c r="G11" s="220">
        <f>LF!G11+'FF'!G11+PrF!G11+FSS!G10+PřF!G11+'FI'!G11+PdF!G11+FSpS!G11+ESF!G11</f>
        <v>95716</v>
      </c>
      <c r="H11" s="121">
        <f>LF!H11+'FF'!H11+PrF!H11+FSS!H11+PřF!H11+'FI'!H11+PdF!H11+FSpS!H11+ESF!H11</f>
        <v>32770</v>
      </c>
      <c r="I11" s="121">
        <f>LF!I11+'FF'!I11+PrF!I11+FSS!I11+PřF!I11+'FI'!I11+PdF!I11+FSpS!I11+ESF!I11</f>
        <v>485</v>
      </c>
      <c r="J11" s="300">
        <f>LF!J11+'FF'!J11+PrF!J11+FSS!J11+PřF!J11+'FI'!J11+PdF!J11+FSpS!J11+ESF!J11</f>
        <v>0</v>
      </c>
      <c r="K11" s="300">
        <f>LF!K11+'FF'!K11+PrF!K11+FSS!K11+PřF!K11+'FI'!K11+PdF!K11+FSpS!K11+ESF!K11</f>
        <v>0</v>
      </c>
      <c r="L11" s="300">
        <f>LF!L11+'FF'!L11+PrF!L11+FSS!L11+PřF!L11+'FI'!L11+PdF!L11+FSpS!L11+ESF!L11</f>
        <v>0</v>
      </c>
      <c r="M11" s="164">
        <f>LF!M11+'FF'!M11+PrF!M11+FSS!M11+PřF!M11+'FI'!M11+PdF!M11+FSpS!M11+ESF!M11</f>
        <v>0</v>
      </c>
      <c r="N11" s="87">
        <f>LF!N11+'FF'!N11+PrF!N11+FSS!N11+PřF!N11+'FI'!N11+PdF!N11+FSpS!N11+ESF!N11</f>
        <v>0</v>
      </c>
      <c r="O11" s="863">
        <f t="shared" si="1"/>
        <v>0</v>
      </c>
      <c r="P11" s="199" t="e">
        <f>LF!P11+'FF'!P11+PrF!P11+FSS!P11+PřF!P11+'FI'!P11+PdF!P11+FSpS!P11+ESF!P11</f>
        <v>#DIV/0!</v>
      </c>
      <c r="Q11" s="199">
        <f>LF!Q11+'FF'!Q11+PrF!Q11+FSS!Q11+PřF!Q11+'FI'!Q11+PdF!Q11+FSpS!Q11+ESF!Q11</f>
        <v>111068</v>
      </c>
      <c r="R11" s="546"/>
      <c r="S11" s="546"/>
    </row>
    <row r="12" spans="1:19" s="65" customFormat="1" ht="12">
      <c r="A12" s="61"/>
      <c r="B12" s="62"/>
      <c r="C12" s="62"/>
      <c r="D12" s="63" t="s">
        <v>24</v>
      </c>
      <c r="E12" s="64">
        <v>10</v>
      </c>
      <c r="F12" s="199">
        <f t="shared" si="3"/>
        <v>15016</v>
      </c>
      <c r="G12" s="220">
        <f>LF!G12+'FF'!G12+PrF!G12+FSS!G11+PřF!G12+'FI'!G12+PdF!G12+FSpS!G12+ESF!G12</f>
        <v>14541</v>
      </c>
      <c r="H12" s="121">
        <f>LF!H12+'FF'!H12+PrF!H12+FSS!H12+PřF!H12+'FI'!H12+PdF!H12+FSpS!H12+ESF!H12</f>
        <v>0</v>
      </c>
      <c r="I12" s="121">
        <f>LF!I12+'FF'!I12+PrF!I12+FSS!I12+PřF!I12+'FI'!I12+PdF!I12+FSpS!I12+ESF!I12</f>
        <v>475</v>
      </c>
      <c r="J12" s="300">
        <f>LF!J12+'FF'!J12+PrF!J12+FSS!J12+PřF!J12+'FI'!J12+PdF!J12+FSpS!J12+ESF!J12</f>
        <v>0</v>
      </c>
      <c r="K12" s="300">
        <f>LF!K12+'FF'!K12+PrF!K12+FSS!K12+PřF!K12+'FI'!K12+PdF!K12+FSpS!K12+ESF!K12</f>
        <v>0</v>
      </c>
      <c r="L12" s="300">
        <f>LF!L12+'FF'!L12+PrF!L12+FSS!L12+PřF!L12+'FI'!L12+PdF!L12+FSpS!L12+ESF!L12</f>
        <v>0</v>
      </c>
      <c r="M12" s="164">
        <f>LF!M12+'FF'!M12+PrF!M12+FSS!M12+PřF!M12+'FI'!M12+PdF!M12+FSpS!M12+ESF!M12</f>
        <v>0</v>
      </c>
      <c r="N12" s="87">
        <f>LF!N12+'FF'!N12+PrF!N12+FSS!N12+PřF!N12+'FI'!N12+PdF!N12+FSpS!N12+ESF!N12</f>
        <v>0</v>
      </c>
      <c r="O12" s="863">
        <f t="shared" si="1"/>
        <v>0</v>
      </c>
      <c r="P12" s="199" t="e">
        <f>LF!P12+'FF'!P12+PrF!P12+FSS!P12+PřF!P12+'FI'!P12+PdF!P12+FSpS!P12+ESF!P12</f>
        <v>#DIV/0!</v>
      </c>
      <c r="Q12" s="199">
        <f>LF!Q12+'FF'!Q12+PrF!Q12+FSS!Q12+PřF!Q12+'FI'!Q12+PdF!Q12+FSpS!Q12+ESF!Q12</f>
        <v>9826</v>
      </c>
      <c r="R12" s="546"/>
      <c r="S12" s="546"/>
    </row>
    <row r="13" spans="1:19" s="65" customFormat="1" ht="12">
      <c r="A13" s="61"/>
      <c r="B13" s="62"/>
      <c r="C13" s="62"/>
      <c r="D13" s="63" t="s">
        <v>25</v>
      </c>
      <c r="E13" s="64">
        <v>11</v>
      </c>
      <c r="F13" s="199">
        <f t="shared" si="3"/>
        <v>203942</v>
      </c>
      <c r="G13" s="220">
        <f>LF!G13+'FF'!G13+PrF!G13+FSS!G12+PřF!G13+'FI'!G13+PdF!G13+FSpS!G13+ESF!G13</f>
        <v>197459</v>
      </c>
      <c r="H13" s="121">
        <f>LF!H13+'FF'!H13+PrF!H13+FSS!H13+PřF!H13+'FI'!H13+PdF!H13+FSpS!H13+ESF!H13</f>
        <v>6483</v>
      </c>
      <c r="I13" s="121">
        <f>LF!I13+'FF'!I13+PrF!I13+FSS!I13+PřF!I13+'FI'!I13+PdF!I13+FSpS!I13+ESF!I13</f>
        <v>0</v>
      </c>
      <c r="J13" s="300">
        <f>LF!J13+'FF'!J13+PrF!J13+FSS!J13+PřF!J13+'FI'!J13+PdF!J13+FSpS!J13+ESF!J13</f>
        <v>0</v>
      </c>
      <c r="K13" s="300">
        <f>LF!K13+'FF'!K13+PrF!K13+FSS!K13+PřF!K13+'FI'!K13+PdF!K13+FSpS!K13+ESF!K13</f>
        <v>0</v>
      </c>
      <c r="L13" s="300">
        <f>LF!L13+'FF'!L13+PrF!L13+FSS!L13+PřF!L13+'FI'!L13+PdF!L13+FSpS!L13+ESF!L13</f>
        <v>0</v>
      </c>
      <c r="M13" s="164">
        <f>LF!M13+'FF'!M13+PrF!M13+FSS!M13+PřF!M13+'FI'!M13+PdF!M13+FSpS!M13+ESF!M13</f>
        <v>0</v>
      </c>
      <c r="N13" s="87">
        <f>LF!N13+'FF'!N13+PrF!N13+FSS!N13+PřF!N13+'FI'!N13+PdF!N13+FSpS!N13+ESF!N13</f>
        <v>0</v>
      </c>
      <c r="O13" s="863">
        <f t="shared" si="1"/>
        <v>0</v>
      </c>
      <c r="P13" s="199">
        <f>LF!P13+'FF'!P13+PrF!P13+FSS!P13+PřF!P13+'FI'!P13+PdF!P13+FSpS!P13+ESF!P13</f>
        <v>0</v>
      </c>
      <c r="Q13" s="199">
        <f>LF!Q13+'FF'!Q13+PrF!Q13+FSS!Q13+PřF!Q13+'FI'!Q13+PdF!Q13+FSpS!Q13+ESF!Q13</f>
        <v>205784</v>
      </c>
      <c r="R13" s="546"/>
      <c r="S13" s="546"/>
    </row>
    <row r="14" spans="1:19" s="65" customFormat="1" ht="12">
      <c r="A14" s="61"/>
      <c r="B14" s="62"/>
      <c r="C14" s="62"/>
      <c r="D14" s="63" t="s">
        <v>26</v>
      </c>
      <c r="E14" s="64">
        <v>12</v>
      </c>
      <c r="F14" s="199">
        <f t="shared" si="3"/>
        <v>57432</v>
      </c>
      <c r="G14" s="220">
        <f>LF!G14+'FF'!G14+PrF!G14+FSS!G13+PřF!G14+'FI'!G14+PdF!G14+FSpS!G14+ESF!G14</f>
        <v>10591</v>
      </c>
      <c r="H14" s="121">
        <f>LF!H14+'FF'!H14+PrF!H14+FSS!H14+PřF!H14+'FI'!H14+PdF!H14+FSpS!H14+ESF!H14</f>
        <v>688</v>
      </c>
      <c r="I14" s="121">
        <f>LF!I14+'FF'!I14+PrF!I14+FSS!I14+PřF!I14+'FI'!I14+PdF!I14+FSpS!I14+ESF!I14</f>
        <v>83</v>
      </c>
      <c r="J14" s="300">
        <f>LF!J14+'FF'!J14+PrF!J14+FSS!J14+PřF!J14+'FI'!J14+PdF!J14+FSpS!J14+ESF!J14</f>
        <v>0</v>
      </c>
      <c r="K14" s="300">
        <f>LF!K14+'FF'!K14+PrF!K14+FSS!K14+PřF!K14+'FI'!K14+PdF!K14+FSpS!K14+ESF!K14</f>
        <v>0</v>
      </c>
      <c r="L14" s="300">
        <f>LF!L14+'FF'!L14+PrF!L14+FSS!L14+PřF!L14+'FI'!L14+PdF!L14+FSpS!L14+ESF!L14</f>
        <v>46070</v>
      </c>
      <c r="M14" s="164">
        <f>LF!M14+'FF'!M14+PrF!M14+FSS!M14+PřF!M14+'FI'!M14+PdF!M14+FSpS!M14+ESF!M14</f>
        <v>0</v>
      </c>
      <c r="N14" s="87">
        <f>LF!N14+'FF'!N14+PrF!N14+FSS!N14+PřF!N14+'FI'!N14+PdF!N14+FSpS!N14+ESF!N14</f>
        <v>0</v>
      </c>
      <c r="O14" s="863">
        <f t="shared" si="1"/>
        <v>0</v>
      </c>
      <c r="P14" s="199" t="e">
        <f>LF!P14+'FF'!P14+PrF!P14+FSS!P14+PřF!P14+'FI'!P14+PdF!P14+FSpS!P14+ESF!P14</f>
        <v>#DIV/0!</v>
      </c>
      <c r="Q14" s="199">
        <f>LF!Q14+'FF'!Q14+PrF!Q14+FSS!Q14+PřF!Q14+'FI'!Q14+PdF!Q14+FSpS!Q14+ESF!Q14</f>
        <v>48567</v>
      </c>
      <c r="R14" s="546"/>
      <c r="S14" s="546"/>
    </row>
    <row r="15" spans="1:19" s="65" customFormat="1" ht="12">
      <c r="A15" s="61"/>
      <c r="B15" s="62"/>
      <c r="C15" s="63"/>
      <c r="D15" s="63" t="s">
        <v>27</v>
      </c>
      <c r="E15" s="64">
        <v>13</v>
      </c>
      <c r="F15" s="199">
        <f t="shared" si="3"/>
        <v>210975</v>
      </c>
      <c r="G15" s="220">
        <f>LF!G15+'FF'!G15+PrF!G15+FSS!G14+PřF!G15+'FI'!G15+PdF!G15+FSpS!G15+ESF!G15</f>
        <v>160653</v>
      </c>
      <c r="H15" s="121">
        <f>LF!H15+'FF'!H15+PrF!H15+FSS!H15+PřF!H15+'FI'!H15+PdF!H15+FSpS!H15+ESF!H15</f>
        <v>27381</v>
      </c>
      <c r="I15" s="121">
        <f>LF!I15+'FF'!I15+PrF!I15+FSS!I15+PřF!I15+'FI'!I15+PdF!I15+FSpS!I15+ESF!I15</f>
        <v>1369</v>
      </c>
      <c r="J15" s="300">
        <f>LF!J15+'FF'!J15+PrF!J15+FSS!J15+PřF!J15+'FI'!J15+PdF!J15+FSpS!J15+ESF!J15</f>
        <v>0</v>
      </c>
      <c r="K15" s="300">
        <f>LF!K15+'FF'!K15+PrF!K15+FSS!K15+PřF!K15+'FI'!K15+PdF!K15+FSpS!K15+ESF!K15</f>
        <v>21572</v>
      </c>
      <c r="L15" s="300">
        <f>LF!L15+'FF'!L15+PrF!L15+FSS!L15+PřF!L15+'FI'!L15+PdF!L15+FSpS!L15+ESF!L15</f>
        <v>0</v>
      </c>
      <c r="M15" s="164">
        <f>LF!M15+'FF'!M15+PrF!M15+FSS!M15+PřF!M15+'FI'!M15+PdF!M15+FSpS!M15+ESF!M15</f>
        <v>0</v>
      </c>
      <c r="N15" s="87">
        <f>LF!N15+'FF'!N15+PrF!N15+FSS!N15+PřF!N15+'FI'!N15+PdF!N15+FSpS!N15+ESF!N15</f>
        <v>0</v>
      </c>
      <c r="O15" s="863">
        <f t="shared" si="1"/>
        <v>0</v>
      </c>
      <c r="P15" s="199" t="e">
        <f>LF!P15+'FF'!P15+PrF!P15+FSS!P15+PřF!P15+'FI'!P15+PdF!P15+FSpS!P15+ESF!P15</f>
        <v>#DIV/0!</v>
      </c>
      <c r="Q15" s="199">
        <f>LF!Q15+'FF'!Q15+PrF!Q15+FSS!Q15+PřF!Q15+'FI'!Q15+PdF!Q15+FSpS!Q15+ESF!Q15</f>
        <v>266350</v>
      </c>
      <c r="R15" s="546"/>
      <c r="S15" s="546"/>
    </row>
    <row r="16" spans="1:19" s="25" customFormat="1" ht="12">
      <c r="A16" s="21"/>
      <c r="B16" s="30" t="s">
        <v>28</v>
      </c>
      <c r="C16" s="27"/>
      <c r="D16" s="27"/>
      <c r="E16" s="28">
        <v>14</v>
      </c>
      <c r="F16" s="119">
        <f t="shared" si="3"/>
        <v>152087</v>
      </c>
      <c r="G16" s="220">
        <f>LF!G16+'FF'!G16+PrF!G16+FSS!G15+PřF!G16+'FI'!G16+PdF!G16+FSpS!G16+ESF!G16</f>
        <v>151646</v>
      </c>
      <c r="H16" s="121">
        <f>LF!H16+'FF'!H16+PrF!H16+FSS!H16+PřF!H16+'FI'!H16+PdF!H16+FSpS!H16+ESF!H16</f>
        <v>441</v>
      </c>
      <c r="I16" s="121">
        <f>LF!I16+'FF'!I16+PrF!I16+FSS!I16+PřF!I16+'FI'!I16+PdF!I16+FSpS!I16+ESF!I16</f>
        <v>0</v>
      </c>
      <c r="J16" s="300">
        <f>LF!J16+'FF'!J16+PrF!J16+FSS!J16+PřF!J16+'FI'!J16+PdF!J16+FSpS!J16+ESF!J16</f>
        <v>0</v>
      </c>
      <c r="K16" s="300">
        <f>LF!K16+'FF'!K16+PrF!K16+FSS!K16+PřF!K16+'FI'!K16+PdF!K16+FSpS!K16+ESF!K16</f>
        <v>0</v>
      </c>
      <c r="L16" s="300">
        <f>LF!L16+'FF'!L16+PrF!L16+FSS!L16+PřF!L16+'FI'!L16+PdF!L16+FSpS!L16+ESF!L16</f>
        <v>0</v>
      </c>
      <c r="M16" s="164">
        <f>LF!M16+'FF'!M16+PrF!M16+FSS!M16+PřF!M16+'FI'!M16+PdF!M16+FSpS!M16+ESF!M16</f>
        <v>0</v>
      </c>
      <c r="N16" s="92">
        <f>LF!N16+'FF'!N16+PrF!N16+FSS!N16+PřF!N16+'FI'!N16+PdF!N16+FSpS!N16+ESF!N16</f>
        <v>0</v>
      </c>
      <c r="O16" s="432">
        <f t="shared" si="1"/>
        <v>0</v>
      </c>
      <c r="P16" s="199">
        <f>LF!P16+'FF'!P16+PrF!P16+FSS!P16+PřF!P16+'FI'!P16+PdF!P16+FSpS!P16+ESF!P16</f>
        <v>0</v>
      </c>
      <c r="Q16" s="119">
        <f>LF!Q16+'FF'!Q16+PrF!Q16+FSS!Q16+PřF!Q16+'FI'!Q16+PdF!Q16+FSpS!Q16+ESF!Q16</f>
        <v>146629</v>
      </c>
      <c r="R16" s="255"/>
      <c r="S16" s="252"/>
    </row>
    <row r="17" spans="1:19" s="25" customFormat="1" ht="12">
      <c r="A17" s="21"/>
      <c r="B17" s="30" t="s">
        <v>30</v>
      </c>
      <c r="C17" s="27"/>
      <c r="D17" s="27"/>
      <c r="E17" s="28">
        <v>15</v>
      </c>
      <c r="F17" s="119">
        <f t="shared" si="3"/>
        <v>7925</v>
      </c>
      <c r="G17" s="220">
        <f>LF!G17+'FF'!G17+PrF!G17+FSS!G17+PřF!G17+'FI'!G17+PdF!G17+FSpS!G17+ESF!G17</f>
        <v>7925</v>
      </c>
      <c r="H17" s="121">
        <f>LF!H17+'FF'!H17+PrF!H17+FSS!H17+PřF!H17+'FI'!H17+PdF!H17+FSpS!H17+ESF!H17</f>
        <v>0</v>
      </c>
      <c r="I17" s="121">
        <f>LF!I17+'FF'!I17+PrF!I17+FSS!I17+PřF!I17+'FI'!I17+PdF!I17+FSpS!I17+ESF!I17</f>
        <v>0</v>
      </c>
      <c r="J17" s="300">
        <f>LF!J17+'FF'!J17+PrF!J17+FSS!J17+PřF!J17+'FI'!J17+PdF!J17+FSpS!J17+ESF!J17</f>
        <v>0</v>
      </c>
      <c r="K17" s="300">
        <f>LF!K17+'FF'!K17+PrF!K17+FSS!K17+PřF!K17+'FI'!K17+PdF!K17+FSpS!K17+ESF!K17</f>
        <v>0</v>
      </c>
      <c r="L17" s="300">
        <f>LF!L17+'FF'!L17+PrF!L17+FSS!L17+PřF!L17+'FI'!L17+PdF!L17+FSpS!L17+ESF!L17</f>
        <v>0</v>
      </c>
      <c r="M17" s="164">
        <f>LF!M17+'FF'!M17+PrF!M17+FSS!M17+PřF!M17+'FI'!M17+PdF!M17+FSpS!M17+ESF!M17</f>
        <v>0</v>
      </c>
      <c r="N17" s="92">
        <f>LF!N17+'FF'!N17+PrF!N17+FSS!N17+PřF!N17+'FI'!N17+PdF!N17+FSpS!N17+ESF!N17</f>
        <v>0</v>
      </c>
      <c r="O17" s="432">
        <f t="shared" si="1"/>
        <v>0</v>
      </c>
      <c r="P17" s="199">
        <f>LF!P17+'FF'!P17+PrF!P17+FSS!P17+PřF!P17+'FI'!P17+PdF!P17+FSpS!P17+ESF!P17</f>
        <v>0</v>
      </c>
      <c r="Q17" s="119">
        <f>LF!Q17+'FF'!Q17+PrF!Q17+FSS!Q17+PřF!Q17+'FI'!Q17+PdF!Q17+FSpS!Q17+ESF!Q17</f>
        <v>9345</v>
      </c>
      <c r="R17" s="255"/>
      <c r="S17" s="252"/>
    </row>
    <row r="18" spans="1:19" s="25" customFormat="1" ht="12">
      <c r="A18" s="21"/>
      <c r="B18" s="31" t="s">
        <v>32</v>
      </c>
      <c r="C18" s="32"/>
      <c r="D18" s="32"/>
      <c r="E18" s="33">
        <v>16</v>
      </c>
      <c r="F18" s="119">
        <f t="shared" si="3"/>
        <v>22219</v>
      </c>
      <c r="G18" s="220">
        <f>LF!G18+'FF'!G18+PrF!G18+FSS!G18+PřF!G18+'FI'!G18+PdF!G18+FSpS!G18+ESF!G18</f>
        <v>22219</v>
      </c>
      <c r="H18" s="121">
        <f>LF!H18+'FF'!H18+PrF!H18+FSS!H18+PřF!H18+'FI'!H18+PdF!H18+FSpS!H18+ESF!H18</f>
        <v>0</v>
      </c>
      <c r="I18" s="121">
        <f>LF!I18+'FF'!I18+PrF!I18+FSS!I18+PřF!I18+'FI'!I18+PdF!I18+FSpS!I18+ESF!I18</f>
        <v>0</v>
      </c>
      <c r="J18" s="300">
        <f>LF!J18+'FF'!J18+PrF!J18+FSS!J18+PřF!J18+'FI'!J18+PdF!J18+FSpS!J18+ESF!J18</f>
        <v>0</v>
      </c>
      <c r="K18" s="300">
        <f>LF!K18+'FF'!K18+PrF!K18+FSS!K18+PřF!K18+'FI'!K18+PdF!K18+FSpS!K18+ESF!K18</f>
        <v>0</v>
      </c>
      <c r="L18" s="300">
        <f>LF!L18+'FF'!L18+PrF!L18+FSS!L18+PřF!L18+'FI'!L18+PdF!L18+FSpS!L18+ESF!L18</f>
        <v>0</v>
      </c>
      <c r="M18" s="164">
        <f>LF!M18+'FF'!M18+PrF!M18+FSS!M18+PřF!M18+'FI'!M18+PdF!M18+FSpS!M18+ESF!M18</f>
        <v>0</v>
      </c>
      <c r="N18" s="92">
        <f>LF!N18+'FF'!N18+PrF!N18+FSS!N18+PřF!N18+'FI'!N18+PdF!N18+FSpS!N18+ESF!N18</f>
        <v>0</v>
      </c>
      <c r="O18" s="432">
        <f t="shared" si="1"/>
        <v>0</v>
      </c>
      <c r="P18" s="199">
        <f>LF!P18+'FF'!P18+PrF!P18+FSS!P18+PřF!P18+'FI'!P18+PdF!P18+FSpS!P18+ESF!P18</f>
        <v>0</v>
      </c>
      <c r="Q18" s="119">
        <f>LF!Q18+'FF'!Q18+PrF!Q18+FSS!Q18+PřF!Q18+'FI'!Q18+PdF!Q18+FSpS!Q18+ESF!Q18</f>
        <v>52003</v>
      </c>
      <c r="R18" s="255"/>
      <c r="S18" s="252"/>
    </row>
    <row r="19" spans="1:19" s="25" customFormat="1" ht="12">
      <c r="A19" s="21"/>
      <c r="B19" s="31" t="s">
        <v>34</v>
      </c>
      <c r="C19" s="32"/>
      <c r="D19" s="32"/>
      <c r="E19" s="33">
        <v>17</v>
      </c>
      <c r="F19" s="119">
        <f t="shared" si="3"/>
        <v>7314</v>
      </c>
      <c r="G19" s="220">
        <f>LF!G19+'FF'!G19+PrF!G19+FSS!G19+PřF!G19+'FI'!G19+PdF!G19+FSpS!G19+ESF!G19</f>
        <v>7314</v>
      </c>
      <c r="H19" s="121">
        <f>LF!H19+'FF'!H19+PrF!H19+FSS!H19+PřF!H19+'FI'!H19+PdF!H19+FSpS!H19+ESF!H19</f>
        <v>0</v>
      </c>
      <c r="I19" s="121">
        <f>LF!I19+'FF'!I19+PrF!I19+FSS!I19+PřF!I19+'FI'!I19+PdF!I19+FSpS!I19+ESF!I19</f>
        <v>0</v>
      </c>
      <c r="J19" s="300">
        <f>LF!J19+'FF'!J19+PrF!J19+FSS!J19+PřF!J19+'FI'!J19+PdF!J19+FSpS!J19+ESF!J19</f>
        <v>0</v>
      </c>
      <c r="K19" s="300">
        <f>LF!K19+'FF'!K19+PrF!K19+FSS!K19+PřF!K19+'FI'!K19+PdF!K19+FSpS!K19+ESF!K19</f>
        <v>0</v>
      </c>
      <c r="L19" s="300">
        <f>LF!L19+'FF'!L19+PrF!L19+FSS!L19+PřF!L19+'FI'!L19+PdF!L19+FSpS!L19+ESF!L19</f>
        <v>0</v>
      </c>
      <c r="M19" s="164">
        <f>LF!M19+'FF'!M19+PrF!M19+FSS!M19+PřF!M19+'FI'!M19+PdF!M19+FSpS!M19+ESF!M19</f>
        <v>0</v>
      </c>
      <c r="N19" s="92">
        <f>LF!N19+'FF'!N19+PrF!N19+FSS!N19+PřF!N19+'FI'!N19+PdF!N19+FSpS!N19+ESF!N19</f>
        <v>0</v>
      </c>
      <c r="O19" s="432">
        <f t="shared" si="1"/>
        <v>0</v>
      </c>
      <c r="P19" s="199">
        <f>LF!P19+'FF'!P19+PrF!P19+FSS!P19+PřF!P19+'FI'!P19+PdF!P19+FSpS!P19+ESF!P19</f>
        <v>0</v>
      </c>
      <c r="Q19" s="119">
        <f>LF!Q19+'FF'!Q19+PrF!Q19+FSS!Q19+PřF!Q19+'FI'!Q19+PdF!Q19+FSpS!Q19+ESF!Q19</f>
        <v>6818</v>
      </c>
      <c r="R19" s="255"/>
      <c r="S19" s="252"/>
    </row>
    <row r="20" spans="1:19" s="25" customFormat="1" ht="12">
      <c r="A20" s="21"/>
      <c r="B20" s="31" t="s">
        <v>36</v>
      </c>
      <c r="C20" s="31"/>
      <c r="D20" s="31"/>
      <c r="E20" s="33">
        <v>18</v>
      </c>
      <c r="F20" s="119">
        <f t="shared" si="3"/>
        <v>19350</v>
      </c>
      <c r="G20" s="220">
        <f>LF!G20+'FF'!G20+PrF!G20+FSS!G20+PřF!G20+'FI'!G20+PdF!G20+FSpS!G20+ESF!G20</f>
        <v>19350</v>
      </c>
      <c r="H20" s="121">
        <f>LF!H20+'FF'!H20+PrF!H20+FSS!H20+PřF!H20+'FI'!H20+PdF!H20+FSpS!H20+ESF!H20</f>
        <v>0</v>
      </c>
      <c r="I20" s="121">
        <f>LF!I20+'FF'!I20+PrF!I20+FSS!I20+PřF!I20+'FI'!I20+PdF!I20+FSpS!I20+ESF!I20</f>
        <v>0</v>
      </c>
      <c r="J20" s="300">
        <f>LF!J20+'FF'!J20+PrF!J20+FSS!J20+PřF!J20+'FI'!J20+PdF!J20+FSpS!J20+ESF!J20</f>
        <v>0</v>
      </c>
      <c r="K20" s="300">
        <f>LF!K20+'FF'!K20+PrF!K20+FSS!K20+PřF!K20+'FI'!K20+PdF!K20+FSpS!K20+ESF!K20</f>
        <v>0</v>
      </c>
      <c r="L20" s="300">
        <f>LF!L20+'FF'!L20+PrF!L20+FSS!L20+PřF!L20+'FI'!L20+PdF!L20+FSpS!L20+ESF!L20</f>
        <v>0</v>
      </c>
      <c r="M20" s="164">
        <f>LF!M20+'FF'!M20+PrF!M20+FSS!M20+PřF!M20+'FI'!M20+PdF!M20+FSpS!M20+ESF!M20</f>
        <v>0</v>
      </c>
      <c r="N20" s="92">
        <f>LF!N20+'FF'!N20+PrF!N20+FSS!N20+PřF!N20+'FI'!N20+PdF!N20+FSpS!N20+ESF!N20</f>
        <v>0</v>
      </c>
      <c r="O20" s="432">
        <f t="shared" si="1"/>
        <v>0</v>
      </c>
      <c r="P20" s="199">
        <f>LF!P20+'FF'!P20+PrF!P20+FSS!P20+PřF!P20+'FI'!P20+PdF!P20+FSpS!P20+ESF!P20</f>
        <v>3000</v>
      </c>
      <c r="Q20" s="119">
        <f>LF!Q20+'FF'!Q20+PrF!Q20+FSS!Q20+PřF!Q20+'FI'!Q20+PdF!Q20+FSpS!Q20+ESF!Q20</f>
        <v>20332</v>
      </c>
      <c r="R20" s="255"/>
      <c r="S20" s="252"/>
    </row>
    <row r="21" spans="1:19" s="640" customFormat="1" ht="12">
      <c r="A21" s="628"/>
      <c r="B21" s="629" t="s">
        <v>175</v>
      </c>
      <c r="C21" s="629"/>
      <c r="D21" s="629"/>
      <c r="E21" s="630">
        <v>19</v>
      </c>
      <c r="F21" s="631">
        <f t="shared" si="3"/>
        <v>230157</v>
      </c>
      <c r="G21" s="659">
        <f>LF!G21+'FF'!G21+PrF!G21+FSS!G21+PřF!G21+'FI'!G21+PdF!G21+FSpS!G21+ESF!G21</f>
        <v>230157</v>
      </c>
      <c r="H21" s="660">
        <f>LF!H21+'FF'!H21+PrF!H21+FSS!H21+PřF!H21+'FI'!H21+PdF!H21+FSpS!H21+ESF!H21</f>
        <v>0</v>
      </c>
      <c r="I21" s="660">
        <f>LF!I21+'FF'!I21+PrF!I21+FSS!I21+PřF!I21+'FI'!I21+PdF!I21+FSpS!I21+ESF!I21</f>
        <v>0</v>
      </c>
      <c r="J21" s="661">
        <f>LF!J21+'FF'!J21+PrF!J21+FSS!J21+PřF!J21+'FI'!J21+PdF!J21+FSpS!J21+ESF!J21</f>
        <v>0</v>
      </c>
      <c r="K21" s="661">
        <f>LF!K21+'FF'!K21+PrF!K21+FSS!K21+PřF!K21+'FI'!K21+PdF!K21+FSpS!K21+ESF!K21</f>
        <v>0</v>
      </c>
      <c r="L21" s="661">
        <f>LF!L21+'FF'!L21+PrF!L21+FSS!L21+PřF!L21+'FI'!L21+PdF!L21+FSpS!L21+ESF!L21</f>
        <v>0</v>
      </c>
      <c r="M21" s="164">
        <f>LF!M21+'FF'!M21+PrF!M21+FSS!M21+PřF!M21+'FI'!M21+PdF!M21+FSpS!M21+ESF!M21</f>
        <v>0</v>
      </c>
      <c r="N21" s="591">
        <f>LF!N21+'FF'!N21+PrF!N21+FSS!N21+PřF!N21+'FI'!N21+PdF!N21+FSpS!N21+ESF!N21</f>
        <v>0</v>
      </c>
      <c r="O21" s="662">
        <f t="shared" si="1"/>
        <v>0</v>
      </c>
      <c r="P21" s="663">
        <f>LF!P21+'FF'!P21+PrF!P21+FSS!P21+PřF!P21+'FI'!P21+PdF!P21+FSpS!P21+ESF!P21</f>
        <v>0</v>
      </c>
      <c r="Q21" s="631">
        <f>LF!Q21+'FF'!Q21+PrF!Q21+FSS!Q21+PřF!Q21+'FI'!Q21+PdF!Q21+FSpS!Q21+ESF!Q21</f>
        <v>126439</v>
      </c>
      <c r="R21" s="255"/>
      <c r="S21" s="252"/>
    </row>
    <row r="22" spans="1:19" s="25" customFormat="1" ht="12">
      <c r="A22" s="21"/>
      <c r="B22" s="31" t="s">
        <v>40</v>
      </c>
      <c r="C22" s="31"/>
      <c r="D22" s="31"/>
      <c r="E22" s="33">
        <v>20</v>
      </c>
      <c r="F22" s="119">
        <f t="shared" si="3"/>
        <v>23613</v>
      </c>
      <c r="G22" s="220">
        <f>LF!G22+'FF'!G22+PrF!G22+FSS!G22+PřF!G22+'FI'!G22+PdF!G22+FSpS!G22+ESF!G22</f>
        <v>20875</v>
      </c>
      <c r="H22" s="121">
        <f>LF!H22+'FF'!H22+PrF!H22+FSS!H22+PřF!H22+'FI'!H22+PdF!H22+FSpS!H22+ESF!H22</f>
        <v>0</v>
      </c>
      <c r="I22" s="121">
        <f>LF!I22+'FF'!I22+PrF!I22+FSS!I22+PřF!I22+'FI'!I22+PdF!I22+FSpS!I22+ESF!I22</f>
        <v>2738</v>
      </c>
      <c r="J22" s="300">
        <f>LF!J22+'FF'!J22+PrF!J22+FSS!J22+PřF!J22+'FI'!J22+PdF!J22+FSpS!J22+ESF!J22</f>
        <v>0</v>
      </c>
      <c r="K22" s="300">
        <f>LF!K22+'FF'!K22+PrF!K22+FSS!K22+PřF!K22+'FI'!K22+PdF!K22+FSpS!K22+ESF!K22</f>
        <v>0</v>
      </c>
      <c r="L22" s="300">
        <f>LF!L22+'FF'!L22+PrF!L22+FSS!L22+PřF!L22+'FI'!L22+PdF!L22+FSpS!L22+ESF!L22</f>
        <v>0</v>
      </c>
      <c r="M22" s="164">
        <f>LF!M22+'FF'!M22+PrF!M22+FSS!M22+PřF!M22+'FI'!M22+PdF!M22+FSpS!M22+ESF!M22</f>
        <v>0</v>
      </c>
      <c r="N22" s="92">
        <f>LF!N22+'FF'!N22+PrF!N22+FSS!N22+PřF!N22+'FI'!N22+PdF!N22+FSpS!N22+ESF!N22</f>
        <v>0</v>
      </c>
      <c r="O22" s="432">
        <f t="shared" si="1"/>
        <v>0</v>
      </c>
      <c r="P22" s="199">
        <f>LF!P22+'FF'!P22+PrF!P22+FSS!P22+PřF!P22+'FI'!P22+PdF!P22+FSpS!P22+ESF!P22</f>
        <v>0</v>
      </c>
      <c r="Q22" s="119">
        <f>LF!Q22+'FF'!Q22+PrF!Q22+FSS!Q22+PřF!Q22+'FI'!Q22+PdF!Q22+FSpS!Q22+ESF!Q22</f>
        <v>34260</v>
      </c>
      <c r="R22" s="255"/>
      <c r="S22" s="252"/>
    </row>
    <row r="23" spans="1:19" s="25" customFormat="1" ht="12">
      <c r="A23" s="21"/>
      <c r="B23" s="31" t="s">
        <v>42</v>
      </c>
      <c r="C23" s="31"/>
      <c r="D23" s="31"/>
      <c r="E23" s="33">
        <v>21</v>
      </c>
      <c r="F23" s="119">
        <f t="shared" si="3"/>
        <v>129065</v>
      </c>
      <c r="G23" s="220">
        <f>LF!G23+'FF'!G23+PrF!G23+FSS!G23+PřF!G23+'FI'!G23+PdF!G23+FSpS!G23+ESF!G23</f>
        <v>127272</v>
      </c>
      <c r="H23" s="121">
        <f>LF!H23+'FF'!H23+PrF!H23+FSS!H23+PřF!H23+'FI'!H23+PdF!H23+FSpS!H23+ESF!H23</f>
        <v>0</v>
      </c>
      <c r="I23" s="121">
        <f>LF!I23+'FF'!I23+PrF!I23+FSS!I23+PřF!I23+'FI'!I23+PdF!I23+FSpS!I23+ESF!I23</f>
        <v>1793</v>
      </c>
      <c r="J23" s="300">
        <f>LF!J23+'FF'!J23+PrF!J23+FSS!J23+PřF!J23+'FI'!J23+PdF!J23+FSpS!J23+ESF!J23</f>
        <v>0</v>
      </c>
      <c r="K23" s="300">
        <f>LF!K23+'FF'!K23+PrF!K23+FSS!K23+PřF!K23+'FI'!K23+PdF!K23+FSpS!K23+ESF!K23</f>
        <v>0</v>
      </c>
      <c r="L23" s="300">
        <f>LF!L23+'FF'!L23+PrF!L23+FSS!L23+PřF!L23+'FI'!L23+PdF!L23+FSpS!L23+ESF!L23</f>
        <v>0</v>
      </c>
      <c r="M23" s="164">
        <f>LF!M23+'FF'!M23+PrF!M23+FSS!M23+PřF!M23+'FI'!M23+PdF!M23+FSpS!M23+ESF!M23</f>
        <v>0</v>
      </c>
      <c r="N23" s="92">
        <f>LF!N23+'FF'!N23+PrF!N23+FSS!N23+PřF!N23+'FI'!N23+PdF!N23+FSpS!N23+ESF!N23</f>
        <v>0</v>
      </c>
      <c r="O23" s="432">
        <f t="shared" si="1"/>
        <v>0</v>
      </c>
      <c r="P23" s="199">
        <f>LF!P23+'FF'!P23+PrF!P23+FSS!P23+PřF!P23+'FI'!P23+PdF!P23+FSpS!P23+ESF!P23</f>
        <v>0</v>
      </c>
      <c r="Q23" s="119">
        <f>LF!Q23+'FF'!Q23+PrF!Q23+FSS!Q23+PřF!Q23+'FI'!Q23+PdF!Q23+FSpS!Q23+ESF!Q23</f>
        <v>242526</v>
      </c>
      <c r="R23" s="255"/>
      <c r="S23" s="252"/>
    </row>
    <row r="24" spans="1:19" s="25" customFormat="1" ht="12">
      <c r="A24" s="21"/>
      <c r="B24" s="31" t="s">
        <v>43</v>
      </c>
      <c r="C24" s="31"/>
      <c r="D24" s="31"/>
      <c r="E24" s="33">
        <v>22</v>
      </c>
      <c r="F24" s="119">
        <f t="shared" si="3"/>
        <v>506844</v>
      </c>
      <c r="G24" s="220">
        <f>LF!G24+'FF'!G24+PrF!G24+FSS!G24+PřF!G24+'FI'!G24+PdF!G24+FSpS!G24+ESF!G24</f>
        <v>494902</v>
      </c>
      <c r="H24" s="121">
        <f>LF!H24+'FF'!H24+PrF!H24+FSS!H24+PřF!H24+'FI'!H24+PdF!H24+FSpS!H24+ESF!H24</f>
        <v>0</v>
      </c>
      <c r="I24" s="121">
        <f>LF!I24+'FF'!I24+PrF!I24+FSS!I24+PřF!I24+'FI'!I24+PdF!I24+FSpS!I24+ESF!I24</f>
        <v>11942</v>
      </c>
      <c r="J24" s="300">
        <f>LF!J24+'FF'!J24+PrF!J24+FSS!J24+PřF!J24+'FI'!J24+PdF!J24+FSpS!J24+ESF!J24</f>
        <v>0</v>
      </c>
      <c r="K24" s="300">
        <f>LF!K24+'FF'!K24+PrF!K24+FSS!K24+PřF!K24+'FI'!K24+PdF!K24+FSpS!K24+ESF!K24</f>
        <v>0</v>
      </c>
      <c r="L24" s="300">
        <f>LF!L24+'FF'!L24+PrF!L24+FSS!L24+PřF!L24+'FI'!L24+PdF!L24+FSpS!L24+ESF!L24</f>
        <v>0</v>
      </c>
      <c r="M24" s="164">
        <f>LF!M24+'FF'!M24+PrF!M24+FSS!M24+PřF!M24+'FI'!M24+PdF!M24+FSpS!M24+ESF!M24</f>
        <v>0</v>
      </c>
      <c r="N24" s="92">
        <f>LF!N24+'FF'!N24+PrF!N24+FSS!N24+PřF!N24+'FI'!N24+PdF!N24+FSpS!N24+ESF!N24</f>
        <v>0</v>
      </c>
      <c r="O24" s="432">
        <f t="shared" si="1"/>
        <v>0</v>
      </c>
      <c r="P24" s="199">
        <f>LF!P24+'FF'!P24+PrF!P24+FSS!P24+PřF!P24+'FI'!P24+PdF!P24+FSpS!P24+ESF!P24</f>
        <v>0</v>
      </c>
      <c r="Q24" s="119">
        <f>LF!Q24+'FF'!Q24+PrF!Q24+FSS!Q24+PřF!Q24+'FI'!Q24+PdF!Q24+FSpS!Q24+ESF!Q24</f>
        <v>466032</v>
      </c>
      <c r="R24" s="255"/>
      <c r="S24" s="252"/>
    </row>
    <row r="25" spans="1:19" s="640" customFormat="1" ht="12">
      <c r="A25" s="628"/>
      <c r="B25" s="629" t="s">
        <v>186</v>
      </c>
      <c r="C25" s="629"/>
      <c r="D25" s="629"/>
      <c r="E25" s="630">
        <v>23</v>
      </c>
      <c r="F25" s="631">
        <f t="shared" si="3"/>
        <v>85975</v>
      </c>
      <c r="G25" s="659">
        <f>LF!G25+'FF'!G25+PrF!G25+FSS!G25+PřF!G25+'FI'!G25+PdF!G25+FSpS!G25+ESF!G25</f>
        <v>83226</v>
      </c>
      <c r="H25" s="660">
        <f>LF!H25+'FF'!H25+PrF!H25+FSS!H25+PřF!H25+'FI'!H25+PdF!H25+FSpS!H25+ESF!H25</f>
        <v>0</v>
      </c>
      <c r="I25" s="660">
        <f>LF!I25+'FF'!I25+PrF!I25+FSS!I25+PřF!I25+'FI'!I25+PdF!I25+FSpS!I25+ESF!I25</f>
        <v>2749</v>
      </c>
      <c r="J25" s="661">
        <f>LF!J25+'FF'!J25+PrF!J25+FSS!J25+PřF!J25+'FI'!J25+PdF!J25+FSpS!J25+ESF!J25</f>
        <v>0</v>
      </c>
      <c r="K25" s="661">
        <f>LF!K25+'FF'!K25+PrF!K25+FSS!K25+PřF!K25+'FI'!K25+PdF!K25+FSpS!K25+ESF!K25</f>
        <v>0</v>
      </c>
      <c r="L25" s="661">
        <f>LF!L25+'FF'!L25+PrF!L25+FSS!L25+PřF!L25+'FI'!L25+PdF!L25+FSpS!L25+ESF!L25</f>
        <v>0</v>
      </c>
      <c r="M25" s="164">
        <f>LF!M25+'FF'!M25+PrF!M25+FSS!M25+PřF!M25+'FI'!M25+PdF!M25+FSpS!M25+ESF!M25</f>
        <v>0</v>
      </c>
      <c r="N25" s="591">
        <f>LF!N25+'FF'!N25+PrF!N25+FSS!N25+PřF!N25+'FI'!N25+PdF!N25+FSpS!N25+ESF!N25</f>
        <v>0</v>
      </c>
      <c r="O25" s="662">
        <f t="shared" si="1"/>
        <v>0</v>
      </c>
      <c r="P25" s="663">
        <f>LF!P25+'FF'!P25+PrF!P25+FSS!P25+PřF!P25+'FI'!P25+PdF!P25+FSpS!P25+ESF!P25</f>
        <v>6162</v>
      </c>
      <c r="Q25" s="631">
        <f>LF!Q25+'FF'!Q25+PrF!Q25+FSS!Q25+PřF!Q25+'FI'!Q25+PdF!Q25+FSpS!Q25+ESF!Q25</f>
        <v>62079</v>
      </c>
      <c r="R25" s="255"/>
      <c r="S25" s="252"/>
    </row>
    <row r="26" spans="1:19" s="25" customFormat="1" ht="12">
      <c r="A26" s="21"/>
      <c r="B26" s="31" t="s">
        <v>45</v>
      </c>
      <c r="C26" s="31"/>
      <c r="D26" s="31"/>
      <c r="E26" s="33">
        <v>24</v>
      </c>
      <c r="F26" s="119">
        <f t="shared" si="3"/>
        <v>57033</v>
      </c>
      <c r="G26" s="220">
        <f>LF!G26+'FF'!G26+PrF!G26+FSS!G26+PřF!G26+'FI'!G26+PdF!G26+FSpS!G26+ESF!G26</f>
        <v>56286</v>
      </c>
      <c r="H26" s="121">
        <f>LF!H26+'FF'!H26+PrF!H26+FSS!H26+PřF!H26+'FI'!H26+PdF!H26+FSpS!H26+ESF!H26</f>
        <v>0</v>
      </c>
      <c r="I26" s="121">
        <f>LF!I26+'FF'!I26+PrF!I26+FSS!I26+PřF!I26+'FI'!I26+PdF!I26+FSpS!I26+ESF!I26</f>
        <v>747</v>
      </c>
      <c r="J26" s="300">
        <f>LF!J26+'FF'!J26+PrF!J26+FSS!J26+PřF!J26+'FI'!J26+PdF!J26+FSpS!J26+ESF!J26</f>
        <v>0</v>
      </c>
      <c r="K26" s="300">
        <f>LF!K26+'FF'!K26+PrF!K26+FSS!K26+PřF!K26+'FI'!K26+PdF!K26+FSpS!K26+ESF!K26</f>
        <v>0</v>
      </c>
      <c r="L26" s="300">
        <f>LF!L26+'FF'!L26+PrF!L26+FSS!L26+PřF!L26+'FI'!L26+PdF!L26+FSpS!L26+ESF!L26</f>
        <v>0</v>
      </c>
      <c r="M26" s="164">
        <f>LF!M26+'FF'!M26+PrF!M26+FSS!M26+PřF!M26+'FI'!M26+PdF!M26+FSpS!M26+ESF!M26</f>
        <v>0</v>
      </c>
      <c r="N26" s="92">
        <f>LF!N26+'FF'!N26+PrF!N26+FSS!N26+PřF!N26+'FI'!N26+PdF!N26+FSpS!N26+ESF!N26</f>
        <v>0</v>
      </c>
      <c r="O26" s="432">
        <f t="shared" si="1"/>
        <v>0</v>
      </c>
      <c r="P26" s="199">
        <f>LF!P26+'FF'!P26+PrF!P26+FSS!P26+PřF!P26+'FI'!P26+PdF!P26+FSpS!P26+ESF!P26</f>
        <v>69</v>
      </c>
      <c r="Q26" s="119">
        <f>LF!Q26+'FF'!Q26+PrF!Q26+FSS!Q26+PřF!Q26+'FI'!Q26+PdF!Q26+FSpS!Q26+ESF!Q26</f>
        <v>59477</v>
      </c>
      <c r="R26" s="255"/>
      <c r="S26" s="252"/>
    </row>
    <row r="27" spans="1:19" s="25" customFormat="1" ht="12.75" thickBot="1">
      <c r="A27" s="21"/>
      <c r="B27" s="30" t="s">
        <v>47</v>
      </c>
      <c r="C27" s="30"/>
      <c r="D27" s="30"/>
      <c r="E27" s="28">
        <v>25</v>
      </c>
      <c r="F27" s="119">
        <f t="shared" si="3"/>
        <v>35811</v>
      </c>
      <c r="G27" s="220">
        <f>LF!G27+'FF'!G27+PrF!G27+FSS!G27+PřF!G27+'FI'!G27+PdF!G27+FSpS!G27+ESF!G27</f>
        <v>35811</v>
      </c>
      <c r="H27" s="121">
        <f>LF!H27+'FF'!H27+PrF!H27+FSS!H27+PřF!H27+'FI'!H27+PdF!H27+FSpS!H27+ESF!H27</f>
        <v>0</v>
      </c>
      <c r="I27" s="121">
        <f>LF!I27+'FF'!I27+PrF!I27+FSS!I27+PřF!I27+'FI'!I27+PdF!I27+FSpS!I27+ESF!I27</f>
        <v>0</v>
      </c>
      <c r="J27" s="300">
        <f>LF!J27+'FF'!J27+PrF!J27+FSS!J27+PřF!J27+'FI'!J27+PdF!J27+FSpS!J27+ESF!J27</f>
        <v>0</v>
      </c>
      <c r="K27" s="300">
        <f>LF!K27+'FF'!K27+PrF!K27+FSS!K27+PřF!K27+'FI'!K27+PdF!K27+FSpS!K27+ESF!K27</f>
        <v>0</v>
      </c>
      <c r="L27" s="300">
        <f>LF!L27+'FF'!L27+PrF!L27+FSS!L27+PřF!L27+'FI'!L27+PdF!L27+FSpS!L27+ESF!L27</f>
        <v>0</v>
      </c>
      <c r="M27" s="164">
        <f>LF!M27+'FF'!M27+PrF!M27+FSS!M27+PřF!M27+'FI'!M27+PdF!M27+FSpS!M27+ESF!M27</f>
        <v>0</v>
      </c>
      <c r="N27" s="92">
        <f>LF!N27+'FF'!N27+PrF!N27+FSS!N27+PřF!N27+'FI'!N27+PdF!N27+FSpS!N27+ESF!N27</f>
        <v>0</v>
      </c>
      <c r="O27" s="432">
        <f t="shared" si="1"/>
        <v>0</v>
      </c>
      <c r="P27" s="199" t="e">
        <f>LF!P27+'FF'!P27+PrF!P27+FSS!P27+PřF!P27+'FI'!P27+PdF!P27+FSpS!P27+ESF!P27</f>
        <v>#DIV/0!</v>
      </c>
      <c r="Q27" s="119">
        <f>LF!Q27+'FF'!Q27+PrF!Q27+FSS!Q27+PřF!Q27+'FI'!Q27+PdF!Q27+FSpS!Q27+ESF!Q27</f>
        <v>37826</v>
      </c>
      <c r="R27" s="255"/>
      <c r="S27" s="252"/>
    </row>
    <row r="28" spans="1:17" ht="13.5" thickBot="1">
      <c r="A28" s="37" t="s">
        <v>49</v>
      </c>
      <c r="B28" s="38"/>
      <c r="C28" s="38"/>
      <c r="D28" s="38"/>
      <c r="E28" s="19">
        <v>26</v>
      </c>
      <c r="F28" s="197">
        <f aca="true" t="shared" si="4" ref="F28:N28">SUM(F29:F45)</f>
        <v>3489422</v>
      </c>
      <c r="G28" s="514">
        <f t="shared" si="4"/>
        <v>3216648</v>
      </c>
      <c r="H28" s="77">
        <f t="shared" si="4"/>
        <v>179735</v>
      </c>
      <c r="I28" s="77">
        <f t="shared" si="4"/>
        <v>23397</v>
      </c>
      <c r="J28" s="304">
        <f t="shared" si="4"/>
        <v>2000</v>
      </c>
      <c r="K28" s="77">
        <f t="shared" si="4"/>
        <v>21572</v>
      </c>
      <c r="L28" s="76">
        <f t="shared" si="4"/>
        <v>46070</v>
      </c>
      <c r="M28" s="471">
        <f t="shared" si="4"/>
        <v>0</v>
      </c>
      <c r="N28" s="471">
        <f t="shared" si="4"/>
        <v>0</v>
      </c>
      <c r="O28" s="413">
        <f t="shared" si="1"/>
        <v>0</v>
      </c>
      <c r="P28" s="78" t="e">
        <f>SUM(P29:P45)</f>
        <v>#DIV/0!</v>
      </c>
      <c r="Q28" s="197">
        <f>SUM(Q29:Q45)</f>
        <v>3308884</v>
      </c>
    </row>
    <row r="29" spans="1:19" s="25" customFormat="1" ht="12">
      <c r="A29" s="21" t="s">
        <v>14</v>
      </c>
      <c r="B29" s="27" t="s">
        <v>50</v>
      </c>
      <c r="C29" s="27"/>
      <c r="D29" s="27"/>
      <c r="E29" s="168">
        <v>27</v>
      </c>
      <c r="F29" s="198">
        <f aca="true" t="shared" si="5" ref="F29:F45">SUM(G29:L29)</f>
        <v>1253473</v>
      </c>
      <c r="G29" s="220">
        <f>LF!G29+'FF'!G29+PrF!G29+FSS!G29+PřF!G29+'FI'!G29+PdF!G29+FSpS!G29+ESF!G29</f>
        <v>1253473</v>
      </c>
      <c r="H29" s="121">
        <f>LF!H29+'FF'!H29+PrF!H29+FSS!H29+PřF!H29+'FI'!H29+PdF!H29+FSpS!H29+ESF!H29</f>
        <v>0</v>
      </c>
      <c r="I29" s="121">
        <f>LF!I29+'FF'!I29+PrF!I29+FSS!I29+PřF!I29+'FI'!I29+PdF!I29+FSpS!I29+ESF!I29</f>
        <v>0</v>
      </c>
      <c r="J29" s="300">
        <f>LF!J29+'FF'!J29+PrF!J29+FSS!J29+PřF!J29+'FI'!J29+PdF!J29+FSpS!J29+ESF!J29</f>
        <v>0</v>
      </c>
      <c r="K29" s="300">
        <f>LF!K29+'FF'!K29+PrF!K29+FSS!K29+PřF!K29+'FI'!K29+PdF!K29+FSpS!K29+ESF!K29</f>
        <v>0</v>
      </c>
      <c r="L29" s="300">
        <f>LF!L29+'FF'!L29+PrF!L29+FSS!L29+PřF!L29+'FI'!L29+PdF!L29+FSpS!L29+ESF!L29</f>
        <v>0</v>
      </c>
      <c r="M29" s="164">
        <f>LF!M29+'FF'!M29+PrF!M29+FSS!M29+PřF!M29+'FI'!M29+PdF!M29+FSpS!M29+ESF!M29</f>
        <v>0</v>
      </c>
      <c r="N29" s="857">
        <f>LF!N29+'FF'!N29+PrF!N29+FSS!N29+PřF!N29+'FI'!N29+PdF!N29+FSpS!N29+ESF!N29</f>
        <v>0</v>
      </c>
      <c r="O29" s="433">
        <f t="shared" si="1"/>
        <v>0</v>
      </c>
      <c r="P29" s="135">
        <f>LF!P29+'FF'!P29+PrF!P29+FSS!P29+PřF!P29+'FI'!P29+PdF!P29+FSpS!P29+ESF!P29</f>
        <v>0</v>
      </c>
      <c r="Q29" s="198">
        <f>LF!Q29+'FF'!Q29+PrF!Q29+FSS!Q29+PřF!Q29+'FI'!Q29+PdF!Q29+FSpS!Q29+ESF!Q29</f>
        <v>1322304</v>
      </c>
      <c r="R29" s="255">
        <f>LF!R29+'FF'!R29+PrF!R29+FSS!R29+PřF!R29+'FI'!R29+PdF!R29+FSpS!R29+ESF!R29</f>
        <v>187002</v>
      </c>
      <c r="S29" s="252"/>
    </row>
    <row r="30" spans="1:19" s="25" customFormat="1" ht="12">
      <c r="A30" s="21"/>
      <c r="B30" s="30" t="s">
        <v>28</v>
      </c>
      <c r="C30" s="30"/>
      <c r="D30" s="30"/>
      <c r="E30" s="168">
        <v>28</v>
      </c>
      <c r="F30" s="119">
        <f t="shared" si="5"/>
        <v>151646</v>
      </c>
      <c r="G30" s="220">
        <f>LF!G30+'FF'!G30+PrF!G30+FSS!G30+PřF!G30+'FI'!G30+PdF!G30+FSpS!G30+ESF!G30</f>
        <v>151646</v>
      </c>
      <c r="H30" s="121">
        <f>LF!H30+'FF'!H30+PrF!H30+FSS!H30+PřF!H30+'FI'!H30+PdF!H30+FSpS!H30+ESF!H30</f>
        <v>0</v>
      </c>
      <c r="I30" s="121">
        <f>LF!I30+'FF'!I30+PrF!I30+FSS!I30+PřF!I30+'FI'!I30+PdF!I30+FSpS!I30+ESF!I30</f>
        <v>0</v>
      </c>
      <c r="J30" s="300">
        <f>LF!J30+'FF'!J30+PrF!J30+FSS!J30+PřF!J30+'FI'!J30+PdF!J30+FSpS!J30+ESF!J30</f>
        <v>0</v>
      </c>
      <c r="K30" s="300">
        <f>LF!K30+'FF'!K30+PrF!K30+FSS!K30+PřF!K30+'FI'!K30+PdF!K30+FSpS!K30+ESF!K30</f>
        <v>0</v>
      </c>
      <c r="L30" s="300">
        <f>LF!L30+'FF'!L30+PrF!L30+FSS!L30+PřF!L30+'FI'!L30+PdF!L30+FSpS!L30+ESF!L30</f>
        <v>0</v>
      </c>
      <c r="M30" s="164">
        <f>LF!M30+'FF'!M30+PrF!M30+FSS!M30+PřF!M30+'FI'!M30+PdF!M30+FSpS!M30+ESF!M30</f>
        <v>0</v>
      </c>
      <c r="N30" s="92">
        <f>LF!N30+'FF'!N30+PrF!N30+FSS!N30+PřF!N30+'FI'!N30+PdF!N30+FSpS!N30+ESF!N30</f>
        <v>0</v>
      </c>
      <c r="O30" s="434">
        <f t="shared" si="1"/>
        <v>0</v>
      </c>
      <c r="P30" s="136">
        <f>LF!P30+'FF'!P30+PrF!P30+FSS!P30+PřF!P30+'FI'!P30+PdF!P30+FSpS!P30+ESF!P30</f>
        <v>0</v>
      </c>
      <c r="Q30" s="119">
        <f>LF!Q30+'FF'!Q30+PrF!Q30+FSS!Q30+PřF!Q30+'FI'!Q30+PdF!Q30+FSpS!Q30+ESF!Q30</f>
        <v>146629</v>
      </c>
      <c r="R30" s="255"/>
      <c r="S30" s="252"/>
    </row>
    <row r="31" spans="1:19" s="25" customFormat="1" ht="12">
      <c r="A31" s="21"/>
      <c r="B31" s="30" t="s">
        <v>30</v>
      </c>
      <c r="C31" s="30"/>
      <c r="D31" s="30"/>
      <c r="E31" s="168">
        <v>29</v>
      </c>
      <c r="F31" s="119">
        <f t="shared" si="5"/>
        <v>7925</v>
      </c>
      <c r="G31" s="220">
        <f>LF!G31+'FF'!G31+PrF!G31+FSS!G31+PřF!G31+'FI'!G31+PdF!G31+FSpS!G31+ESF!G31</f>
        <v>7925</v>
      </c>
      <c r="H31" s="121">
        <f>LF!H31+'FF'!H31+PrF!H31+FSS!H31+PřF!H31+'FI'!H31+PdF!H31+FSpS!H31+ESF!H31</f>
        <v>0</v>
      </c>
      <c r="I31" s="121">
        <f>LF!I31+'FF'!I31+PrF!I31+FSS!I31+PřF!I31+'FI'!I31+PdF!I31+FSpS!I31+ESF!I31</f>
        <v>0</v>
      </c>
      <c r="J31" s="300">
        <f>LF!J31+'FF'!J31+PrF!J31+FSS!J31+PřF!J31+'FI'!J31+PdF!J31+FSpS!J31+ESF!J31</f>
        <v>0</v>
      </c>
      <c r="K31" s="300">
        <f>LF!K31+'FF'!K31+PrF!K31+FSS!K31+PřF!K31+'FI'!K31+PdF!K31+FSpS!K31+ESF!K31</f>
        <v>0</v>
      </c>
      <c r="L31" s="300">
        <f>LF!L31+'FF'!L31+PrF!L31+FSS!L31+PřF!L31+'FI'!L31+PdF!L31+FSpS!L31+ESF!L31</f>
        <v>0</v>
      </c>
      <c r="M31" s="164">
        <f>LF!M31+'FF'!M31+PrF!M31+FSS!M31+PřF!M31+'FI'!M31+PdF!M31+FSpS!M31+ESF!M31</f>
        <v>0</v>
      </c>
      <c r="N31" s="92">
        <f>LF!N31+'FF'!N31+PrF!N31+FSS!N31+PřF!N31+'FI'!N31+PdF!N31+FSpS!N31+ESF!N31</f>
        <v>0</v>
      </c>
      <c r="O31" s="434">
        <f t="shared" si="1"/>
        <v>0</v>
      </c>
      <c r="P31" s="136">
        <f>LF!P31+'FF'!P31+PrF!P31+FSS!P31+PřF!P31+'FI'!P31+PdF!P31+FSpS!P31+ESF!P31</f>
        <v>0</v>
      </c>
      <c r="Q31" s="119">
        <f>LF!Q31+'FF'!Q31+PrF!Q31+FSS!Q31+PřF!Q31+'FI'!Q31+PdF!Q31+FSpS!Q31+ESF!Q31</f>
        <v>9345</v>
      </c>
      <c r="R31" s="255"/>
      <c r="S31" s="252"/>
    </row>
    <row r="32" spans="1:19" s="25" customFormat="1" ht="12">
      <c r="A32" s="21"/>
      <c r="B32" s="31" t="s">
        <v>32</v>
      </c>
      <c r="C32" s="32"/>
      <c r="D32" s="32"/>
      <c r="E32" s="169">
        <v>30</v>
      </c>
      <c r="F32" s="119">
        <f t="shared" si="5"/>
        <v>22219</v>
      </c>
      <c r="G32" s="220">
        <f>LF!G32+'FF'!G32+PrF!G32+FSS!G32+PřF!G32+'FI'!G32+PdF!G32+FSpS!G32+ESF!G32</f>
        <v>22219</v>
      </c>
      <c r="H32" s="121">
        <f>LF!H32+'FF'!H32+PrF!H32+FSS!H32+PřF!H32+'FI'!H32+PdF!H32+FSpS!H32+ESF!H32</f>
        <v>0</v>
      </c>
      <c r="I32" s="121">
        <f>LF!I32+'FF'!I32+PrF!I32+FSS!I32+PřF!I32+'FI'!I32+PdF!I32+FSpS!I32+ESF!I32</f>
        <v>0</v>
      </c>
      <c r="J32" s="300">
        <f>LF!J32+'FF'!J32+PrF!J32+FSS!J32+PřF!J32+'FI'!J32+PdF!J32+FSpS!J32+ESF!J32</f>
        <v>0</v>
      </c>
      <c r="K32" s="300">
        <f>LF!K32+'FF'!K32+PrF!K32+FSS!K32+PřF!K32+'FI'!K32+PdF!K32+FSpS!K32+ESF!K32</f>
        <v>0</v>
      </c>
      <c r="L32" s="300">
        <f>LF!L32+'FF'!L32+PrF!L32+FSS!L32+PřF!L32+'FI'!L32+PdF!L32+FSpS!L32+ESF!L32</f>
        <v>0</v>
      </c>
      <c r="M32" s="164">
        <f>LF!M32+'FF'!M32+PrF!M32+FSS!M32+PřF!M32+'FI'!M32+PdF!M32+FSpS!M32+ESF!M32</f>
        <v>0</v>
      </c>
      <c r="N32" s="92">
        <f>LF!N32+'FF'!N32+PrF!N32+FSS!N32+PřF!N32+'FI'!N32+PdF!N32+FSpS!N32+ESF!N32</f>
        <v>0</v>
      </c>
      <c r="O32" s="434">
        <f t="shared" si="1"/>
        <v>0</v>
      </c>
      <c r="P32" s="136">
        <f>LF!P32+'FF'!P32+PrF!P32+FSS!P32+PřF!P32+'FI'!P32+PdF!P32+FSpS!P32+ESF!P32</f>
        <v>0</v>
      </c>
      <c r="Q32" s="119">
        <f>LF!Q32+'FF'!Q32+PrF!Q32+FSS!Q32+PřF!Q32+'FI'!Q32+PdF!Q32+FSpS!Q32+ESF!Q32</f>
        <v>52003</v>
      </c>
      <c r="R32" s="255"/>
      <c r="S32" s="252"/>
    </row>
    <row r="33" spans="1:19" s="25" customFormat="1" ht="12">
      <c r="A33" s="21"/>
      <c r="B33" s="31" t="s">
        <v>34</v>
      </c>
      <c r="C33" s="31"/>
      <c r="D33" s="31"/>
      <c r="E33" s="169">
        <v>31</v>
      </c>
      <c r="F33" s="119">
        <f t="shared" si="5"/>
        <v>7314</v>
      </c>
      <c r="G33" s="220">
        <f>LF!G33+'FF'!G33+PrF!G33+FSS!G33+PřF!G33+'FI'!G33+PdF!G33+FSpS!G33+ESF!G33</f>
        <v>7314</v>
      </c>
      <c r="H33" s="121">
        <f>LF!H33+'FF'!H33+PrF!H33+FSS!H33+PřF!H33+'FI'!H33+PdF!H33+FSpS!H33+ESF!H33</f>
        <v>0</v>
      </c>
      <c r="I33" s="121">
        <f>LF!I33+'FF'!I33+PrF!I33+FSS!I33+PřF!I33+'FI'!I33+PdF!I33+FSpS!I33+ESF!I33</f>
        <v>0</v>
      </c>
      <c r="J33" s="300">
        <f>LF!J33+'FF'!J33+PrF!J33+FSS!J33+PřF!J33+'FI'!J33+PdF!J33+FSpS!J33+ESF!J33</f>
        <v>0</v>
      </c>
      <c r="K33" s="300">
        <f>LF!K33+'FF'!K33+PrF!K33+FSS!K33+PřF!K33+'FI'!K33+PdF!K33+FSpS!K33+ESF!K33</f>
        <v>0</v>
      </c>
      <c r="L33" s="300">
        <f>LF!L33+'FF'!L33+PrF!L33+FSS!L33+PřF!L33+'FI'!L33+PdF!L33+FSpS!L33+ESF!L33</f>
        <v>0</v>
      </c>
      <c r="M33" s="164">
        <f>LF!M33+'FF'!M33+PrF!M33+FSS!M33+PřF!M33+'FI'!M33+PdF!M33+FSpS!M33+ESF!M33</f>
        <v>0</v>
      </c>
      <c r="N33" s="92">
        <f>LF!N33+'FF'!N33+PrF!N33+FSS!N33+PřF!N33+'FI'!N33+PdF!N33+FSpS!N33+ESF!N33</f>
        <v>0</v>
      </c>
      <c r="O33" s="434">
        <f t="shared" si="1"/>
        <v>0</v>
      </c>
      <c r="P33" s="136">
        <f>LF!P33+'FF'!P33+PrF!P33+FSS!P33+PřF!P33+'FI'!P33+PdF!P33+FSpS!P33+ESF!P33</f>
        <v>0</v>
      </c>
      <c r="Q33" s="119">
        <f>LF!Q33+'FF'!Q33+PrF!Q33+FSS!Q33+PřF!Q33+'FI'!Q33+PdF!Q33+FSpS!Q33+ESF!Q33</f>
        <v>6818</v>
      </c>
      <c r="R33" s="255"/>
      <c r="S33" s="252"/>
    </row>
    <row r="34" spans="1:19" s="25" customFormat="1" ht="12">
      <c r="A34" s="21"/>
      <c r="B34" s="31" t="s">
        <v>52</v>
      </c>
      <c r="C34" s="31"/>
      <c r="D34" s="31"/>
      <c r="E34" s="169">
        <v>32</v>
      </c>
      <c r="F34" s="119">
        <f t="shared" si="5"/>
        <v>0</v>
      </c>
      <c r="G34" s="220">
        <f>LF!G34+'FF'!G34+PrF!G34+FSS!G34+PřF!G34+'FI'!G34+PdF!G34+FSpS!G34+ESF!G34</f>
        <v>0</v>
      </c>
      <c r="H34" s="121">
        <f>LF!H34+'FF'!H34+PrF!H34+FSS!H34+PřF!H34+'FI'!H34+PdF!H34+FSpS!H34+ESF!H34</f>
        <v>0</v>
      </c>
      <c r="I34" s="121">
        <f>LF!I34+'FF'!I34+PrF!I34+FSS!I34+PřF!I34+'FI'!I34+PdF!I34+FSpS!I34+ESF!I34</f>
        <v>0</v>
      </c>
      <c r="J34" s="300">
        <f>LF!J34+'FF'!J34+PrF!J34+FSS!J34+PřF!J34+'FI'!J34+PdF!J34+FSpS!J34+ESF!J34</f>
        <v>0</v>
      </c>
      <c r="K34" s="300">
        <f>LF!K34+'FF'!K34+PrF!K34+FSS!K34+PřF!K34+'FI'!K34+PdF!K34+FSpS!K34+ESF!K34</f>
        <v>0</v>
      </c>
      <c r="L34" s="300">
        <f>LF!L34+'FF'!L34+PrF!L34+FSS!L34+PřF!L34+'FI'!L34+PdF!L34+FSpS!L34+ESF!L34</f>
        <v>0</v>
      </c>
      <c r="M34" s="164">
        <f>LF!M34+'FF'!M34+PrF!M34+FSS!M34+PřF!M34+'FI'!M34+PdF!M34+FSpS!M34+ESF!M34</f>
        <v>0</v>
      </c>
      <c r="N34" s="92">
        <f>LF!N34+'FF'!N34+PrF!N34+FSS!N34+PřF!N34+'FI'!N34+PdF!N34+FSpS!N34+ESF!N34</f>
        <v>0</v>
      </c>
      <c r="O34" s="434">
        <f t="shared" si="1"/>
        <v>0</v>
      </c>
      <c r="P34" s="136">
        <f>LF!P34+'FF'!P34+PrF!P34+FSS!P34+PřF!P34+'FI'!P34+PdF!P34+FSpS!P34+ESF!P34</f>
        <v>0</v>
      </c>
      <c r="Q34" s="119">
        <f>LF!Q34+'FF'!Q34+PrF!Q34+FSS!Q34+PřF!Q34+'FI'!Q34+PdF!Q34+FSpS!Q34+ESF!Q34</f>
        <v>0</v>
      </c>
      <c r="R34" s="255"/>
      <c r="S34" s="252"/>
    </row>
    <row r="35" spans="1:19" s="25" customFormat="1" ht="12">
      <c r="A35" s="21"/>
      <c r="B35" s="31" t="s">
        <v>36</v>
      </c>
      <c r="C35" s="31"/>
      <c r="D35" s="31"/>
      <c r="E35" s="169">
        <v>33</v>
      </c>
      <c r="F35" s="119">
        <f t="shared" si="5"/>
        <v>19350</v>
      </c>
      <c r="G35" s="220">
        <f>LF!G35+'FF'!G35+PrF!G35+FSS!G35+PřF!G35+'FI'!G35+PdF!G35+FSpS!G35+ESF!G35</f>
        <v>19350</v>
      </c>
      <c r="H35" s="121">
        <f>LF!H35+'FF'!H35+PrF!H35+FSS!H35+PřF!H35+'FI'!H35+PdF!H35+FSpS!H35+ESF!H35</f>
        <v>0</v>
      </c>
      <c r="I35" s="121">
        <f>LF!I35+'FF'!I35+PrF!I35+FSS!I35+PřF!I35+'FI'!I35+PdF!I35+FSpS!I35+ESF!I35</f>
        <v>0</v>
      </c>
      <c r="J35" s="300">
        <f>LF!J35+'FF'!J35+PrF!J35+FSS!J35+PřF!J35+'FI'!J35+PdF!J35+FSpS!J35+ESF!J35</f>
        <v>0</v>
      </c>
      <c r="K35" s="300">
        <f>LF!K35+'FF'!K35+PrF!K35+FSS!K35+PřF!K35+'FI'!K35+PdF!K35+FSpS!K35+ESF!K35</f>
        <v>0</v>
      </c>
      <c r="L35" s="300">
        <f>LF!L35+'FF'!L35+PrF!L35+FSS!L35+PřF!L35+'FI'!L35+PdF!L35+FSpS!L35+ESF!L35</f>
        <v>0</v>
      </c>
      <c r="M35" s="164">
        <f>LF!M35+'FF'!M35+PrF!M35+FSS!M35+PřF!M35+'FI'!M35+PdF!M35+FSpS!M35+ESF!M35</f>
        <v>0</v>
      </c>
      <c r="N35" s="92">
        <f>LF!N35+'FF'!N35+PrF!N35+FSS!N35+PřF!N35+'FI'!N35+PdF!N35+FSpS!N35+ESF!N35</f>
        <v>0</v>
      </c>
      <c r="O35" s="434">
        <f t="shared" si="1"/>
        <v>0</v>
      </c>
      <c r="P35" s="136">
        <f>LF!P35+'FF'!P35+PrF!P35+FSS!P35+PřF!P35+'FI'!P35+PdF!P35+FSpS!P35+ESF!P35</f>
        <v>3000</v>
      </c>
      <c r="Q35" s="119">
        <f>LF!Q35+'FF'!Q35+PrF!Q35+FSS!Q35+PřF!Q35+'FI'!Q35+PdF!Q35+FSpS!Q35+ESF!Q35</f>
        <v>20332</v>
      </c>
      <c r="R35" s="255"/>
      <c r="S35" s="252"/>
    </row>
    <row r="36" spans="1:19" s="640" customFormat="1" ht="12">
      <c r="A36" s="628"/>
      <c r="B36" s="629" t="s">
        <v>175</v>
      </c>
      <c r="C36" s="629"/>
      <c r="D36" s="629"/>
      <c r="E36" s="702">
        <v>34</v>
      </c>
      <c r="F36" s="631">
        <f t="shared" si="5"/>
        <v>230157</v>
      </c>
      <c r="G36" s="659">
        <f>LF!G36+'FF'!G36+PrF!G36+FSS!G36+PřF!G36+'FI'!G36+PdF!G36+FSpS!G36+ESF!G36</f>
        <v>230157</v>
      </c>
      <c r="H36" s="660">
        <f>LF!H36+'FF'!H36+PrF!H36+FSS!H36+PřF!H36+'FI'!H36+PdF!H36+FSpS!H36+ESF!H36</f>
        <v>0</v>
      </c>
      <c r="I36" s="660">
        <f>LF!I36+'FF'!I36+PrF!I36+FSS!I36+PřF!I36+'FI'!I36+PdF!I36+FSpS!I36+ESF!I36</f>
        <v>0</v>
      </c>
      <c r="J36" s="661">
        <f>LF!J36+'FF'!J36+PrF!J36+FSS!J36+PřF!J36+'FI'!J36+PdF!J36+FSpS!J36+ESF!J36</f>
        <v>0</v>
      </c>
      <c r="K36" s="661">
        <f>LF!K36+'FF'!K36+PrF!K36+FSS!K36+PřF!K36+'FI'!K36+PdF!K36+FSpS!K36+ESF!K36</f>
        <v>0</v>
      </c>
      <c r="L36" s="661">
        <f>LF!L36+'FF'!L36+PrF!L36+FSS!L36+PřF!L36+'FI'!L36+PdF!L36+FSpS!L36+ESF!L36</f>
        <v>0</v>
      </c>
      <c r="M36" s="859">
        <f>LF!M36+'FF'!M36+PrF!M36+FSS!M36+PřF!M36+'FI'!M36+PdF!M36+FSpS!M36+ESF!M36</f>
        <v>0</v>
      </c>
      <c r="N36" s="591">
        <f>LF!N36+'FF'!N36+PrF!N36+FSS!N36+PřF!N36+'FI'!N36+PdF!N36+FSpS!N36+ESF!N36</f>
        <v>0</v>
      </c>
      <c r="O36" s="703">
        <f t="shared" si="1"/>
        <v>0</v>
      </c>
      <c r="P36" s="520">
        <f>LF!P36+'FF'!P36+PrF!P36+FSS!P36+PřF!P36+'FI'!P36+PdF!P36+FSpS!P36+ESF!P36</f>
        <v>0</v>
      </c>
      <c r="Q36" s="631">
        <f>LF!Q36+'FF'!Q36+PrF!Q36+FSS!Q36+PřF!Q36+'FI'!Q36+PdF!Q36+FSpS!Q36+ESF!Q36</f>
        <v>126439</v>
      </c>
      <c r="R36" s="255"/>
      <c r="S36" s="252"/>
    </row>
    <row r="37" spans="1:19" s="25" customFormat="1" ht="12">
      <c r="A37" s="21"/>
      <c r="B37" s="31" t="s">
        <v>54</v>
      </c>
      <c r="C37" s="31"/>
      <c r="D37" s="31"/>
      <c r="E37" s="169">
        <v>35</v>
      </c>
      <c r="F37" s="119">
        <f t="shared" si="5"/>
        <v>23613</v>
      </c>
      <c r="G37" s="220">
        <f>LF!G37+'FF'!G37+PrF!G37+FSS!G37+PřF!G37+'FI'!G37+PdF!G37+FSpS!G37+ESF!G37</f>
        <v>20875</v>
      </c>
      <c r="H37" s="121">
        <f>LF!H37+'FF'!H37+PrF!H37+FSS!H37+PřF!H37+'FI'!H37+PdF!H37+FSpS!H37+ESF!H37</f>
        <v>0</v>
      </c>
      <c r="I37" s="121">
        <f>LF!I37+'FF'!I37+PrF!I37+FSS!I37+PřF!I37+'FI'!I37+PdF!I37+FSpS!I37+ESF!I37</f>
        <v>2738</v>
      </c>
      <c r="J37" s="300">
        <f>LF!J37+'FF'!J37+PrF!J37+FSS!J37+PřF!J37+'FI'!J37+PdF!J37+FSpS!J37+ESF!J37</f>
        <v>0</v>
      </c>
      <c r="K37" s="300">
        <f>LF!K37+'FF'!K37+PrF!K37+FSS!K37+PřF!K37+'FI'!K37+PdF!K37+FSpS!K37+ESF!K37</f>
        <v>0</v>
      </c>
      <c r="L37" s="300">
        <f>LF!L37+'FF'!L37+PrF!L37+FSS!L37+PřF!L37+'FI'!L37+PdF!L37+FSpS!L37+ESF!L37</f>
        <v>0</v>
      </c>
      <c r="M37" s="164">
        <f>LF!M37+'FF'!M37+PrF!M37+FSS!M37+PřF!M37+'FI'!M37+PdF!M37+FSpS!M37+ESF!M37</f>
        <v>0</v>
      </c>
      <c r="N37" s="92">
        <f>LF!N37+'FF'!N37+PrF!N37+FSS!N37+PřF!N37+'FI'!N37+PdF!N37+FSpS!N37+ESF!N37</f>
        <v>0</v>
      </c>
      <c r="O37" s="434">
        <f t="shared" si="1"/>
        <v>0</v>
      </c>
      <c r="P37" s="136">
        <f>LF!P37+'FF'!P37+PrF!P37+FSS!P37+PřF!P37+'FI'!P37+PdF!P37+FSpS!P37+ESF!P37</f>
        <v>152</v>
      </c>
      <c r="Q37" s="119">
        <f>LF!Q37+'FF'!Q37+PrF!Q37+FSS!Q37+PřF!Q37+'FI'!Q37+PdF!Q37+FSpS!Q37+ESF!Q37</f>
        <v>34119</v>
      </c>
      <c r="R37" s="255"/>
      <c r="S37" s="252"/>
    </row>
    <row r="38" spans="1:19" s="25" customFormat="1" ht="12">
      <c r="A38" s="21"/>
      <c r="B38" s="31" t="s">
        <v>170</v>
      </c>
      <c r="C38" s="31"/>
      <c r="D38" s="31"/>
      <c r="E38" s="169">
        <v>36</v>
      </c>
      <c r="F38" s="119">
        <f t="shared" si="5"/>
        <v>284667</v>
      </c>
      <c r="G38" s="220">
        <f>LF!G38+'FF'!G38+PrF!G38+FSS!G38+PřF!G38+'FI'!G38+PdF!G38+FSpS!G38+ESF!G38</f>
        <v>284305</v>
      </c>
      <c r="H38" s="121">
        <f>LF!H38+'FF'!H38+PrF!H38+FSS!H38+PřF!H38+'FI'!H38+PdF!H38+FSpS!H38+ESF!H38</f>
        <v>0</v>
      </c>
      <c r="I38" s="121">
        <f>LF!I38+'FF'!I38+PrF!I38+FSS!I38+PřF!I38+'FI'!I38+PdF!I38+FSpS!I38+ESF!I38</f>
        <v>362</v>
      </c>
      <c r="J38" s="300">
        <f>LF!J38+'FF'!J38+PrF!J38+FSS!J38+PřF!J38+'FI'!J38+PdF!J38+FSpS!J38+ESF!J38</f>
        <v>0</v>
      </c>
      <c r="K38" s="300">
        <f>LF!K38+'FF'!K38+PrF!K38+FSS!K38+PřF!K38+'FI'!K38+PdF!K38+FSpS!K38+ESF!K38</f>
        <v>0</v>
      </c>
      <c r="L38" s="300">
        <f>LF!L38+'FF'!L38+PrF!L38+FSS!L38+PřF!L38+'FI'!L38+PdF!L38+FSpS!L38+ESF!L38</f>
        <v>0</v>
      </c>
      <c r="M38" s="164">
        <f>LF!M38+'FF'!M38+PrF!M38+FSS!M38+PřF!M38+'FI'!M38+PdF!M38+FSpS!M38+ESF!M38</f>
        <v>0</v>
      </c>
      <c r="N38" s="92">
        <f>LF!N38+'FF'!N38+PrF!N38+FSS!N38+PřF!N38+'FI'!N38+PdF!N38+FSpS!N38+ESF!N38</f>
        <v>0</v>
      </c>
      <c r="O38" s="434">
        <f t="shared" si="1"/>
        <v>0</v>
      </c>
      <c r="P38" s="136">
        <f>LF!P38+'FF'!P38+PrF!P38+FSS!P38+PřF!P38+'FI'!P38+PdF!P38+FSpS!P38+ESF!P38</f>
        <v>0</v>
      </c>
      <c r="Q38" s="119">
        <f>LF!Q38+'FF'!Q38+PrF!Q38+FSS!Q38+PřF!Q38+'FI'!Q38+PdF!Q38+FSpS!Q38+ESF!Q38</f>
        <v>138606</v>
      </c>
      <c r="R38" s="255"/>
      <c r="S38" s="252"/>
    </row>
    <row r="39" spans="1:19" s="25" customFormat="1" ht="12">
      <c r="A39" s="21"/>
      <c r="B39" s="31" t="s">
        <v>56</v>
      </c>
      <c r="C39" s="31"/>
      <c r="D39" s="31"/>
      <c r="E39" s="169">
        <v>37</v>
      </c>
      <c r="F39" s="119">
        <f t="shared" si="5"/>
        <v>129065</v>
      </c>
      <c r="G39" s="220">
        <f>LF!G39+'FF'!G39+PrF!G39+FSS!G39+PřF!G39+'FI'!G39+PdF!G39+FSpS!G39+ESF!G39</f>
        <v>127272</v>
      </c>
      <c r="H39" s="121">
        <f>LF!H39+'FF'!H39+PrF!H39+FSS!H39+PřF!H39+'FI'!H39+PdF!H39+FSpS!H39+ESF!H39</f>
        <v>0</v>
      </c>
      <c r="I39" s="121">
        <f>LF!I39+'FF'!I39+PrF!I39+FSS!I39+PřF!I39+'FI'!I39+PdF!I39+FSpS!I39+ESF!I39</f>
        <v>1793</v>
      </c>
      <c r="J39" s="300">
        <f>LF!J39+'FF'!J39+PrF!J39+FSS!J39+PřF!J39+'FI'!J39+PdF!J39+FSpS!J39+ESF!J39</f>
        <v>0</v>
      </c>
      <c r="K39" s="300">
        <f>LF!K39+'FF'!K39+PrF!K39+FSS!K39+PřF!K39+'FI'!K39+PdF!K39+FSpS!K39+ESF!K39</f>
        <v>0</v>
      </c>
      <c r="L39" s="300">
        <f>LF!L39+'FF'!L39+PrF!L39+FSS!L39+PřF!L39+'FI'!L39+PdF!L39+FSpS!L39+ESF!L39</f>
        <v>0</v>
      </c>
      <c r="M39" s="164">
        <f>LF!M39+'FF'!M39+PrF!M39+FSS!M39+PřF!M39+'FI'!M39+PdF!M39+FSpS!M39+ESF!M39</f>
        <v>0</v>
      </c>
      <c r="N39" s="92">
        <f>LF!N39+'FF'!N39+PrF!N39+FSS!N39+PřF!N39+'FI'!N39+PdF!N39+FSpS!N39+ESF!N39</f>
        <v>0</v>
      </c>
      <c r="O39" s="434">
        <f t="shared" si="1"/>
        <v>0</v>
      </c>
      <c r="P39" s="136">
        <f>LF!P39+'FF'!P39+PrF!P39+FSS!P39+PřF!P39+'FI'!P39+PdF!P39+FSpS!P39+ESF!P39</f>
        <v>0</v>
      </c>
      <c r="Q39" s="119">
        <f>LF!Q39+'FF'!Q39+PrF!Q39+FSS!Q39+PřF!Q39+'FI'!Q39+PdF!Q39+FSpS!Q39+ESF!Q39</f>
        <v>242526</v>
      </c>
      <c r="R39" s="255"/>
      <c r="S39" s="252"/>
    </row>
    <row r="40" spans="1:19" s="25" customFormat="1" ht="12">
      <c r="A40" s="21"/>
      <c r="B40" s="31" t="s">
        <v>57</v>
      </c>
      <c r="C40" s="31"/>
      <c r="D40" s="31"/>
      <c r="E40" s="169">
        <v>38</v>
      </c>
      <c r="F40" s="119">
        <f t="shared" si="5"/>
        <v>506844</v>
      </c>
      <c r="G40" s="220">
        <f>LF!G40+'FF'!G40+PrF!G40+FSS!G40+PřF!G40+'FI'!G40+PdF!G40+FSpS!G40+ESF!G40</f>
        <v>494902</v>
      </c>
      <c r="H40" s="121">
        <f>LF!H40+'FF'!H40+PrF!H40+FSS!H40+PřF!H40+'FI'!H40+PdF!H40+FSpS!H40+ESF!H40</f>
        <v>0</v>
      </c>
      <c r="I40" s="121">
        <f>LF!I40+'FF'!I40+PrF!I40+FSS!I40+PřF!I40+'FI'!I40+PdF!I40+FSpS!I40+ESF!I40</f>
        <v>11942</v>
      </c>
      <c r="J40" s="300">
        <f>LF!J40+'FF'!J40+PrF!J40+FSS!J40+PřF!J40+'FI'!J40+PdF!J40+FSpS!J40+ESF!J40</f>
        <v>0</v>
      </c>
      <c r="K40" s="300">
        <f>LF!K40+'FF'!K40+PrF!K40+FSS!K40+PřF!K40+'FI'!K40+PdF!K40+FSpS!K40+ESF!K40</f>
        <v>0</v>
      </c>
      <c r="L40" s="300">
        <f>LF!L40+'FF'!L40+PrF!L40+FSS!L40+PřF!L40+'FI'!L40+PdF!L40+FSpS!L40+ESF!L40</f>
        <v>0</v>
      </c>
      <c r="M40" s="164">
        <f>LF!M40+'FF'!M40+PrF!M40+FSS!M40+PřF!M40+'FI'!M40+PdF!M40+FSpS!M40+ESF!M40</f>
        <v>0</v>
      </c>
      <c r="N40" s="92">
        <f>LF!N40+'FF'!N40+PrF!N40+FSS!N40+PřF!N40+'FI'!N40+PdF!N40+FSpS!N40+ESF!N40</f>
        <v>0</v>
      </c>
      <c r="O40" s="434">
        <f t="shared" si="1"/>
        <v>0</v>
      </c>
      <c r="P40" s="136">
        <f>LF!P40+'FF'!P40+PrF!P40+FSS!P40+PřF!P40+'FI'!P40+PdF!P40+FSpS!P40+ESF!P40</f>
        <v>0</v>
      </c>
      <c r="Q40" s="119">
        <f>LF!Q40+'FF'!Q40+PrF!Q40+FSS!Q40+PřF!Q40+'FI'!Q40+PdF!Q40+FSpS!Q40+ESF!Q40</f>
        <v>466032</v>
      </c>
      <c r="R40" s="255"/>
      <c r="S40" s="255">
        <f>LF!S40+'FF'!S40+PrF!S40+FSS!S40+PřF!S40+'FI'!S40+PdF!S40+FSpS!S40+ESF!S40</f>
        <v>10184</v>
      </c>
    </row>
    <row r="41" spans="1:19" s="640" customFormat="1" ht="12">
      <c r="A41" s="628"/>
      <c r="B41" s="629" t="s">
        <v>186</v>
      </c>
      <c r="C41" s="629"/>
      <c r="D41" s="629"/>
      <c r="E41" s="702">
        <v>39</v>
      </c>
      <c r="F41" s="631">
        <f t="shared" si="5"/>
        <v>85975</v>
      </c>
      <c r="G41" s="659">
        <f>LF!G41+'FF'!G41+PrF!G41+FSS!G41+PřF!G41+'FI'!G41+PdF!G41+FSpS!G41+ESF!G41</f>
        <v>83226</v>
      </c>
      <c r="H41" s="660">
        <f>LF!H41+'FF'!H41+PrF!H41+FSS!H41+PřF!H41+'FI'!H41+PdF!H41+FSpS!H41+ESF!H41</f>
        <v>0</v>
      </c>
      <c r="I41" s="660">
        <f>LF!I41+'FF'!I41+PrF!I41+FSS!I41+PřF!I41+'FI'!I41+PdF!I41+FSpS!I41+ESF!I41</f>
        <v>2749</v>
      </c>
      <c r="J41" s="661">
        <f>LF!J41+'FF'!J41+PrF!J41+FSS!J41+PřF!J41+'FI'!J41+PdF!J41+FSpS!J41+ESF!J41</f>
        <v>0</v>
      </c>
      <c r="K41" s="661">
        <f>LF!K41+'FF'!K41+PrF!K41+FSS!K41+PřF!K41+'FI'!K41+PdF!K41+FSpS!K41+ESF!K41</f>
        <v>0</v>
      </c>
      <c r="L41" s="661">
        <f>LF!L41+'FF'!L41+PrF!L41+FSS!L41+PřF!L41+'FI'!L41+PdF!L41+FSpS!L41+ESF!L41</f>
        <v>0</v>
      </c>
      <c r="M41" s="859">
        <f>LF!M41+'FF'!M41+PrF!M41+FSS!M41+PřF!M41+'FI'!M41+PdF!M41+FSpS!M41+ESF!M41</f>
        <v>0</v>
      </c>
      <c r="N41" s="591">
        <f>LF!N41+'FF'!N41+PrF!N41+FSS!N41+PřF!N41+'FI'!N41+PdF!N41+FSpS!N41+ESF!N41</f>
        <v>0</v>
      </c>
      <c r="O41" s="703">
        <f t="shared" si="1"/>
        <v>0</v>
      </c>
      <c r="P41" s="520">
        <f>LF!P41+'FF'!P41+PrF!P41+FSS!P41+PřF!P41+'FI'!P41+PdF!P41+FSpS!P41+ESF!P41</f>
        <v>6162</v>
      </c>
      <c r="Q41" s="631">
        <f>LF!Q41+'FF'!Q41+PrF!Q41+FSS!Q41+PřF!Q41+'FI'!Q41+PdF!Q41+FSpS!Q41+ESF!Q41</f>
        <v>62079</v>
      </c>
      <c r="R41" s="255"/>
      <c r="S41" s="252"/>
    </row>
    <row r="42" spans="1:19" s="25" customFormat="1" ht="12">
      <c r="A42" s="21"/>
      <c r="B42" s="31" t="s">
        <v>58</v>
      </c>
      <c r="C42" s="31"/>
      <c r="D42" s="31"/>
      <c r="E42" s="169">
        <v>40</v>
      </c>
      <c r="F42" s="119">
        <f t="shared" si="5"/>
        <v>57033</v>
      </c>
      <c r="G42" s="220">
        <f>LF!G42+'FF'!G42+PrF!G42+FSS!G42+PřF!G42+'FI'!G42+PdF!G42+FSpS!G42+ESF!G42</f>
        <v>56286</v>
      </c>
      <c r="H42" s="121">
        <f>LF!H42+'FF'!H42+PrF!H42+FSS!H42+PřF!H42+'FI'!H42+PdF!H42+FSpS!H42+ESF!H42</f>
        <v>0</v>
      </c>
      <c r="I42" s="121">
        <f>LF!I42+'FF'!I42+PrF!I42+FSS!I42+PřF!I42+'FI'!I42+PdF!I42+FSpS!I42+ESF!I42</f>
        <v>747</v>
      </c>
      <c r="J42" s="300">
        <f>LF!J42+'FF'!J42+PrF!J42+FSS!J42+PřF!J42+'FI'!J42+PdF!J42+FSpS!J42+ESF!J42</f>
        <v>0</v>
      </c>
      <c r="K42" s="300">
        <f>LF!K42+'FF'!K42+PrF!K42+FSS!K42+PřF!K42+'FI'!K42+PdF!K42+FSpS!K42+ESF!K42</f>
        <v>0</v>
      </c>
      <c r="L42" s="300">
        <f>LF!L42+'FF'!L42+PrF!L42+FSS!L42+PřF!L42+'FI'!L42+PdF!L42+FSpS!L42+ESF!L42</f>
        <v>0</v>
      </c>
      <c r="M42" s="164">
        <f>LF!M42+'FF'!M42+PrF!M42+FSS!M42+PřF!M42+'FI'!M42+PdF!M42+FSpS!M42+ESF!M42</f>
        <v>0</v>
      </c>
      <c r="N42" s="92">
        <f>LF!N42+'FF'!N42+PrF!N42+FSS!N42+PřF!N42+'FI'!N42+PdF!N42+FSpS!N42+ESF!N42</f>
        <v>0</v>
      </c>
      <c r="O42" s="434">
        <f t="shared" si="1"/>
        <v>0</v>
      </c>
      <c r="P42" s="136">
        <f>LF!P42+'FF'!P42+PrF!P42+FSS!P42+PřF!P42+'FI'!P42+PdF!P42+FSpS!P42+ESF!P42</f>
        <v>69</v>
      </c>
      <c r="Q42" s="119">
        <f>LF!Q42+'FF'!Q42+PrF!Q42+FSS!Q42+PřF!Q42+'FI'!Q42+PdF!Q42+FSpS!Q42+ESF!Q42</f>
        <v>59477</v>
      </c>
      <c r="R42" s="255"/>
      <c r="S42" s="252"/>
    </row>
    <row r="43" spans="1:19" s="25" customFormat="1" ht="12">
      <c r="A43" s="21"/>
      <c r="B43" s="31" t="s">
        <v>59</v>
      </c>
      <c r="C43" s="31"/>
      <c r="D43" s="31"/>
      <c r="E43" s="169">
        <v>41</v>
      </c>
      <c r="F43" s="119">
        <f t="shared" si="5"/>
        <v>421424</v>
      </c>
      <c r="G43" s="220">
        <f>LF!G43+'FF'!G43+PrF!G43+FSS!G43+PřF!G43+'FI'!G43+PdF!G43+FSpS!G43+ESF!G43</f>
        <v>419275</v>
      </c>
      <c r="H43" s="121">
        <f>LF!H43+'FF'!H43+PrF!H43+FSS!H43+PřF!H43+'FI'!H43+PdF!H43+FSpS!H43+ESF!H43</f>
        <v>0</v>
      </c>
      <c r="I43" s="121">
        <f>LF!I43+'FF'!I43+PrF!I43+FSS!I43+PřF!I43+'FI'!I43+PdF!I43+FSpS!I43+ESF!I43</f>
        <v>2149</v>
      </c>
      <c r="J43" s="300">
        <f>LF!J43+'FF'!J43+PrF!J43+FSS!J43+PřF!J43+'FI'!J43+PdF!J43+FSpS!J43+ESF!J43</f>
        <v>0</v>
      </c>
      <c r="K43" s="300">
        <f>LF!K43+'FF'!K43+PrF!K43+FSS!K43+PřF!K43+'FI'!K43+PdF!K43+FSpS!K43+ESF!K43</f>
        <v>0</v>
      </c>
      <c r="L43" s="300">
        <f>LF!L43+'FF'!L43+PrF!L43+FSS!L43+PřF!L43+'FI'!L43+PdF!L43+FSpS!L43+ESF!L43</f>
        <v>0</v>
      </c>
      <c r="M43" s="164">
        <f>LF!M43+'FF'!M43+PrF!M43+FSS!M43+PřF!M43+'FI'!M43+PdF!M43+FSpS!M43+ESF!M43</f>
        <v>0</v>
      </c>
      <c r="N43" s="92">
        <f>LF!N43+'FF'!N43+PrF!N43+FSS!N43+PřF!N43+'FI'!N43+PdF!N43+FSpS!N43+ESF!N43</f>
        <v>0</v>
      </c>
      <c r="O43" s="434">
        <f t="shared" si="1"/>
        <v>0</v>
      </c>
      <c r="P43" s="136" t="e">
        <f>LF!P43+'FF'!P43+PrF!P43+FSS!P43+PřF!P43+'FI'!P43+PdF!P43+FSpS!P43+ESF!P43</f>
        <v>#DIV/0!</v>
      </c>
      <c r="Q43" s="119">
        <f>LF!Q43+'FF'!Q43+PrF!Q43+FSS!Q43+PřF!Q43+'FI'!Q43+PdF!Q43+FSpS!Q43+ESF!Q43</f>
        <v>424864</v>
      </c>
      <c r="R43" s="255"/>
      <c r="S43" s="252"/>
    </row>
    <row r="44" spans="1:19" s="25" customFormat="1" ht="12">
      <c r="A44" s="21"/>
      <c r="B44" s="31" t="s">
        <v>60</v>
      </c>
      <c r="C44" s="31"/>
      <c r="D44" s="31"/>
      <c r="E44" s="169">
        <v>42</v>
      </c>
      <c r="F44" s="119">
        <f t="shared" si="5"/>
        <v>250294</v>
      </c>
      <c r="G44" s="220"/>
      <c r="H44" s="121">
        <f>LF!H44+'FF'!H44+PrF!H44+FSS!H44+PřF!H44+'FI'!H44+PdF!H44+FSpS!H44+ESF!H44</f>
        <v>179735</v>
      </c>
      <c r="I44" s="121">
        <f>LF!I44+'FF'!I44+PrF!I44+FSS!I44+PřF!I44+'FI'!I44+PdF!I44+FSpS!I44+ESF!I44</f>
        <v>917</v>
      </c>
      <c r="J44" s="300">
        <f>LF!J44+'FF'!J44+PrF!J44+FSS!J44+PřF!J44+'FI'!J44+PdF!J44+FSpS!J44+ESF!J44</f>
        <v>2000</v>
      </c>
      <c r="K44" s="300">
        <f>LF!K44+'FF'!K44+PrF!K44+FSS!K44+PřF!K44+'FI'!K44+PdF!K44+FSpS!K44+ESF!K44</f>
        <v>21572</v>
      </c>
      <c r="L44" s="300">
        <f>LF!L44+'FF'!L44+PrF!L44+FSS!L44+PřF!L44+'FI'!L44+PdF!L44+FSpS!L44+ESF!L44</f>
        <v>46070</v>
      </c>
      <c r="M44" s="164">
        <f>LF!M44+'FF'!M44+PrF!M44+FSS!M44+PřF!M44+'FI'!M44+PdF!M44+FSpS!M44+ESF!M44</f>
        <v>0</v>
      </c>
      <c r="N44" s="92">
        <f>LF!N44+'FF'!N44+PrF!N44+FSS!N44+PřF!N44+'FI'!N44+PdF!N44+FSpS!N44+ESF!N44</f>
        <v>0</v>
      </c>
      <c r="O44" s="434">
        <f t="shared" si="1"/>
        <v>0</v>
      </c>
      <c r="P44" s="136">
        <f>LF!P44+'FF'!P44+PrF!P44+FSS!P44+PřF!P44+'FI'!P44+PdF!P44+FSpS!P44+ESF!P44</f>
        <v>0</v>
      </c>
      <c r="Q44" s="119">
        <f>LF!Q44+'FF'!Q44+PrF!Q44+FSS!Q44+PřF!Q44+'FI'!Q44+PdF!Q44+FSpS!Q44+ESF!Q44</f>
        <v>154023</v>
      </c>
      <c r="R44" s="255"/>
      <c r="S44" s="252"/>
    </row>
    <row r="45" spans="1:19" s="25" customFormat="1" ht="12">
      <c r="A45" s="40"/>
      <c r="B45" s="41" t="s">
        <v>47</v>
      </c>
      <c r="C45" s="41"/>
      <c r="D45" s="41"/>
      <c r="E45" s="170">
        <v>43</v>
      </c>
      <c r="F45" s="200">
        <f t="shared" si="5"/>
        <v>38423</v>
      </c>
      <c r="G45" s="478">
        <f>LF!G45+'FF'!G45+PrF!G45+FSS!G45+PřF!G45+'FI'!G45+PdF!G45+FSpS!G45+ESF!G45</f>
        <v>38423</v>
      </c>
      <c r="H45" s="173">
        <f>LF!H45+'FF'!H45+PrF!H45+FSS!H45+PřF!H45+'FI'!H45+PdF!H45+FSpS!H45+ESF!H45</f>
        <v>0</v>
      </c>
      <c r="I45" s="173">
        <f>LF!I45+'FF'!I45+PrF!I45+FSS!I45+PřF!I45+'FI'!I45+PdF!I45+FSpS!I45+ESF!I45</f>
        <v>0</v>
      </c>
      <c r="J45" s="310">
        <f>LF!J45+'FF'!J45+PrF!J45+FSS!J45+PřF!J45+'FI'!J45+PdF!J45+FSpS!J45+ESF!J45</f>
        <v>0</v>
      </c>
      <c r="K45" s="310">
        <f>LF!K45+'FF'!K45+PrF!K45+FSS!K45+PřF!K45+'FI'!K45+PdF!K45+FSpS!K45+ESF!K45</f>
        <v>0</v>
      </c>
      <c r="L45" s="310">
        <f>LF!L45+'FF'!L45+PrF!L45+FSS!L45+PřF!L45+'FI'!L45+PdF!L45+FSpS!L45+ESF!L45</f>
        <v>0</v>
      </c>
      <c r="M45" s="330">
        <f>LF!M45+'FF'!M45+PrF!M45+FSS!M45+PřF!M45+'FI'!M45+PdF!M45+FSpS!M45+ESF!M45</f>
        <v>0</v>
      </c>
      <c r="N45" s="100">
        <f>LF!N45+'FF'!N45+PrF!N45+FSS!N45+PřF!N45+'FI'!N45+PdF!N45+FSpS!N45+ESF!N45</f>
        <v>0</v>
      </c>
      <c r="O45" s="435">
        <f t="shared" si="1"/>
        <v>0</v>
      </c>
      <c r="P45" s="137" t="e">
        <f>LF!P45+'FF'!P45+PrF!P45+FSS!P45+PřF!P45+'FI'!P45+PdF!P45+FSpS!P45+ESF!P45</f>
        <v>#DIV/0!</v>
      </c>
      <c r="Q45" s="200">
        <f>LF!Q45+'FF'!Q45+PrF!Q45+FSS!Q45+PřF!Q45+'FI'!Q45+PdF!Q45+FSpS!Q45+ESF!Q45</f>
        <v>43288</v>
      </c>
      <c r="R45" s="255"/>
      <c r="S45" s="252"/>
    </row>
    <row r="46" spans="1:19" s="25" customFormat="1" ht="12.75" thickBot="1">
      <c r="A46" s="44" t="s">
        <v>61</v>
      </c>
      <c r="B46" s="45"/>
      <c r="C46" s="45"/>
      <c r="D46" s="45"/>
      <c r="E46" s="168">
        <v>44</v>
      </c>
      <c r="F46" s="201">
        <f>F29+F34+F38+F43+F44+F45-F4-F27</f>
        <v>-35653</v>
      </c>
      <c r="G46" s="102">
        <f>G29+G34+G38+G43+G45-G4-G27</f>
        <v>-36094</v>
      </c>
      <c r="H46" s="102">
        <f>H29+H34+H38+H43+H44+H45-H4-H27</f>
        <v>441</v>
      </c>
      <c r="I46" s="102">
        <f>I29+I34+I38+I43+I44+I45-I4-I27</f>
        <v>0</v>
      </c>
      <c r="J46" s="102">
        <f>J29+J34+J38+J43+J44+J45-J4-J27</f>
        <v>0</v>
      </c>
      <c r="K46" s="320"/>
      <c r="L46" s="102">
        <f>L29+L34+L38+L43+L44+L45-L4-L27</f>
        <v>0</v>
      </c>
      <c r="M46" s="103"/>
      <c r="N46" s="103">
        <f>N29+N34+N38+N43+N44+N45-N4-N27</f>
        <v>0</v>
      </c>
      <c r="O46" s="416"/>
      <c r="P46" s="103" t="e">
        <f>P29+P34+P38+P43+P44+P45-P4-P27</f>
        <v>#DIV/0!</v>
      </c>
      <c r="Q46" s="201">
        <f>Q29+Q34+Q38+Q43+Q44+Q45-Q4-Q27</f>
        <v>49128</v>
      </c>
      <c r="R46" s="255"/>
      <c r="S46" s="252"/>
    </row>
    <row r="47" spans="1:17" ht="13.5" thickBot="1">
      <c r="A47" s="37" t="s">
        <v>62</v>
      </c>
      <c r="B47" s="38"/>
      <c r="C47" s="38"/>
      <c r="D47" s="38"/>
      <c r="E47" s="171">
        <v>45</v>
      </c>
      <c r="F47" s="197">
        <f aca="true" t="shared" si="6" ref="F47:N47">F28-F3</f>
        <v>-36094</v>
      </c>
      <c r="G47" s="76">
        <f t="shared" si="6"/>
        <v>-36094</v>
      </c>
      <c r="H47" s="77">
        <f t="shared" si="6"/>
        <v>0</v>
      </c>
      <c r="I47" s="77">
        <f t="shared" si="6"/>
        <v>0</v>
      </c>
      <c r="J47" s="304">
        <f t="shared" si="6"/>
        <v>0</v>
      </c>
      <c r="K47" s="77">
        <f t="shared" si="6"/>
        <v>0</v>
      </c>
      <c r="L47" s="76">
        <f t="shared" si="6"/>
        <v>0</v>
      </c>
      <c r="M47" s="471">
        <f t="shared" si="6"/>
        <v>0</v>
      </c>
      <c r="N47" s="471">
        <f t="shared" si="6"/>
        <v>0</v>
      </c>
      <c r="O47" s="78"/>
      <c r="P47" s="78" t="e">
        <f>P28-P3</f>
        <v>#DIV/0!</v>
      </c>
      <c r="Q47" s="197">
        <f>Q28-Q3</f>
        <v>48987</v>
      </c>
    </row>
    <row r="48" spans="1:5" ht="8.25" customHeight="1">
      <c r="A48" s="47"/>
      <c r="B48" s="47"/>
      <c r="C48" s="47"/>
      <c r="D48" s="47"/>
      <c r="E48" s="48"/>
    </row>
    <row r="49" spans="5:19" s="47" customFormat="1" ht="11.25" customHeight="1">
      <c r="E49" s="48"/>
      <c r="G49" s="59"/>
      <c r="H49" s="59"/>
      <c r="I49" s="59"/>
      <c r="J49" s="1058"/>
      <c r="K49" s="1058"/>
      <c r="L49" s="1058"/>
      <c r="M49" s="240"/>
      <c r="N49" s="874"/>
      <c r="O49" s="619"/>
      <c r="P49" s="619"/>
      <c r="Q49" s="527"/>
      <c r="R49" s="255"/>
      <c r="S49" s="252"/>
    </row>
    <row r="50" spans="1:19" s="47" customFormat="1" ht="11.25">
      <c r="A50" s="51" t="s">
        <v>90</v>
      </c>
      <c r="E50" s="48"/>
      <c r="F50" s="202"/>
      <c r="G50" s="59"/>
      <c r="I50" s="155">
        <f>LF!I52+'FF'!I50+PrF!I50+FSS!I50+PřF!I50+'FI'!I50+PdF!I50+FSpS!I50+ESF!I50</f>
        <v>4833</v>
      </c>
      <c r="L50" s="59"/>
      <c r="M50" s="59"/>
      <c r="N50" s="526"/>
      <c r="O50" s="254"/>
      <c r="P50" s="401"/>
      <c r="Q50" s="202"/>
      <c r="R50" s="255"/>
      <c r="S50" s="252"/>
    </row>
    <row r="51" spans="5:19" s="51" customFormat="1" ht="11.25">
      <c r="E51" s="53"/>
      <c r="G51" s="72"/>
      <c r="H51" s="72"/>
      <c r="I51" s="72"/>
      <c r="J51" s="72"/>
      <c r="K51" s="72"/>
      <c r="L51" s="72"/>
      <c r="M51" s="72"/>
      <c r="N51" s="496"/>
      <c r="O51" s="254"/>
      <c r="P51" s="401"/>
      <c r="R51" s="255"/>
      <c r="S51" s="252"/>
    </row>
    <row r="52" spans="5:19" s="51" customFormat="1" ht="11.25">
      <c r="E52" s="53"/>
      <c r="G52" s="72"/>
      <c r="H52" s="72"/>
      <c r="I52" s="72"/>
      <c r="J52" s="72"/>
      <c r="K52" s="72"/>
      <c r="L52" s="72"/>
      <c r="M52" s="72"/>
      <c r="N52" s="496"/>
      <c r="O52" s="254"/>
      <c r="P52" s="401"/>
      <c r="R52" s="255"/>
      <c r="S52" s="252"/>
    </row>
    <row r="53" spans="5:19" s="51" customFormat="1" ht="11.25">
      <c r="E53" s="53"/>
      <c r="G53" s="72"/>
      <c r="H53" s="72"/>
      <c r="I53" s="72"/>
      <c r="J53" s="72"/>
      <c r="K53" s="72"/>
      <c r="L53" s="72"/>
      <c r="M53" s="72"/>
      <c r="N53" s="496"/>
      <c r="O53" s="254"/>
      <c r="P53" s="401"/>
      <c r="R53" s="255"/>
      <c r="S53" s="252"/>
    </row>
    <row r="54" spans="1:19" s="47" customFormat="1" ht="11.25">
      <c r="A54" s="51"/>
      <c r="B54" s="51"/>
      <c r="C54" s="51"/>
      <c r="D54" s="51"/>
      <c r="E54" s="48"/>
      <c r="G54" s="59"/>
      <c r="H54" s="59"/>
      <c r="I54" s="59"/>
      <c r="J54" s="59"/>
      <c r="K54" s="59"/>
      <c r="L54" s="59"/>
      <c r="M54" s="59"/>
      <c r="N54" s="493"/>
      <c r="O54" s="253"/>
      <c r="P54" s="401"/>
      <c r="R54" s="255"/>
      <c r="S54" s="252"/>
    </row>
    <row r="55" spans="1:19" s="59" customFormat="1" ht="11.25">
      <c r="A55" s="51"/>
      <c r="B55" s="51"/>
      <c r="C55" s="51"/>
      <c r="D55" s="51"/>
      <c r="E55" s="57"/>
      <c r="F55" s="47"/>
      <c r="N55" s="493"/>
      <c r="O55" s="253"/>
      <c r="P55" s="401"/>
      <c r="Q55" s="47"/>
      <c r="R55" s="255"/>
      <c r="S55" s="255"/>
    </row>
    <row r="56" spans="1:19" s="59" customFormat="1" ht="11.25">
      <c r="A56" s="51"/>
      <c r="B56" s="51"/>
      <c r="C56" s="51"/>
      <c r="D56" s="51"/>
      <c r="E56" s="57"/>
      <c r="F56" s="47"/>
      <c r="N56" s="493"/>
      <c r="O56" s="253"/>
      <c r="P56" s="401"/>
      <c r="Q56" s="47"/>
      <c r="R56" s="255"/>
      <c r="S56" s="255"/>
    </row>
    <row r="57" spans="1:19" s="59" customFormat="1" ht="11.25">
      <c r="A57" s="51"/>
      <c r="B57" s="51"/>
      <c r="C57" s="51"/>
      <c r="D57" s="51"/>
      <c r="E57" s="57"/>
      <c r="F57" s="47"/>
      <c r="N57" s="493"/>
      <c r="O57" s="253"/>
      <c r="P57" s="401"/>
      <c r="Q57" s="47"/>
      <c r="R57" s="255"/>
      <c r="S57" s="255"/>
    </row>
  </sheetData>
  <mergeCells count="6">
    <mergeCell ref="J49:L49"/>
    <mergeCell ref="S1:S2"/>
    <mergeCell ref="A1:D1"/>
    <mergeCell ref="C2:D2"/>
    <mergeCell ref="R1:R2"/>
    <mergeCell ref="H1:L1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7">
      <selection activeCell="D38" sqref="D38"/>
    </sheetView>
  </sheetViews>
  <sheetFormatPr defaultColWidth="9.00390625" defaultRowHeight="12.75"/>
  <cols>
    <col min="4" max="4" width="28.00390625" style="0" customWidth="1"/>
    <col min="5" max="5" width="5.375" style="0" customWidth="1"/>
    <col min="6" max="6" width="7.75390625" style="0" customWidth="1"/>
    <col min="7" max="7" width="7.25390625" style="0" customWidth="1"/>
    <col min="8" max="8" width="6.125" style="0" customWidth="1"/>
    <col min="9" max="9" width="7.375" style="0" customWidth="1"/>
    <col min="10" max="10" width="6.125" style="0" customWidth="1"/>
    <col min="11" max="11" width="6.875" style="0" customWidth="1"/>
    <col min="12" max="12" width="6.125" style="0" customWidth="1"/>
    <col min="13" max="16" width="0" style="0" hidden="1" customWidth="1"/>
    <col min="18" max="18" width="5.75390625" style="0" customWidth="1"/>
    <col min="19" max="19" width="5.125" style="0" customWidth="1"/>
    <col min="20" max="20" width="2.25390625" style="0" customWidth="1"/>
    <col min="21" max="21" width="7.375" style="0" customWidth="1"/>
    <col min="22" max="22" width="8.125" style="0" customWidth="1"/>
  </cols>
  <sheetData>
    <row r="1" spans="1:22" ht="15.75">
      <c r="A1" s="1046" t="s">
        <v>236</v>
      </c>
      <c r="B1" s="1047"/>
      <c r="C1" s="1047"/>
      <c r="D1" s="1048"/>
      <c r="E1" s="1"/>
      <c r="F1" s="543" t="s">
        <v>0</v>
      </c>
      <c r="G1" s="606" t="s">
        <v>237</v>
      </c>
      <c r="H1" s="1050" t="s">
        <v>3</v>
      </c>
      <c r="I1" s="1050"/>
      <c r="J1" s="1050"/>
      <c r="K1" s="1050"/>
      <c r="L1" s="1051"/>
      <c r="M1" s="181" t="s">
        <v>1</v>
      </c>
      <c r="N1" s="538" t="s">
        <v>4</v>
      </c>
      <c r="O1" s="67" t="s">
        <v>144</v>
      </c>
      <c r="P1" s="67" t="s">
        <v>145</v>
      </c>
      <c r="Q1" s="67" t="s">
        <v>4</v>
      </c>
      <c r="R1" s="1056" t="s">
        <v>190</v>
      </c>
      <c r="S1" s="1057" t="s">
        <v>188</v>
      </c>
      <c r="U1" s="606" t="s">
        <v>233</v>
      </c>
      <c r="V1" s="606" t="s">
        <v>238</v>
      </c>
    </row>
    <row r="2" spans="1:22" ht="23.25" customHeight="1" thickBot="1">
      <c r="A2" s="298" t="s">
        <v>127</v>
      </c>
      <c r="B2" s="7"/>
      <c r="C2" s="1052" t="s">
        <v>213</v>
      </c>
      <c r="D2" s="1053"/>
      <c r="E2" s="9" t="s">
        <v>5</v>
      </c>
      <c r="F2" s="544">
        <v>2011</v>
      </c>
      <c r="G2" s="607" t="s">
        <v>8</v>
      </c>
      <c r="H2" s="69" t="s">
        <v>9</v>
      </c>
      <c r="I2" s="70" t="s">
        <v>10</v>
      </c>
      <c r="J2" s="303" t="s">
        <v>11</v>
      </c>
      <c r="K2" s="248" t="s">
        <v>126</v>
      </c>
      <c r="L2" s="68" t="s">
        <v>12</v>
      </c>
      <c r="M2" s="544" t="s">
        <v>7</v>
      </c>
      <c r="N2" s="539">
        <v>2011</v>
      </c>
      <c r="O2" s="71"/>
      <c r="P2" s="71"/>
      <c r="Q2" s="71">
        <v>2010</v>
      </c>
      <c r="R2" s="1056"/>
      <c r="S2" s="1057"/>
      <c r="U2" s="1025" t="s">
        <v>234</v>
      </c>
      <c r="V2" s="1025" t="s">
        <v>234</v>
      </c>
    </row>
    <row r="3" spans="1:22" ht="13.5" thickBot="1">
      <c r="A3" s="17" t="s">
        <v>13</v>
      </c>
      <c r="B3" s="18"/>
      <c r="C3" s="18"/>
      <c r="D3" s="18"/>
      <c r="E3" s="19">
        <v>1</v>
      </c>
      <c r="F3" s="197">
        <f aca="true" t="shared" si="0" ref="F3:N3">SUM(F5:F27)</f>
        <v>140595</v>
      </c>
      <c r="G3" s="597">
        <f t="shared" si="0"/>
        <v>128204</v>
      </c>
      <c r="H3" s="125">
        <f t="shared" si="0"/>
        <v>0</v>
      </c>
      <c r="I3" s="77">
        <f t="shared" si="0"/>
        <v>12391</v>
      </c>
      <c r="J3" s="304">
        <f t="shared" si="0"/>
        <v>0</v>
      </c>
      <c r="K3" s="77">
        <f t="shared" si="0"/>
        <v>0</v>
      </c>
      <c r="L3" s="76">
        <f t="shared" si="0"/>
        <v>0</v>
      </c>
      <c r="M3" s="471">
        <f t="shared" si="0"/>
        <v>0</v>
      </c>
      <c r="N3" s="471">
        <f t="shared" si="0"/>
        <v>0</v>
      </c>
      <c r="O3" s="413">
        <f>IF(F3=0,0,N3/F3)</f>
        <v>0</v>
      </c>
      <c r="P3" s="78">
        <f>SUM(P5:P27)</f>
        <v>0</v>
      </c>
      <c r="Q3" s="78">
        <f>SUM(Q5:Q27)</f>
        <v>0</v>
      </c>
      <c r="R3" s="72"/>
      <c r="S3" s="72"/>
      <c r="U3" s="597">
        <f>SUM(U5:U27)</f>
        <v>179497</v>
      </c>
      <c r="V3" s="597">
        <f>SUM(V5:V27)</f>
        <v>128204</v>
      </c>
    </row>
    <row r="4" spans="1:23" ht="12.75">
      <c r="A4" s="21" t="s">
        <v>14</v>
      </c>
      <c r="B4" s="22" t="s">
        <v>15</v>
      </c>
      <c r="C4" s="22"/>
      <c r="D4" s="22"/>
      <c r="E4" s="23">
        <v>2</v>
      </c>
      <c r="F4" s="198">
        <f aca="true" t="shared" si="1" ref="F4:L4">SUM(F5:F15)</f>
        <v>1520</v>
      </c>
      <c r="G4" s="594">
        <f t="shared" si="1"/>
        <v>1520</v>
      </c>
      <c r="H4" s="112">
        <f t="shared" si="1"/>
        <v>0</v>
      </c>
      <c r="I4" s="81">
        <f t="shared" si="1"/>
        <v>0</v>
      </c>
      <c r="J4" s="305">
        <f t="shared" si="1"/>
        <v>0</v>
      </c>
      <c r="K4" s="81">
        <f t="shared" si="1"/>
        <v>0</v>
      </c>
      <c r="L4" s="80">
        <f t="shared" si="1"/>
        <v>0</v>
      </c>
      <c r="M4" s="82"/>
      <c r="N4" s="417">
        <f>SUM(N5:N15)</f>
        <v>0</v>
      </c>
      <c r="O4" s="410">
        <f>IF(F4=0,0,N4/F4)</f>
        <v>0</v>
      </c>
      <c r="P4" s="82">
        <f>SUM(P5:P15)</f>
        <v>0</v>
      </c>
      <c r="Q4" s="82">
        <f>SUM(Q5:Q15)</f>
        <v>0</v>
      </c>
      <c r="R4" s="72"/>
      <c r="S4" s="72"/>
      <c r="U4" s="594">
        <f>SUM(U5:U15)</f>
        <v>52813</v>
      </c>
      <c r="V4" s="594">
        <f>SUM(V5:V15)</f>
        <v>1520</v>
      </c>
      <c r="W4" s="483"/>
    </row>
    <row r="5" spans="1:22" ht="12.75">
      <c r="A5" s="61"/>
      <c r="B5" s="62"/>
      <c r="C5" s="62" t="s">
        <v>16</v>
      </c>
      <c r="D5" s="63" t="s">
        <v>17</v>
      </c>
      <c r="E5" s="64">
        <v>3</v>
      </c>
      <c r="F5" s="199">
        <f aca="true" t="shared" si="2" ref="F5:F27">SUM(G5:L5)</f>
        <v>0</v>
      </c>
      <c r="G5" s="1018">
        <f>37994-U5</f>
        <v>0</v>
      </c>
      <c r="H5" s="84"/>
      <c r="I5" s="85"/>
      <c r="J5" s="306"/>
      <c r="K5" s="85"/>
      <c r="L5" s="86"/>
      <c r="M5" s="87"/>
      <c r="N5" s="418"/>
      <c r="O5" s="428"/>
      <c r="P5" s="850"/>
      <c r="Q5" s="323"/>
      <c r="R5" s="517"/>
      <c r="S5" s="517"/>
      <c r="U5" s="1031">
        <v>37994</v>
      </c>
      <c r="V5" s="1019"/>
    </row>
    <row r="6" spans="1:22" ht="12.75">
      <c r="A6" s="61"/>
      <c r="B6" s="62"/>
      <c r="C6" s="62"/>
      <c r="D6" s="63" t="s">
        <v>18</v>
      </c>
      <c r="E6" s="64">
        <v>4</v>
      </c>
      <c r="F6" s="199">
        <f t="shared" si="2"/>
        <v>0</v>
      </c>
      <c r="G6" s="609"/>
      <c r="H6" s="84"/>
      <c r="I6" s="85"/>
      <c r="J6" s="306"/>
      <c r="K6" s="85"/>
      <c r="L6" s="86"/>
      <c r="M6" s="87"/>
      <c r="N6" s="418"/>
      <c r="O6" s="428"/>
      <c r="P6" s="850"/>
      <c r="Q6" s="323"/>
      <c r="R6" s="517"/>
      <c r="S6" s="517"/>
      <c r="U6" s="609"/>
      <c r="V6" s="609"/>
    </row>
    <row r="7" spans="1:22" ht="12.75">
      <c r="A7" s="61"/>
      <c r="B7" s="62"/>
      <c r="C7" s="62"/>
      <c r="D7" s="63" t="s">
        <v>19</v>
      </c>
      <c r="E7" s="64">
        <v>5</v>
      </c>
      <c r="F7" s="199">
        <f t="shared" si="2"/>
        <v>0</v>
      </c>
      <c r="G7" s="1027">
        <f>13299-U7</f>
        <v>0</v>
      </c>
      <c r="H7" s="84"/>
      <c r="I7" s="85"/>
      <c r="J7" s="306"/>
      <c r="K7" s="598"/>
      <c r="L7" s="86"/>
      <c r="M7" s="87"/>
      <c r="N7" s="418"/>
      <c r="O7" s="428"/>
      <c r="P7" s="850"/>
      <c r="Q7" s="323"/>
      <c r="R7" s="517"/>
      <c r="S7" s="517"/>
      <c r="U7" s="1032">
        <v>13299</v>
      </c>
      <c r="V7" s="1026"/>
    </row>
    <row r="8" spans="1:22" ht="12.75">
      <c r="A8" s="61"/>
      <c r="B8" s="62"/>
      <c r="C8" s="62"/>
      <c r="D8" s="63" t="s">
        <v>20</v>
      </c>
      <c r="E8" s="64">
        <v>6</v>
      </c>
      <c r="F8" s="199">
        <f t="shared" si="2"/>
        <v>0</v>
      </c>
      <c r="G8" s="609"/>
      <c r="H8" s="84"/>
      <c r="I8" s="85"/>
      <c r="J8" s="306"/>
      <c r="K8" s="85"/>
      <c r="L8" s="86"/>
      <c r="M8" s="87"/>
      <c r="N8" s="418"/>
      <c r="O8" s="428"/>
      <c r="P8" s="816"/>
      <c r="Q8" s="323"/>
      <c r="R8" s="517"/>
      <c r="S8" s="517"/>
      <c r="U8" s="609"/>
      <c r="V8" s="609"/>
    </row>
    <row r="9" spans="1:22" ht="12.75">
      <c r="A9" s="61"/>
      <c r="B9" s="62"/>
      <c r="C9" s="62"/>
      <c r="D9" s="63" t="s">
        <v>21</v>
      </c>
      <c r="E9" s="64">
        <v>7</v>
      </c>
      <c r="F9" s="199">
        <f t="shared" si="2"/>
        <v>0</v>
      </c>
      <c r="G9" s="609"/>
      <c r="H9" s="84"/>
      <c r="I9" s="85"/>
      <c r="J9" s="306"/>
      <c r="K9" s="85"/>
      <c r="L9" s="86"/>
      <c r="M9" s="87"/>
      <c r="N9" s="418"/>
      <c r="O9" s="428"/>
      <c r="P9" s="815"/>
      <c r="Q9" s="323"/>
      <c r="R9" s="517"/>
      <c r="S9" s="517"/>
      <c r="U9" s="609"/>
      <c r="V9" s="609"/>
    </row>
    <row r="10" spans="1:22" ht="12.75">
      <c r="A10" s="61"/>
      <c r="B10" s="62"/>
      <c r="C10" s="62"/>
      <c r="D10" s="63" t="s">
        <v>22</v>
      </c>
      <c r="E10" s="64">
        <v>8</v>
      </c>
      <c r="F10" s="199">
        <f t="shared" si="2"/>
        <v>0</v>
      </c>
      <c r="G10" s="609"/>
      <c r="H10" s="84"/>
      <c r="I10" s="85"/>
      <c r="J10" s="306"/>
      <c r="K10" s="85"/>
      <c r="L10" s="86"/>
      <c r="M10" s="87"/>
      <c r="N10" s="418"/>
      <c r="O10" s="428"/>
      <c r="P10" s="323"/>
      <c r="Q10" s="323"/>
      <c r="R10" s="517"/>
      <c r="S10" s="517"/>
      <c r="U10" s="609"/>
      <c r="V10" s="609"/>
    </row>
    <row r="11" spans="1:22" ht="12.75">
      <c r="A11" s="61"/>
      <c r="B11" s="62"/>
      <c r="C11" s="62"/>
      <c r="D11" s="63" t="s">
        <v>23</v>
      </c>
      <c r="E11" s="64">
        <v>9</v>
      </c>
      <c r="F11" s="199">
        <f t="shared" si="2"/>
        <v>1520</v>
      </c>
      <c r="G11" s="609">
        <v>1520</v>
      </c>
      <c r="H11" s="84"/>
      <c r="I11" s="85"/>
      <c r="J11" s="306"/>
      <c r="K11" s="85"/>
      <c r="L11" s="86"/>
      <c r="M11" s="87"/>
      <c r="N11" s="418"/>
      <c r="O11" s="428"/>
      <c r="P11" s="816"/>
      <c r="Q11" s="323"/>
      <c r="R11" s="517"/>
      <c r="S11" s="517"/>
      <c r="U11" s="609">
        <v>1520</v>
      </c>
      <c r="V11" s="609">
        <v>1520</v>
      </c>
    </row>
    <row r="12" spans="1:22" ht="12.75">
      <c r="A12" s="61"/>
      <c r="B12" s="62"/>
      <c r="C12" s="62"/>
      <c r="D12" s="63" t="s">
        <v>24</v>
      </c>
      <c r="E12" s="64">
        <v>10</v>
      </c>
      <c r="F12" s="199">
        <f t="shared" si="2"/>
        <v>0</v>
      </c>
      <c r="G12" s="609"/>
      <c r="H12" s="84"/>
      <c r="I12" s="85"/>
      <c r="J12" s="306"/>
      <c r="K12" s="85"/>
      <c r="L12" s="86"/>
      <c r="M12" s="87"/>
      <c r="N12" s="418"/>
      <c r="O12" s="428"/>
      <c r="P12" s="87"/>
      <c r="Q12" s="323"/>
      <c r="R12" s="517"/>
      <c r="S12" s="517"/>
      <c r="U12" s="609"/>
      <c r="V12" s="609"/>
    </row>
    <row r="13" spans="1:22" ht="12.75">
      <c r="A13" s="61"/>
      <c r="B13" s="62"/>
      <c r="C13" s="62"/>
      <c r="D13" s="63" t="s">
        <v>25</v>
      </c>
      <c r="E13" s="64">
        <v>11</v>
      </c>
      <c r="F13" s="199">
        <f t="shared" si="2"/>
        <v>0</v>
      </c>
      <c r="G13" s="609"/>
      <c r="H13" s="84"/>
      <c r="I13" s="85"/>
      <c r="J13" s="306"/>
      <c r="K13" s="85"/>
      <c r="L13" s="86"/>
      <c r="M13" s="87"/>
      <c r="N13" s="418"/>
      <c r="O13" s="428"/>
      <c r="P13" s="850"/>
      <c r="Q13" s="323"/>
      <c r="R13" s="517"/>
      <c r="S13" s="517"/>
      <c r="U13" s="609"/>
      <c r="V13" s="609"/>
    </row>
    <row r="14" spans="1:22" ht="12.75">
      <c r="A14" s="61"/>
      <c r="B14" s="62"/>
      <c r="C14" s="62"/>
      <c r="D14" s="63" t="s">
        <v>26</v>
      </c>
      <c r="E14" s="64">
        <v>12</v>
      </c>
      <c r="F14" s="199">
        <f t="shared" si="2"/>
        <v>0</v>
      </c>
      <c r="G14" s="609"/>
      <c r="H14" s="84"/>
      <c r="I14" s="85"/>
      <c r="J14" s="306"/>
      <c r="K14" s="85"/>
      <c r="L14" s="86"/>
      <c r="M14" s="87"/>
      <c r="N14" s="418"/>
      <c r="O14" s="428"/>
      <c r="P14" s="87"/>
      <c r="Q14" s="323"/>
      <c r="R14" s="517"/>
      <c r="S14" s="517"/>
      <c r="U14" s="609"/>
      <c r="V14" s="609"/>
    </row>
    <row r="15" spans="1:22" ht="12.75">
      <c r="A15" s="61"/>
      <c r="B15" s="62"/>
      <c r="C15" s="63"/>
      <c r="D15" s="63" t="s">
        <v>27</v>
      </c>
      <c r="E15" s="64">
        <v>13</v>
      </c>
      <c r="F15" s="199">
        <f t="shared" si="2"/>
        <v>0</v>
      </c>
      <c r="G15" s="609"/>
      <c r="H15" s="84"/>
      <c r="I15" s="85"/>
      <c r="J15" s="306"/>
      <c r="K15" s="242"/>
      <c r="L15" s="86"/>
      <c r="M15" s="87"/>
      <c r="N15" s="418"/>
      <c r="O15" s="428"/>
      <c r="P15" s="87"/>
      <c r="Q15" s="323"/>
      <c r="R15" s="517"/>
      <c r="S15" s="517"/>
      <c r="U15" s="609"/>
      <c r="V15" s="609"/>
    </row>
    <row r="16" spans="1:22" ht="12.75">
      <c r="A16" s="21"/>
      <c r="B16" s="30" t="s">
        <v>28</v>
      </c>
      <c r="C16" s="27"/>
      <c r="D16" s="27"/>
      <c r="E16" s="28">
        <v>14</v>
      </c>
      <c r="F16" s="119">
        <f t="shared" si="2"/>
        <v>0</v>
      </c>
      <c r="G16" s="596"/>
      <c r="H16" s="89"/>
      <c r="I16" s="90"/>
      <c r="J16" s="307"/>
      <c r="K16" s="90"/>
      <c r="L16" s="91"/>
      <c r="M16" s="119"/>
      <c r="N16" s="419"/>
      <c r="O16" s="412"/>
      <c r="P16" s="92"/>
      <c r="Q16" s="157"/>
      <c r="R16" s="72"/>
      <c r="S16" s="72"/>
      <c r="U16" s="596"/>
      <c r="V16" s="596"/>
    </row>
    <row r="17" spans="1:22" ht="12.75">
      <c r="A17" s="21"/>
      <c r="B17" s="30" t="s">
        <v>30</v>
      </c>
      <c r="C17" s="27"/>
      <c r="D17" s="27"/>
      <c r="E17" s="28">
        <v>15</v>
      </c>
      <c r="F17" s="119">
        <f t="shared" si="2"/>
        <v>0</v>
      </c>
      <c r="G17" s="596"/>
      <c r="H17" s="89"/>
      <c r="I17" s="90"/>
      <c r="J17" s="307"/>
      <c r="K17" s="90"/>
      <c r="L17" s="91"/>
      <c r="M17" s="119"/>
      <c r="N17" s="419"/>
      <c r="O17" s="412"/>
      <c r="P17" s="92"/>
      <c r="Q17" s="157"/>
      <c r="R17" s="72"/>
      <c r="S17" s="72"/>
      <c r="U17" s="596"/>
      <c r="V17" s="596"/>
    </row>
    <row r="18" spans="1:22" ht="12.75">
      <c r="A18" s="21"/>
      <c r="B18" s="31" t="s">
        <v>32</v>
      </c>
      <c r="C18" s="32"/>
      <c r="D18" s="32"/>
      <c r="E18" s="33">
        <v>16</v>
      </c>
      <c r="F18" s="119">
        <f t="shared" si="2"/>
        <v>0</v>
      </c>
      <c r="G18" s="596"/>
      <c r="H18" s="89"/>
      <c r="I18" s="90"/>
      <c r="J18" s="307"/>
      <c r="K18" s="90"/>
      <c r="L18" s="91"/>
      <c r="M18" s="119">
        <f>M32</f>
        <v>0</v>
      </c>
      <c r="N18" s="419"/>
      <c r="O18" s="412">
        <f aca="true" t="shared" si="3" ref="O18:O26">IF(F18=0,0,N18/F18)</f>
        <v>0</v>
      </c>
      <c r="P18" s="92">
        <f>P32</f>
        <v>0</v>
      </c>
      <c r="Q18" s="157"/>
      <c r="R18" s="72"/>
      <c r="S18" s="72"/>
      <c r="U18" s="596"/>
      <c r="V18" s="596"/>
    </row>
    <row r="19" spans="1:22" ht="12.75">
      <c r="A19" s="21"/>
      <c r="B19" s="31" t="s">
        <v>34</v>
      </c>
      <c r="C19" s="32"/>
      <c r="D19" s="32"/>
      <c r="E19" s="33">
        <v>17</v>
      </c>
      <c r="F19" s="119">
        <f t="shared" si="2"/>
        <v>0</v>
      </c>
      <c r="G19" s="596"/>
      <c r="H19" s="89"/>
      <c r="I19" s="90"/>
      <c r="J19" s="307"/>
      <c r="K19" s="90"/>
      <c r="L19" s="91"/>
      <c r="M19" s="119">
        <f>M33</f>
        <v>0</v>
      </c>
      <c r="N19" s="419"/>
      <c r="O19" s="412">
        <f t="shared" si="3"/>
        <v>0</v>
      </c>
      <c r="P19" s="92">
        <f>P33</f>
        <v>0</v>
      </c>
      <c r="Q19" s="157"/>
      <c r="R19" s="72"/>
      <c r="S19" s="72"/>
      <c r="U19" s="596"/>
      <c r="V19" s="596"/>
    </row>
    <row r="20" spans="1:22" ht="12.75">
      <c r="A20" s="21"/>
      <c r="B20" s="31" t="s">
        <v>36</v>
      </c>
      <c r="C20" s="31"/>
      <c r="D20" s="31"/>
      <c r="E20" s="33">
        <v>18</v>
      </c>
      <c r="F20" s="119">
        <f t="shared" si="2"/>
        <v>4280</v>
      </c>
      <c r="G20" s="596">
        <v>4280</v>
      </c>
      <c r="H20" s="89"/>
      <c r="I20" s="90"/>
      <c r="J20" s="307"/>
      <c r="K20" s="90"/>
      <c r="L20" s="91"/>
      <c r="M20" s="92"/>
      <c r="N20" s="419"/>
      <c r="O20" s="412">
        <f t="shared" si="3"/>
        <v>0</v>
      </c>
      <c r="P20" s="92">
        <f>P35</f>
        <v>0</v>
      </c>
      <c r="Q20" s="157"/>
      <c r="R20" s="72"/>
      <c r="S20" s="72"/>
      <c r="U20" s="596">
        <v>4280</v>
      </c>
      <c r="V20" s="596">
        <v>4280</v>
      </c>
    </row>
    <row r="21" spans="1:22" ht="12.75">
      <c r="A21" s="628"/>
      <c r="B21" s="629" t="s">
        <v>175</v>
      </c>
      <c r="C21" s="629"/>
      <c r="D21" s="629"/>
      <c r="E21" s="630">
        <v>19</v>
      </c>
      <c r="F21" s="631">
        <f t="shared" si="2"/>
        <v>0</v>
      </c>
      <c r="G21" s="890"/>
      <c r="H21" s="644"/>
      <c r="I21" s="645"/>
      <c r="J21" s="646"/>
      <c r="K21" s="645"/>
      <c r="L21" s="647"/>
      <c r="M21" s="631"/>
      <c r="N21" s="637"/>
      <c r="O21" s="638">
        <f t="shared" si="3"/>
        <v>0</v>
      </c>
      <c r="P21" s="631">
        <f>P36</f>
        <v>0</v>
      </c>
      <c r="Q21" s="639"/>
      <c r="R21" s="51"/>
      <c r="S21" s="51"/>
      <c r="U21" s="890"/>
      <c r="V21" s="890"/>
    </row>
    <row r="22" spans="1:22" ht="12.75">
      <c r="A22" s="21"/>
      <c r="B22" s="31" t="s">
        <v>40</v>
      </c>
      <c r="C22" s="31"/>
      <c r="D22" s="31"/>
      <c r="E22" s="33">
        <v>20</v>
      </c>
      <c r="F22" s="119">
        <f t="shared" si="2"/>
        <v>0</v>
      </c>
      <c r="G22" s="596"/>
      <c r="H22" s="89"/>
      <c r="I22" s="90"/>
      <c r="J22" s="307"/>
      <c r="K22" s="90"/>
      <c r="L22" s="91"/>
      <c r="M22" s="92"/>
      <c r="N22" s="419"/>
      <c r="O22" s="412">
        <f t="shared" si="3"/>
        <v>0</v>
      </c>
      <c r="P22" s="92">
        <f>P37</f>
        <v>0</v>
      </c>
      <c r="Q22" s="157"/>
      <c r="R22" s="72"/>
      <c r="S22" s="72"/>
      <c r="U22" s="596"/>
      <c r="V22" s="596"/>
    </row>
    <row r="23" spans="1:22" ht="12.75">
      <c r="A23" s="21"/>
      <c r="B23" s="31" t="s">
        <v>42</v>
      </c>
      <c r="C23" s="31"/>
      <c r="D23" s="31"/>
      <c r="E23" s="33">
        <v>21</v>
      </c>
      <c r="F23" s="119">
        <f t="shared" si="2"/>
        <v>30315</v>
      </c>
      <c r="G23" s="596">
        <v>30315</v>
      </c>
      <c r="H23" s="89"/>
      <c r="I23" s="90"/>
      <c r="J23" s="307"/>
      <c r="K23" s="90"/>
      <c r="L23" s="91"/>
      <c r="M23" s="119">
        <f>M39</f>
        <v>0</v>
      </c>
      <c r="N23" s="419"/>
      <c r="O23" s="412">
        <f t="shared" si="3"/>
        <v>0</v>
      </c>
      <c r="P23" s="92">
        <f>P39</f>
        <v>0</v>
      </c>
      <c r="Q23" s="157"/>
      <c r="R23" s="72"/>
      <c r="S23" s="72"/>
      <c r="U23" s="596">
        <v>30315</v>
      </c>
      <c r="V23" s="596">
        <v>30315</v>
      </c>
    </row>
    <row r="24" spans="1:22" ht="12.75">
      <c r="A24" s="21"/>
      <c r="B24" s="31" t="s">
        <v>43</v>
      </c>
      <c r="C24" s="31"/>
      <c r="D24" s="31"/>
      <c r="E24" s="33">
        <v>22</v>
      </c>
      <c r="F24" s="119">
        <f t="shared" si="2"/>
        <v>36809</v>
      </c>
      <c r="G24" s="596">
        <v>36323</v>
      </c>
      <c r="H24" s="89"/>
      <c r="I24" s="90">
        <v>486</v>
      </c>
      <c r="J24" s="307"/>
      <c r="K24" s="90"/>
      <c r="L24" s="91"/>
      <c r="M24" s="119">
        <f>M40</f>
        <v>0</v>
      </c>
      <c r="N24" s="419"/>
      <c r="O24" s="412">
        <f t="shared" si="3"/>
        <v>0</v>
      </c>
      <c r="P24" s="92">
        <f>P40</f>
        <v>0</v>
      </c>
      <c r="Q24" s="157"/>
      <c r="R24" s="72"/>
      <c r="S24" s="72"/>
      <c r="U24" s="596">
        <v>36323</v>
      </c>
      <c r="V24" s="596">
        <v>36323</v>
      </c>
    </row>
    <row r="25" spans="1:22" ht="12.75">
      <c r="A25" s="628"/>
      <c r="B25" s="629" t="s">
        <v>186</v>
      </c>
      <c r="C25" s="629"/>
      <c r="D25" s="629"/>
      <c r="E25" s="630">
        <v>23</v>
      </c>
      <c r="F25" s="631">
        <f t="shared" si="2"/>
        <v>61328</v>
      </c>
      <c r="G25" s="643">
        <v>49423</v>
      </c>
      <c r="H25" s="644"/>
      <c r="I25" s="645">
        <v>11905</v>
      </c>
      <c r="J25" s="646"/>
      <c r="K25" s="645"/>
      <c r="L25" s="647"/>
      <c r="M25" s="631"/>
      <c r="N25" s="637"/>
      <c r="O25" s="638">
        <f t="shared" si="3"/>
        <v>0</v>
      </c>
      <c r="P25" s="631">
        <f>P41</f>
        <v>0</v>
      </c>
      <c r="Q25" s="639"/>
      <c r="R25" s="51"/>
      <c r="S25" s="51"/>
      <c r="U25" s="643">
        <v>49423</v>
      </c>
      <c r="V25" s="643">
        <v>49423</v>
      </c>
    </row>
    <row r="26" spans="1:22" ht="12.75">
      <c r="A26" s="21"/>
      <c r="B26" s="31" t="s">
        <v>45</v>
      </c>
      <c r="C26" s="31"/>
      <c r="D26" s="31"/>
      <c r="E26" s="33">
        <v>24</v>
      </c>
      <c r="F26" s="119">
        <f t="shared" si="2"/>
        <v>5553</v>
      </c>
      <c r="G26" s="596">
        <v>5553</v>
      </c>
      <c r="H26" s="89"/>
      <c r="I26" s="90"/>
      <c r="J26" s="307"/>
      <c r="K26" s="90"/>
      <c r="L26" s="91"/>
      <c r="M26" s="92"/>
      <c r="N26" s="419"/>
      <c r="O26" s="412">
        <f t="shared" si="3"/>
        <v>0</v>
      </c>
      <c r="P26" s="92">
        <f>P42</f>
        <v>0</v>
      </c>
      <c r="Q26" s="157"/>
      <c r="R26" s="72"/>
      <c r="S26" s="72"/>
      <c r="U26" s="596">
        <v>5553</v>
      </c>
      <c r="V26" s="596">
        <v>5553</v>
      </c>
    </row>
    <row r="27" spans="1:22" ht="13.5" thickBot="1">
      <c r="A27" s="21"/>
      <c r="B27" s="30" t="s">
        <v>47</v>
      </c>
      <c r="C27" s="30"/>
      <c r="D27" s="30"/>
      <c r="E27" s="28">
        <v>25</v>
      </c>
      <c r="F27" s="119">
        <f t="shared" si="2"/>
        <v>790</v>
      </c>
      <c r="G27" s="596">
        <v>790</v>
      </c>
      <c r="H27" s="89"/>
      <c r="I27" s="90"/>
      <c r="J27" s="307"/>
      <c r="K27" s="160"/>
      <c r="L27" s="91"/>
      <c r="M27" s="92"/>
      <c r="N27" s="419"/>
      <c r="O27" s="412"/>
      <c r="P27" s="100"/>
      <c r="Q27" s="157"/>
      <c r="R27" s="72"/>
      <c r="S27" s="72"/>
      <c r="U27" s="596">
        <v>790</v>
      </c>
      <c r="V27" s="596">
        <v>790</v>
      </c>
    </row>
    <row r="28" spans="1:22" ht="13.5" thickBot="1">
      <c r="A28" s="37" t="s">
        <v>49</v>
      </c>
      <c r="B28" s="38"/>
      <c r="C28" s="38"/>
      <c r="D28" s="38"/>
      <c r="E28" s="19">
        <v>26</v>
      </c>
      <c r="F28" s="197">
        <f aca="true" t="shared" si="4" ref="F28:N28">SUM(F29:F45)</f>
        <v>140775</v>
      </c>
      <c r="G28" s="597">
        <f t="shared" si="4"/>
        <v>128384</v>
      </c>
      <c r="H28" s="125">
        <f t="shared" si="4"/>
        <v>0</v>
      </c>
      <c r="I28" s="77">
        <f t="shared" si="4"/>
        <v>12391</v>
      </c>
      <c r="J28" s="304">
        <f t="shared" si="4"/>
        <v>0</v>
      </c>
      <c r="K28" s="77">
        <f t="shared" si="4"/>
        <v>0</v>
      </c>
      <c r="L28" s="76">
        <f t="shared" si="4"/>
        <v>0</v>
      </c>
      <c r="M28" s="471">
        <f t="shared" si="4"/>
        <v>0</v>
      </c>
      <c r="N28" s="471">
        <f t="shared" si="4"/>
        <v>0</v>
      </c>
      <c r="O28" s="413">
        <f>IF(F28=0,0,N28/F28)</f>
        <v>0</v>
      </c>
      <c r="P28" s="78">
        <f>SUM(P29:P45)</f>
        <v>0</v>
      </c>
      <c r="Q28" s="78">
        <f>SUM(Q29:Q45)</f>
        <v>0</v>
      </c>
      <c r="R28" s="72"/>
      <c r="S28" s="72"/>
      <c r="U28" s="597">
        <f>SUM(U29:U45)</f>
        <v>179677</v>
      </c>
      <c r="V28" s="597">
        <f>SUM(V29:V45)</f>
        <v>128384</v>
      </c>
    </row>
    <row r="29" spans="1:22" ht="12.75">
      <c r="A29" s="21" t="s">
        <v>14</v>
      </c>
      <c r="B29" s="27" t="s">
        <v>50</v>
      </c>
      <c r="C29" s="27"/>
      <c r="D29" s="27"/>
      <c r="E29" s="28">
        <v>27</v>
      </c>
      <c r="F29" s="119">
        <f aca="true" t="shared" si="5" ref="F29:F45">SUM(G29:L29)</f>
        <v>0</v>
      </c>
      <c r="G29" s="594"/>
      <c r="H29" s="112"/>
      <c r="I29" s="81"/>
      <c r="J29" s="305"/>
      <c r="K29" s="81"/>
      <c r="L29" s="80"/>
      <c r="M29" s="82"/>
      <c r="N29" s="417"/>
      <c r="O29" s="410">
        <f>IF(F29=0,0,N29/F29)</f>
        <v>0</v>
      </c>
      <c r="P29" s="82">
        <f>F29</f>
        <v>0</v>
      </c>
      <c r="Q29" s="564"/>
      <c r="R29" s="72"/>
      <c r="S29" s="72"/>
      <c r="U29" s="594"/>
      <c r="V29" s="594"/>
    </row>
    <row r="30" spans="1:22" ht="12.75">
      <c r="A30" s="21"/>
      <c r="B30" s="30" t="s">
        <v>28</v>
      </c>
      <c r="C30" s="30"/>
      <c r="D30" s="30"/>
      <c r="E30" s="28">
        <v>28</v>
      </c>
      <c r="F30" s="119">
        <f t="shared" si="5"/>
        <v>0</v>
      </c>
      <c r="G30" s="499"/>
      <c r="H30" s="126"/>
      <c r="I30" s="95"/>
      <c r="J30" s="308"/>
      <c r="K30" s="95"/>
      <c r="L30" s="94"/>
      <c r="M30" s="96"/>
      <c r="N30" s="420"/>
      <c r="O30" s="414">
        <f>IF(F30=0,0,N30/F30)</f>
        <v>0</v>
      </c>
      <c r="P30" s="96">
        <f>F30</f>
        <v>0</v>
      </c>
      <c r="Q30" s="230"/>
      <c r="R30" s="72"/>
      <c r="S30" s="72"/>
      <c r="U30" s="499"/>
      <c r="V30" s="499"/>
    </row>
    <row r="31" spans="1:22" ht="12.75">
      <c r="A31" s="21"/>
      <c r="B31" s="30" t="s">
        <v>30</v>
      </c>
      <c r="C31" s="30"/>
      <c r="D31" s="30"/>
      <c r="E31" s="28">
        <v>29</v>
      </c>
      <c r="F31" s="119">
        <f t="shared" si="5"/>
        <v>0</v>
      </c>
      <c r="G31" s="499"/>
      <c r="H31" s="126"/>
      <c r="I31" s="95"/>
      <c r="J31" s="308"/>
      <c r="K31" s="95"/>
      <c r="L31" s="94"/>
      <c r="M31" s="96"/>
      <c r="N31" s="420"/>
      <c r="O31" s="414"/>
      <c r="P31" s="96"/>
      <c r="Q31" s="230"/>
      <c r="R31" s="72"/>
      <c r="S31" s="72"/>
      <c r="U31" s="499"/>
      <c r="V31" s="499"/>
    </row>
    <row r="32" spans="1:22" ht="12.75">
      <c r="A32" s="21"/>
      <c r="B32" s="31" t="s">
        <v>32</v>
      </c>
      <c r="C32" s="32"/>
      <c r="D32" s="32"/>
      <c r="E32" s="33">
        <v>30</v>
      </c>
      <c r="F32" s="119">
        <f t="shared" si="5"/>
        <v>0</v>
      </c>
      <c r="G32" s="499"/>
      <c r="H32" s="126"/>
      <c r="I32" s="95"/>
      <c r="J32" s="308"/>
      <c r="K32" s="95"/>
      <c r="L32" s="94"/>
      <c r="M32" s="96"/>
      <c r="N32" s="420"/>
      <c r="O32" s="414"/>
      <c r="P32" s="96"/>
      <c r="Q32" s="230"/>
      <c r="R32" s="72"/>
      <c r="S32" s="72"/>
      <c r="U32" s="499"/>
      <c r="V32" s="499"/>
    </row>
    <row r="33" spans="1:22" ht="12.75">
      <c r="A33" s="21"/>
      <c r="B33" s="31" t="s">
        <v>34</v>
      </c>
      <c r="C33" s="31"/>
      <c r="D33" s="31"/>
      <c r="E33" s="33">
        <v>31</v>
      </c>
      <c r="F33" s="119">
        <f t="shared" si="5"/>
        <v>0</v>
      </c>
      <c r="G33" s="499"/>
      <c r="H33" s="126"/>
      <c r="I33" s="95"/>
      <c r="J33" s="308"/>
      <c r="K33" s="95"/>
      <c r="L33" s="94"/>
      <c r="M33" s="96"/>
      <c r="N33" s="420"/>
      <c r="O33" s="414"/>
      <c r="P33" s="96"/>
      <c r="Q33" s="230"/>
      <c r="R33" s="72"/>
      <c r="S33" s="72"/>
      <c r="U33" s="499"/>
      <c r="V33" s="499"/>
    </row>
    <row r="34" spans="1:22" ht="12.75">
      <c r="A34" s="21"/>
      <c r="B34" s="31" t="s">
        <v>52</v>
      </c>
      <c r="C34" s="31"/>
      <c r="D34" s="31"/>
      <c r="E34" s="33">
        <v>32</v>
      </c>
      <c r="F34" s="119">
        <f t="shared" si="5"/>
        <v>0</v>
      </c>
      <c r="G34" s="499"/>
      <c r="H34" s="126"/>
      <c r="I34" s="95"/>
      <c r="J34" s="308"/>
      <c r="K34" s="95"/>
      <c r="L34" s="94"/>
      <c r="M34" s="96"/>
      <c r="N34" s="420"/>
      <c r="O34" s="414"/>
      <c r="P34" s="96"/>
      <c r="Q34" s="230"/>
      <c r="R34" s="72"/>
      <c r="S34" s="72"/>
      <c r="U34" s="499"/>
      <c r="V34" s="499"/>
    </row>
    <row r="35" spans="1:22" ht="12.75">
      <c r="A35" s="21"/>
      <c r="B35" s="31" t="s">
        <v>36</v>
      </c>
      <c r="C35" s="31"/>
      <c r="D35" s="31"/>
      <c r="E35" s="33">
        <v>33</v>
      </c>
      <c r="F35" s="119">
        <f t="shared" si="5"/>
        <v>4280</v>
      </c>
      <c r="G35" s="499">
        <f>G20</f>
        <v>4280</v>
      </c>
      <c r="H35" s="126"/>
      <c r="I35" s="95"/>
      <c r="J35" s="308"/>
      <c r="K35" s="95"/>
      <c r="L35" s="94"/>
      <c r="M35" s="96"/>
      <c r="N35" s="420"/>
      <c r="O35" s="414"/>
      <c r="P35" s="96"/>
      <c r="Q35" s="230"/>
      <c r="R35" s="72"/>
      <c r="S35" s="72"/>
      <c r="U35" s="499">
        <f>U20</f>
        <v>4280</v>
      </c>
      <c r="V35" s="499">
        <f>V20</f>
        <v>4280</v>
      </c>
    </row>
    <row r="36" spans="1:22" ht="12.75">
      <c r="A36" s="628"/>
      <c r="B36" s="629" t="s">
        <v>175</v>
      </c>
      <c r="C36" s="629"/>
      <c r="D36" s="629"/>
      <c r="E36" s="630">
        <v>34</v>
      </c>
      <c r="F36" s="631">
        <f t="shared" si="5"/>
        <v>0</v>
      </c>
      <c r="G36" s="891">
        <f>G21</f>
        <v>0</v>
      </c>
      <c r="H36" s="633"/>
      <c r="I36" s="634"/>
      <c r="J36" s="635"/>
      <c r="K36" s="634"/>
      <c r="L36" s="636"/>
      <c r="M36" s="632"/>
      <c r="N36" s="641"/>
      <c r="O36" s="734"/>
      <c r="P36" s="632"/>
      <c r="Q36" s="642"/>
      <c r="R36" s="51"/>
      <c r="S36" s="51"/>
      <c r="U36" s="891">
        <f>U21</f>
        <v>0</v>
      </c>
      <c r="V36" s="891">
        <f>V21</f>
        <v>0</v>
      </c>
    </row>
    <row r="37" spans="1:22" ht="12.75">
      <c r="A37" s="21"/>
      <c r="B37" s="31" t="s">
        <v>54</v>
      </c>
      <c r="C37" s="31"/>
      <c r="D37" s="31"/>
      <c r="E37" s="33">
        <v>35</v>
      </c>
      <c r="F37" s="119">
        <f t="shared" si="5"/>
        <v>0</v>
      </c>
      <c r="G37" s="499"/>
      <c r="H37" s="126"/>
      <c r="I37" s="95"/>
      <c r="J37" s="308"/>
      <c r="K37" s="95"/>
      <c r="L37" s="94"/>
      <c r="M37" s="96"/>
      <c r="N37" s="420"/>
      <c r="O37" s="414"/>
      <c r="P37" s="96"/>
      <c r="Q37" s="230"/>
      <c r="R37" s="72"/>
      <c r="S37" s="72"/>
      <c r="U37" s="499"/>
      <c r="V37" s="499"/>
    </row>
    <row r="38" spans="1:22" ht="12.75">
      <c r="A38" s="21"/>
      <c r="B38" s="31" t="s">
        <v>170</v>
      </c>
      <c r="C38" s="31"/>
      <c r="D38" s="31"/>
      <c r="E38" s="33">
        <v>36</v>
      </c>
      <c r="F38" s="119">
        <f t="shared" si="5"/>
        <v>0</v>
      </c>
      <c r="G38" s="1028">
        <f>51293-U38</f>
        <v>0</v>
      </c>
      <c r="H38" s="126"/>
      <c r="I38" s="95"/>
      <c r="J38" s="308"/>
      <c r="K38" s="95"/>
      <c r="L38" s="94"/>
      <c r="M38" s="96"/>
      <c r="N38" s="420"/>
      <c r="O38" s="414"/>
      <c r="P38" s="96"/>
      <c r="Q38" s="230"/>
      <c r="R38" s="560"/>
      <c r="S38" s="72"/>
      <c r="U38" s="1028">
        <v>51293</v>
      </c>
      <c r="V38" s="906"/>
    </row>
    <row r="39" spans="1:22" ht="12.75">
      <c r="A39" s="21"/>
      <c r="B39" s="31" t="s">
        <v>56</v>
      </c>
      <c r="C39" s="31"/>
      <c r="D39" s="31"/>
      <c r="E39" s="33">
        <v>37</v>
      </c>
      <c r="F39" s="119">
        <f t="shared" si="5"/>
        <v>30315</v>
      </c>
      <c r="G39" s="499">
        <f>G23</f>
        <v>30315</v>
      </c>
      <c r="H39" s="126"/>
      <c r="I39" s="95"/>
      <c r="J39" s="308"/>
      <c r="K39" s="95"/>
      <c r="L39" s="94"/>
      <c r="M39" s="96"/>
      <c r="N39" s="420"/>
      <c r="O39" s="414"/>
      <c r="P39" s="96"/>
      <c r="Q39" s="230"/>
      <c r="R39" s="72"/>
      <c r="S39" s="72"/>
      <c r="U39" s="499">
        <f aca="true" t="shared" si="6" ref="U39:V42">U23</f>
        <v>30315</v>
      </c>
      <c r="V39" s="499">
        <f t="shared" si="6"/>
        <v>30315</v>
      </c>
    </row>
    <row r="40" spans="1:22" ht="12.75">
      <c r="A40" s="21"/>
      <c r="B40" s="31" t="s">
        <v>57</v>
      </c>
      <c r="C40" s="31"/>
      <c r="D40" s="31"/>
      <c r="E40" s="33">
        <v>38</v>
      </c>
      <c r="F40" s="119">
        <f t="shared" si="5"/>
        <v>36809</v>
      </c>
      <c r="G40" s="499">
        <f>G24</f>
        <v>36323</v>
      </c>
      <c r="H40" s="126"/>
      <c r="I40" s="95">
        <f>I24</f>
        <v>486</v>
      </c>
      <c r="J40" s="308"/>
      <c r="K40" s="95"/>
      <c r="L40" s="94"/>
      <c r="M40" s="96"/>
      <c r="N40" s="420"/>
      <c r="O40" s="414"/>
      <c r="P40" s="96"/>
      <c r="Q40" s="230"/>
      <c r="R40" s="72"/>
      <c r="S40" s="72"/>
      <c r="U40" s="499">
        <f t="shared" si="6"/>
        <v>36323</v>
      </c>
      <c r="V40" s="499">
        <f t="shared" si="6"/>
        <v>36323</v>
      </c>
    </row>
    <row r="41" spans="1:22" ht="12.75">
      <c r="A41" s="628"/>
      <c r="B41" s="629" t="s">
        <v>186</v>
      </c>
      <c r="C41" s="629"/>
      <c r="D41" s="629"/>
      <c r="E41" s="630">
        <v>39</v>
      </c>
      <c r="F41" s="631">
        <f t="shared" si="5"/>
        <v>61328</v>
      </c>
      <c r="G41" s="649">
        <f>G25</f>
        <v>49423</v>
      </c>
      <c r="H41" s="633"/>
      <c r="I41" s="634">
        <f>I25</f>
        <v>11905</v>
      </c>
      <c r="J41" s="635"/>
      <c r="K41" s="634"/>
      <c r="L41" s="636"/>
      <c r="M41" s="632"/>
      <c r="N41" s="641"/>
      <c r="O41" s="734"/>
      <c r="P41" s="632"/>
      <c r="Q41" s="642"/>
      <c r="R41" s="51"/>
      <c r="S41" s="51"/>
      <c r="U41" s="649">
        <f t="shared" si="6"/>
        <v>49423</v>
      </c>
      <c r="V41" s="649">
        <f t="shared" si="6"/>
        <v>49423</v>
      </c>
    </row>
    <row r="42" spans="1:22" ht="12.75">
      <c r="A42" s="21"/>
      <c r="B42" s="31" t="s">
        <v>58</v>
      </c>
      <c r="C42" s="31"/>
      <c r="D42" s="31"/>
      <c r="E42" s="33">
        <v>40</v>
      </c>
      <c r="F42" s="119">
        <f t="shared" si="5"/>
        <v>5553</v>
      </c>
      <c r="G42" s="499">
        <f>G26</f>
        <v>5553</v>
      </c>
      <c r="H42" s="126"/>
      <c r="I42" s="95"/>
      <c r="J42" s="308"/>
      <c r="K42" s="95"/>
      <c r="L42" s="94"/>
      <c r="M42" s="96"/>
      <c r="N42" s="420"/>
      <c r="O42" s="414"/>
      <c r="P42" s="96"/>
      <c r="Q42" s="230"/>
      <c r="R42" s="72"/>
      <c r="S42" s="72"/>
      <c r="U42" s="499">
        <f t="shared" si="6"/>
        <v>5553</v>
      </c>
      <c r="V42" s="499">
        <f t="shared" si="6"/>
        <v>5553</v>
      </c>
    </row>
    <row r="43" spans="1:22" ht="12.75">
      <c r="A43" s="21"/>
      <c r="B43" s="31" t="s">
        <v>59</v>
      </c>
      <c r="C43" s="31"/>
      <c r="D43" s="31"/>
      <c r="E43" s="33">
        <v>41</v>
      </c>
      <c r="F43" s="119">
        <f t="shared" si="5"/>
        <v>1520</v>
      </c>
      <c r="G43" s="499">
        <v>1520</v>
      </c>
      <c r="H43" s="126"/>
      <c r="I43" s="95"/>
      <c r="J43" s="308"/>
      <c r="K43" s="95"/>
      <c r="L43" s="94"/>
      <c r="M43" s="96"/>
      <c r="N43" s="420"/>
      <c r="O43" s="414"/>
      <c r="P43" s="96"/>
      <c r="Q43" s="230"/>
      <c r="R43" s="72"/>
      <c r="S43" s="72"/>
      <c r="U43" s="499">
        <v>1520</v>
      </c>
      <c r="V43" s="499">
        <v>1520</v>
      </c>
    </row>
    <row r="44" spans="1:22" ht="12.75">
      <c r="A44" s="21"/>
      <c r="B44" s="31" t="s">
        <v>60</v>
      </c>
      <c r="C44" s="31"/>
      <c r="D44" s="31"/>
      <c r="E44" s="33">
        <v>42</v>
      </c>
      <c r="F44" s="119">
        <f t="shared" si="5"/>
        <v>0</v>
      </c>
      <c r="G44" s="612"/>
      <c r="H44" s="126"/>
      <c r="I44" s="95"/>
      <c r="J44" s="308"/>
      <c r="K44" s="95"/>
      <c r="L44" s="94"/>
      <c r="M44" s="96"/>
      <c r="N44" s="420"/>
      <c r="O44" s="414"/>
      <c r="P44" s="96"/>
      <c r="Q44" s="230"/>
      <c r="R44" s="72"/>
      <c r="S44" s="72"/>
      <c r="U44" s="612"/>
      <c r="V44" s="612"/>
    </row>
    <row r="45" spans="1:22" ht="12.75">
      <c r="A45" s="40"/>
      <c r="B45" s="41" t="s">
        <v>47</v>
      </c>
      <c r="C45" s="41"/>
      <c r="D45" s="41"/>
      <c r="E45" s="42">
        <v>43</v>
      </c>
      <c r="F45" s="200">
        <f t="shared" si="5"/>
        <v>970</v>
      </c>
      <c r="G45" s="500">
        <v>970</v>
      </c>
      <c r="H45" s="174"/>
      <c r="I45" s="99"/>
      <c r="J45" s="309"/>
      <c r="K45" s="99"/>
      <c r="L45" s="98"/>
      <c r="M45" s="100"/>
      <c r="N45" s="421"/>
      <c r="O45" s="415"/>
      <c r="P45" s="100"/>
      <c r="Q45" s="565"/>
      <c r="R45" s="72"/>
      <c r="S45" s="72"/>
      <c r="U45" s="500">
        <v>970</v>
      </c>
      <c r="V45" s="500">
        <v>970</v>
      </c>
    </row>
    <row r="46" spans="1:22" ht="13.5" thickBot="1">
      <c r="A46" s="44" t="s">
        <v>61</v>
      </c>
      <c r="B46" s="45"/>
      <c r="C46" s="45"/>
      <c r="D46" s="45"/>
      <c r="E46" s="28">
        <v>44</v>
      </c>
      <c r="F46" s="201">
        <f>F29+F34+F38+F43+F44+F45-F4-F27</f>
        <v>180</v>
      </c>
      <c r="G46" s="613">
        <f>G29+G34+G38+G43+G45-G4-G27</f>
        <v>180</v>
      </c>
      <c r="H46" s="102">
        <f>H29+H34+H38+H43+H44+H45-H4-H27</f>
        <v>0</v>
      </c>
      <c r="I46" s="102">
        <f>I29+I34+I38+I43+I44+I45-I4-I27</f>
        <v>0</v>
      </c>
      <c r="J46" s="102">
        <f>J29+J34+J38+J43+J44+J45-J4-J27</f>
        <v>0</v>
      </c>
      <c r="K46" s="320"/>
      <c r="L46" s="102">
        <f>L29+L34+L38+L43+L44+L45-L4-L27</f>
        <v>0</v>
      </c>
      <c r="M46" s="103"/>
      <c r="N46" s="422">
        <f>N29+N34+N38+N43+N44+N45-N4-N27</f>
        <v>0</v>
      </c>
      <c r="O46" s="416"/>
      <c r="P46" s="103">
        <f>P29+P34+P38+P43+P44+P45-P4-P27</f>
        <v>0</v>
      </c>
      <c r="Q46" s="103">
        <f>Q29+Q34+Q38+Q43+Q44+Q45-Q4-Q27</f>
        <v>0</v>
      </c>
      <c r="R46" s="72"/>
      <c r="S46" s="72"/>
      <c r="U46" s="613">
        <f>U29+U34+U38+U43+U45-U4-U27</f>
        <v>180</v>
      </c>
      <c r="V46" s="613">
        <f>V29+V34+V38+V43+V45-V4-V27</f>
        <v>180</v>
      </c>
    </row>
    <row r="47" spans="1:22" ht="13.5" thickBot="1">
      <c r="A47" s="37" t="s">
        <v>62</v>
      </c>
      <c r="B47" s="38"/>
      <c r="C47" s="38"/>
      <c r="D47" s="38"/>
      <c r="E47" s="19">
        <v>45</v>
      </c>
      <c r="F47" s="197">
        <f aca="true" t="shared" si="7" ref="F47:N47">F28-F3</f>
        <v>180</v>
      </c>
      <c r="G47" s="597">
        <f t="shared" si="7"/>
        <v>180</v>
      </c>
      <c r="H47" s="125">
        <f t="shared" si="7"/>
        <v>0</v>
      </c>
      <c r="I47" s="77">
        <f t="shared" si="7"/>
        <v>0</v>
      </c>
      <c r="J47" s="304">
        <f t="shared" si="7"/>
        <v>0</v>
      </c>
      <c r="K47" s="77">
        <f t="shared" si="7"/>
        <v>0</v>
      </c>
      <c r="L47" s="76">
        <f t="shared" si="7"/>
        <v>0</v>
      </c>
      <c r="M47" s="471">
        <f t="shared" si="7"/>
        <v>0</v>
      </c>
      <c r="N47" s="471">
        <f t="shared" si="7"/>
        <v>0</v>
      </c>
      <c r="O47" s="78"/>
      <c r="P47" s="78">
        <f>P28-P3</f>
        <v>0</v>
      </c>
      <c r="Q47" s="78">
        <f>Q28-Q3</f>
        <v>0</v>
      </c>
      <c r="R47" s="72"/>
      <c r="S47" s="72"/>
      <c r="U47" s="597">
        <f>U28-U3</f>
        <v>180</v>
      </c>
      <c r="V47" s="597">
        <f>V28-V3</f>
        <v>180</v>
      </c>
    </row>
    <row r="49" ht="12.75">
      <c r="A49" s="1029" t="s">
        <v>239</v>
      </c>
    </row>
    <row r="50" ht="12.75">
      <c r="A50" s="1030" t="s">
        <v>240</v>
      </c>
    </row>
  </sheetData>
  <mergeCells count="5">
    <mergeCell ref="A1:D1"/>
    <mergeCell ref="H1:L1"/>
    <mergeCell ref="R1:R2"/>
    <mergeCell ref="S1:S2"/>
    <mergeCell ref="C2:D2"/>
  </mergeCells>
  <printOptions/>
  <pageMargins left="0.48" right="0.4" top="0.35" bottom="0.36" header="0.25" footer="0.21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46">
      <selection activeCell="D38" sqref="D38"/>
    </sheetView>
  </sheetViews>
  <sheetFormatPr defaultColWidth="9.00390625" defaultRowHeight="12.75"/>
  <cols>
    <col min="4" max="4" width="28.00390625" style="0" customWidth="1"/>
    <col min="5" max="5" width="5.375" style="0" customWidth="1"/>
    <col min="13" max="16" width="0" style="0" hidden="1" customWidth="1"/>
    <col min="18" max="18" width="7.625" style="0" customWidth="1"/>
    <col min="19" max="19" width="6.375" style="0" customWidth="1"/>
  </cols>
  <sheetData>
    <row r="1" spans="1:19" ht="15.75">
      <c r="A1" s="1046" t="s">
        <v>236</v>
      </c>
      <c r="B1" s="1047"/>
      <c r="C1" s="1047"/>
      <c r="D1" s="1048"/>
      <c r="E1" s="1"/>
      <c r="F1" s="543" t="s">
        <v>0</v>
      </c>
      <c r="G1" s="606" t="s">
        <v>2</v>
      </c>
      <c r="H1" s="1050" t="s">
        <v>3</v>
      </c>
      <c r="I1" s="1050"/>
      <c r="J1" s="1050"/>
      <c r="K1" s="1050"/>
      <c r="L1" s="1051"/>
      <c r="M1" s="181" t="s">
        <v>1</v>
      </c>
      <c r="N1" s="538" t="s">
        <v>4</v>
      </c>
      <c r="O1" s="67" t="s">
        <v>144</v>
      </c>
      <c r="P1" s="67" t="s">
        <v>145</v>
      </c>
      <c r="Q1" s="67" t="s">
        <v>4</v>
      </c>
      <c r="R1" s="1056" t="s">
        <v>190</v>
      </c>
      <c r="S1" s="1057" t="s">
        <v>188</v>
      </c>
    </row>
    <row r="2" spans="1:19" ht="13.5" thickBot="1">
      <c r="A2" s="298" t="s">
        <v>127</v>
      </c>
      <c r="B2" s="7"/>
      <c r="C2" s="1052" t="s">
        <v>212</v>
      </c>
      <c r="D2" s="1053"/>
      <c r="E2" s="9" t="s">
        <v>5</v>
      </c>
      <c r="F2" s="544">
        <v>2011</v>
      </c>
      <c r="G2" s="607" t="s">
        <v>8</v>
      </c>
      <c r="H2" s="69" t="s">
        <v>9</v>
      </c>
      <c r="I2" s="70" t="s">
        <v>10</v>
      </c>
      <c r="J2" s="303" t="s">
        <v>11</v>
      </c>
      <c r="K2" s="248" t="s">
        <v>126</v>
      </c>
      <c r="L2" s="68" t="s">
        <v>12</v>
      </c>
      <c r="M2" s="544" t="s">
        <v>7</v>
      </c>
      <c r="N2" s="539">
        <v>2011</v>
      </c>
      <c r="O2" s="71"/>
      <c r="P2" s="71"/>
      <c r="Q2" s="71">
        <v>2010</v>
      </c>
      <c r="R2" s="1056"/>
      <c r="S2" s="1057"/>
    </row>
    <row r="3" spans="1:19" ht="13.5" thickBot="1">
      <c r="A3" s="17" t="s">
        <v>13</v>
      </c>
      <c r="B3" s="18"/>
      <c r="C3" s="18"/>
      <c r="D3" s="18"/>
      <c r="E3" s="19">
        <v>1</v>
      </c>
      <c r="F3" s="197">
        <f>SUM(F5:F27)</f>
        <v>34356</v>
      </c>
      <c r="G3" s="597">
        <f aca="true" t="shared" si="0" ref="G3:N3">SUM(G5:G27)</f>
        <v>34356</v>
      </c>
      <c r="H3" s="125">
        <f t="shared" si="0"/>
        <v>0</v>
      </c>
      <c r="I3" s="77">
        <f t="shared" si="0"/>
        <v>0</v>
      </c>
      <c r="J3" s="304">
        <f t="shared" si="0"/>
        <v>0</v>
      </c>
      <c r="K3" s="77">
        <f t="shared" si="0"/>
        <v>0</v>
      </c>
      <c r="L3" s="76">
        <f t="shared" si="0"/>
        <v>0</v>
      </c>
      <c r="M3" s="471">
        <f t="shared" si="0"/>
        <v>0</v>
      </c>
      <c r="N3" s="471">
        <f t="shared" si="0"/>
        <v>0</v>
      </c>
      <c r="O3" s="413">
        <f>IF(F3=0,0,N3/F3)</f>
        <v>0</v>
      </c>
      <c r="P3" s="78">
        <f>SUM(P5:P27)</f>
        <v>0</v>
      </c>
      <c r="Q3" s="78">
        <f>SUM(Q5:Q27)</f>
        <v>0</v>
      </c>
      <c r="R3" s="72"/>
      <c r="S3" s="72"/>
    </row>
    <row r="4" spans="1:19" ht="12.75">
      <c r="A4" s="21" t="s">
        <v>14</v>
      </c>
      <c r="B4" s="22" t="s">
        <v>15</v>
      </c>
      <c r="C4" s="22"/>
      <c r="D4" s="22"/>
      <c r="E4" s="23">
        <v>2</v>
      </c>
      <c r="F4" s="198">
        <f>SUM(F5:F15)</f>
        <v>1180</v>
      </c>
      <c r="G4" s="594">
        <f aca="true" t="shared" si="1" ref="G4:N4">SUM(G5:G15)</f>
        <v>1180</v>
      </c>
      <c r="H4" s="112">
        <f t="shared" si="1"/>
        <v>0</v>
      </c>
      <c r="I4" s="81">
        <f t="shared" si="1"/>
        <v>0</v>
      </c>
      <c r="J4" s="305">
        <f t="shared" si="1"/>
        <v>0</v>
      </c>
      <c r="K4" s="81">
        <f t="shared" si="1"/>
        <v>0</v>
      </c>
      <c r="L4" s="80">
        <f t="shared" si="1"/>
        <v>0</v>
      </c>
      <c r="M4" s="82"/>
      <c r="N4" s="417">
        <f t="shared" si="1"/>
        <v>0</v>
      </c>
      <c r="O4" s="410">
        <f>IF(F4=0,0,N4/F4)</f>
        <v>0</v>
      </c>
      <c r="P4" s="82">
        <f>SUM(P5:P15)</f>
        <v>0</v>
      </c>
      <c r="Q4" s="82">
        <f>SUM(Q5:Q15)</f>
        <v>0</v>
      </c>
      <c r="R4" s="72"/>
      <c r="S4" s="72"/>
    </row>
    <row r="5" spans="1:19" ht="12.75">
      <c r="A5" s="61"/>
      <c r="B5" s="62"/>
      <c r="C5" s="62" t="s">
        <v>16</v>
      </c>
      <c r="D5" s="63" t="s">
        <v>17</v>
      </c>
      <c r="E5" s="64">
        <v>3</v>
      </c>
      <c r="F5" s="199">
        <f>SUM(G5:L5)</f>
        <v>0</v>
      </c>
      <c r="G5" s="497"/>
      <c r="H5" s="84"/>
      <c r="I5" s="85"/>
      <c r="J5" s="306"/>
      <c r="K5" s="85"/>
      <c r="L5" s="86"/>
      <c r="M5" s="87"/>
      <c r="N5" s="418"/>
      <c r="O5" s="428"/>
      <c r="P5" s="850"/>
      <c r="Q5" s="323"/>
      <c r="R5" s="517"/>
      <c r="S5" s="517"/>
    </row>
    <row r="6" spans="1:19" ht="12.75">
      <c r="A6" s="61"/>
      <c r="B6" s="62"/>
      <c r="C6" s="62"/>
      <c r="D6" s="63" t="s">
        <v>18</v>
      </c>
      <c r="E6" s="64">
        <v>4</v>
      </c>
      <c r="F6" s="199">
        <f aca="true" t="shared" si="2" ref="F6:F45">SUM(G6:L6)</f>
        <v>0</v>
      </c>
      <c r="G6" s="609"/>
      <c r="H6" s="84"/>
      <c r="I6" s="85"/>
      <c r="J6" s="306"/>
      <c r="K6" s="85"/>
      <c r="L6" s="86"/>
      <c r="M6" s="87"/>
      <c r="N6" s="418"/>
      <c r="O6" s="428"/>
      <c r="P6" s="850"/>
      <c r="Q6" s="323"/>
      <c r="R6" s="517"/>
      <c r="S6" s="517"/>
    </row>
    <row r="7" spans="1:19" ht="12.75">
      <c r="A7" s="61"/>
      <c r="B7" s="62"/>
      <c r="C7" s="62"/>
      <c r="D7" s="63" t="s">
        <v>19</v>
      </c>
      <c r="E7" s="64">
        <v>5</v>
      </c>
      <c r="F7" s="199">
        <f t="shared" si="2"/>
        <v>0</v>
      </c>
      <c r="G7" s="609"/>
      <c r="H7" s="84"/>
      <c r="I7" s="85"/>
      <c r="J7" s="306"/>
      <c r="K7" s="598"/>
      <c r="L7" s="86"/>
      <c r="M7" s="87"/>
      <c r="N7" s="418"/>
      <c r="O7" s="428"/>
      <c r="P7" s="850"/>
      <c r="Q7" s="323"/>
      <c r="R7" s="517"/>
      <c r="S7" s="517"/>
    </row>
    <row r="8" spans="1:19" ht="12.75">
      <c r="A8" s="61"/>
      <c r="B8" s="62"/>
      <c r="C8" s="62"/>
      <c r="D8" s="63" t="s">
        <v>20</v>
      </c>
      <c r="E8" s="64">
        <v>6</v>
      </c>
      <c r="F8" s="199">
        <f t="shared" si="2"/>
        <v>0</v>
      </c>
      <c r="G8" s="609"/>
      <c r="H8" s="84"/>
      <c r="I8" s="85"/>
      <c r="J8" s="306"/>
      <c r="K8" s="85"/>
      <c r="L8" s="86"/>
      <c r="M8" s="87"/>
      <c r="N8" s="418"/>
      <c r="O8" s="428"/>
      <c r="P8" s="816"/>
      <c r="Q8" s="323"/>
      <c r="R8" s="517"/>
      <c r="S8" s="517"/>
    </row>
    <row r="9" spans="1:19" ht="12.75">
      <c r="A9" s="61"/>
      <c r="B9" s="62"/>
      <c r="C9" s="62"/>
      <c r="D9" s="63" t="s">
        <v>21</v>
      </c>
      <c r="E9" s="64">
        <v>7</v>
      </c>
      <c r="F9" s="199">
        <f t="shared" si="2"/>
        <v>0</v>
      </c>
      <c r="G9" s="609"/>
      <c r="H9" s="84"/>
      <c r="I9" s="85"/>
      <c r="J9" s="306"/>
      <c r="K9" s="85"/>
      <c r="L9" s="86"/>
      <c r="M9" s="87"/>
      <c r="N9" s="418"/>
      <c r="O9" s="428"/>
      <c r="P9" s="815"/>
      <c r="Q9" s="323"/>
      <c r="R9" s="517"/>
      <c r="S9" s="517"/>
    </row>
    <row r="10" spans="1:19" ht="12.75">
      <c r="A10" s="61"/>
      <c r="B10" s="62"/>
      <c r="C10" s="62"/>
      <c r="D10" s="63" t="s">
        <v>22</v>
      </c>
      <c r="E10" s="64">
        <v>8</v>
      </c>
      <c r="F10" s="199">
        <f t="shared" si="2"/>
        <v>0</v>
      </c>
      <c r="G10" s="609"/>
      <c r="H10" s="84"/>
      <c r="I10" s="85"/>
      <c r="J10" s="306"/>
      <c r="K10" s="85"/>
      <c r="L10" s="86"/>
      <c r="M10" s="87"/>
      <c r="N10" s="418"/>
      <c r="O10" s="428"/>
      <c r="P10" s="323"/>
      <c r="Q10" s="323"/>
      <c r="R10" s="517"/>
      <c r="S10" s="517"/>
    </row>
    <row r="11" spans="1:19" ht="12.75">
      <c r="A11" s="61"/>
      <c r="B11" s="62"/>
      <c r="C11" s="62"/>
      <c r="D11" s="63" t="s">
        <v>23</v>
      </c>
      <c r="E11" s="64">
        <v>9</v>
      </c>
      <c r="F11" s="199">
        <f t="shared" si="2"/>
        <v>0</v>
      </c>
      <c r="G11" s="609"/>
      <c r="H11" s="84"/>
      <c r="I11" s="85"/>
      <c r="J11" s="306"/>
      <c r="K11" s="85"/>
      <c r="L11" s="86"/>
      <c r="M11" s="87"/>
      <c r="N11" s="418"/>
      <c r="O11" s="428"/>
      <c r="P11" s="816"/>
      <c r="Q11" s="323"/>
      <c r="R11" s="517"/>
      <c r="S11" s="517"/>
    </row>
    <row r="12" spans="1:19" ht="12.75">
      <c r="A12" s="61"/>
      <c r="B12" s="62"/>
      <c r="C12" s="62"/>
      <c r="D12" s="63" t="s">
        <v>24</v>
      </c>
      <c r="E12" s="64">
        <v>10</v>
      </c>
      <c r="F12" s="199">
        <f t="shared" si="2"/>
        <v>0</v>
      </c>
      <c r="G12" s="609"/>
      <c r="H12" s="84"/>
      <c r="I12" s="85"/>
      <c r="J12" s="306"/>
      <c r="K12" s="85"/>
      <c r="L12" s="86"/>
      <c r="M12" s="87"/>
      <c r="N12" s="418"/>
      <c r="O12" s="428"/>
      <c r="P12" s="87"/>
      <c r="Q12" s="323"/>
      <c r="R12" s="517"/>
      <c r="S12" s="517"/>
    </row>
    <row r="13" spans="1:19" ht="12.75">
      <c r="A13" s="61"/>
      <c r="B13" s="62"/>
      <c r="C13" s="62"/>
      <c r="D13" s="63" t="s">
        <v>25</v>
      </c>
      <c r="E13" s="64">
        <v>11</v>
      </c>
      <c r="F13" s="199">
        <f t="shared" si="2"/>
        <v>0</v>
      </c>
      <c r="G13" s="609"/>
      <c r="H13" s="84"/>
      <c r="I13" s="85"/>
      <c r="J13" s="306"/>
      <c r="K13" s="85"/>
      <c r="L13" s="86"/>
      <c r="M13" s="87"/>
      <c r="N13" s="418"/>
      <c r="O13" s="428"/>
      <c r="P13" s="850"/>
      <c r="Q13" s="323"/>
      <c r="R13" s="517"/>
      <c r="S13" s="517"/>
    </row>
    <row r="14" spans="1:19" ht="12.75">
      <c r="A14" s="61"/>
      <c r="B14" s="62"/>
      <c r="C14" s="62"/>
      <c r="D14" s="63" t="s">
        <v>26</v>
      </c>
      <c r="E14" s="64">
        <v>12</v>
      </c>
      <c r="F14" s="199">
        <f t="shared" si="2"/>
        <v>0</v>
      </c>
      <c r="G14" s="609"/>
      <c r="H14" s="84"/>
      <c r="I14" s="85"/>
      <c r="J14" s="306"/>
      <c r="K14" s="85"/>
      <c r="L14" s="86"/>
      <c r="M14" s="87"/>
      <c r="N14" s="418"/>
      <c r="O14" s="428"/>
      <c r="P14" s="87"/>
      <c r="Q14" s="323"/>
      <c r="R14" s="517"/>
      <c r="S14" s="517"/>
    </row>
    <row r="15" spans="1:19" ht="12.75">
      <c r="A15" s="61"/>
      <c r="B15" s="62"/>
      <c r="C15" s="63"/>
      <c r="D15" s="63" t="s">
        <v>27</v>
      </c>
      <c r="E15" s="64">
        <v>13</v>
      </c>
      <c r="F15" s="199">
        <f t="shared" si="2"/>
        <v>1180</v>
      </c>
      <c r="G15" s="609">
        <v>1180</v>
      </c>
      <c r="H15" s="84"/>
      <c r="I15" s="85"/>
      <c r="J15" s="306"/>
      <c r="K15" s="242"/>
      <c r="L15" s="86"/>
      <c r="M15" s="87"/>
      <c r="N15" s="418"/>
      <c r="O15" s="428"/>
      <c r="P15" s="87"/>
      <c r="Q15" s="323"/>
      <c r="R15" s="517"/>
      <c r="S15" s="517"/>
    </row>
    <row r="16" spans="1:19" ht="12.75">
      <c r="A16" s="21"/>
      <c r="B16" s="30" t="s">
        <v>28</v>
      </c>
      <c r="C16" s="27"/>
      <c r="D16" s="27"/>
      <c r="E16" s="28">
        <v>14</v>
      </c>
      <c r="F16" s="119">
        <f t="shared" si="2"/>
        <v>0</v>
      </c>
      <c r="G16" s="596"/>
      <c r="H16" s="89"/>
      <c r="I16" s="90"/>
      <c r="J16" s="307"/>
      <c r="K16" s="90"/>
      <c r="L16" s="91"/>
      <c r="M16" s="119"/>
      <c r="N16" s="419"/>
      <c r="O16" s="412"/>
      <c r="P16" s="92"/>
      <c r="Q16" s="157"/>
      <c r="R16" s="72"/>
      <c r="S16" s="72"/>
    </row>
    <row r="17" spans="1:19" ht="12.75">
      <c r="A17" s="21"/>
      <c r="B17" s="30" t="s">
        <v>30</v>
      </c>
      <c r="C17" s="27"/>
      <c r="D17" s="27"/>
      <c r="E17" s="28">
        <v>15</v>
      </c>
      <c r="F17" s="119">
        <f t="shared" si="2"/>
        <v>0</v>
      </c>
      <c r="G17" s="596"/>
      <c r="H17" s="89"/>
      <c r="I17" s="90"/>
      <c r="J17" s="307"/>
      <c r="K17" s="90"/>
      <c r="L17" s="91"/>
      <c r="M17" s="119"/>
      <c r="N17" s="419"/>
      <c r="O17" s="412"/>
      <c r="P17" s="92"/>
      <c r="Q17" s="157"/>
      <c r="R17" s="72"/>
      <c r="S17" s="72"/>
    </row>
    <row r="18" spans="1:19" ht="12.75">
      <c r="A18" s="21"/>
      <c r="B18" s="31" t="s">
        <v>32</v>
      </c>
      <c r="C18" s="32"/>
      <c r="D18" s="32"/>
      <c r="E18" s="33">
        <v>16</v>
      </c>
      <c r="F18" s="119">
        <f t="shared" si="2"/>
        <v>0</v>
      </c>
      <c r="G18" s="596"/>
      <c r="H18" s="89"/>
      <c r="I18" s="90"/>
      <c r="J18" s="307"/>
      <c r="K18" s="90"/>
      <c r="L18" s="91"/>
      <c r="M18" s="119">
        <f>M32</f>
        <v>0</v>
      </c>
      <c r="N18" s="419"/>
      <c r="O18" s="412">
        <f aca="true" t="shared" si="3" ref="O18:O26">IF(F18=0,0,N18/F18)</f>
        <v>0</v>
      </c>
      <c r="P18" s="92">
        <f>P32</f>
        <v>0</v>
      </c>
      <c r="Q18" s="157"/>
      <c r="R18" s="72"/>
      <c r="S18" s="72"/>
    </row>
    <row r="19" spans="1:19" ht="12.75">
      <c r="A19" s="21"/>
      <c r="B19" s="31" t="s">
        <v>34</v>
      </c>
      <c r="C19" s="32"/>
      <c r="D19" s="32"/>
      <c r="E19" s="33">
        <v>17</v>
      </c>
      <c r="F19" s="119">
        <f t="shared" si="2"/>
        <v>0</v>
      </c>
      <c r="G19" s="596"/>
      <c r="H19" s="89"/>
      <c r="I19" s="90"/>
      <c r="J19" s="307"/>
      <c r="K19" s="90"/>
      <c r="L19" s="91"/>
      <c r="M19" s="119">
        <f>M33</f>
        <v>0</v>
      </c>
      <c r="N19" s="419"/>
      <c r="O19" s="412">
        <f t="shared" si="3"/>
        <v>0</v>
      </c>
      <c r="P19" s="92">
        <f>P33</f>
        <v>0</v>
      </c>
      <c r="Q19" s="157"/>
      <c r="R19" s="72"/>
      <c r="S19" s="72"/>
    </row>
    <row r="20" spans="1:19" ht="12.75">
      <c r="A20" s="21"/>
      <c r="B20" s="31" t="s">
        <v>36</v>
      </c>
      <c r="C20" s="31"/>
      <c r="D20" s="31"/>
      <c r="E20" s="33">
        <v>18</v>
      </c>
      <c r="F20" s="119">
        <f t="shared" si="2"/>
        <v>0</v>
      </c>
      <c r="G20" s="596"/>
      <c r="H20" s="89"/>
      <c r="I20" s="90"/>
      <c r="J20" s="307"/>
      <c r="K20" s="90"/>
      <c r="L20" s="91"/>
      <c r="M20" s="92"/>
      <c r="N20" s="419"/>
      <c r="O20" s="412">
        <f t="shared" si="3"/>
        <v>0</v>
      </c>
      <c r="P20" s="92">
        <f>P35</f>
        <v>0</v>
      </c>
      <c r="Q20" s="157"/>
      <c r="R20" s="72"/>
      <c r="S20" s="72"/>
    </row>
    <row r="21" spans="1:19" ht="12.75">
      <c r="A21" s="628"/>
      <c r="B21" s="629" t="s">
        <v>175</v>
      </c>
      <c r="C21" s="629"/>
      <c r="D21" s="629"/>
      <c r="E21" s="630">
        <v>19</v>
      </c>
      <c r="F21" s="631">
        <f t="shared" si="2"/>
        <v>2662</v>
      </c>
      <c r="G21" s="643">
        <v>2662</v>
      </c>
      <c r="H21" s="644"/>
      <c r="I21" s="645"/>
      <c r="J21" s="646"/>
      <c r="K21" s="645"/>
      <c r="L21" s="647"/>
      <c r="M21" s="631"/>
      <c r="N21" s="637"/>
      <c r="O21" s="638">
        <f t="shared" si="3"/>
        <v>0</v>
      </c>
      <c r="P21" s="631">
        <f>P36</f>
        <v>0</v>
      </c>
      <c r="Q21" s="639"/>
      <c r="R21" s="51"/>
      <c r="S21" s="51"/>
    </row>
    <row r="22" spans="1:19" ht="12.75">
      <c r="A22" s="21"/>
      <c r="B22" s="31" t="s">
        <v>40</v>
      </c>
      <c r="C22" s="31"/>
      <c r="D22" s="31"/>
      <c r="E22" s="33">
        <v>20</v>
      </c>
      <c r="F22" s="119">
        <f t="shared" si="2"/>
        <v>0</v>
      </c>
      <c r="G22" s="596"/>
      <c r="H22" s="89"/>
      <c r="I22" s="90"/>
      <c r="J22" s="307"/>
      <c r="K22" s="90"/>
      <c r="L22" s="91"/>
      <c r="M22" s="92"/>
      <c r="N22" s="419"/>
      <c r="O22" s="412">
        <f t="shared" si="3"/>
        <v>0</v>
      </c>
      <c r="P22" s="92">
        <f>P37</f>
        <v>0</v>
      </c>
      <c r="Q22" s="157"/>
      <c r="R22" s="72"/>
      <c r="S22" s="72"/>
    </row>
    <row r="23" spans="1:19" ht="12.75">
      <c r="A23" s="21"/>
      <c r="B23" s="31" t="s">
        <v>42</v>
      </c>
      <c r="C23" s="31"/>
      <c r="D23" s="31"/>
      <c r="E23" s="33">
        <v>21</v>
      </c>
      <c r="F23" s="119">
        <f t="shared" si="2"/>
        <v>0</v>
      </c>
      <c r="G23" s="596"/>
      <c r="H23" s="89"/>
      <c r="I23" s="90"/>
      <c r="J23" s="307"/>
      <c r="K23" s="90"/>
      <c r="L23" s="91"/>
      <c r="M23" s="119">
        <f>M39</f>
        <v>0</v>
      </c>
      <c r="N23" s="419"/>
      <c r="O23" s="412">
        <f t="shared" si="3"/>
        <v>0</v>
      </c>
      <c r="P23" s="92">
        <f>P39</f>
        <v>0</v>
      </c>
      <c r="Q23" s="157"/>
      <c r="R23" s="72"/>
      <c r="S23" s="72"/>
    </row>
    <row r="24" spans="1:19" ht="12.75">
      <c r="A24" s="21"/>
      <c r="B24" s="31" t="s">
        <v>43</v>
      </c>
      <c r="C24" s="31"/>
      <c r="D24" s="31"/>
      <c r="E24" s="33">
        <v>22</v>
      </c>
      <c r="F24" s="119">
        <f t="shared" si="2"/>
        <v>0</v>
      </c>
      <c r="G24" s="596"/>
      <c r="H24" s="89"/>
      <c r="I24" s="90"/>
      <c r="J24" s="307"/>
      <c r="K24" s="90"/>
      <c r="L24" s="91"/>
      <c r="M24" s="119">
        <f>M40</f>
        <v>0</v>
      </c>
      <c r="N24" s="419"/>
      <c r="O24" s="412">
        <f t="shared" si="3"/>
        <v>0</v>
      </c>
      <c r="P24" s="92">
        <f>P40</f>
        <v>0</v>
      </c>
      <c r="Q24" s="157"/>
      <c r="R24" s="72"/>
      <c r="S24" s="72"/>
    </row>
    <row r="25" spans="1:19" ht="12.75">
      <c r="A25" s="628"/>
      <c r="B25" s="629" t="s">
        <v>186</v>
      </c>
      <c r="C25" s="629"/>
      <c r="D25" s="629"/>
      <c r="E25" s="630">
        <v>23</v>
      </c>
      <c r="F25" s="631">
        <f t="shared" si="2"/>
        <v>30514</v>
      </c>
      <c r="G25" s="643">
        <v>30514</v>
      </c>
      <c r="H25" s="644"/>
      <c r="I25" s="645"/>
      <c r="J25" s="646"/>
      <c r="K25" s="645"/>
      <c r="L25" s="647"/>
      <c r="M25" s="631"/>
      <c r="N25" s="637"/>
      <c r="O25" s="638">
        <f t="shared" si="3"/>
        <v>0</v>
      </c>
      <c r="P25" s="631">
        <f>P41</f>
        <v>0</v>
      </c>
      <c r="Q25" s="639"/>
      <c r="R25" s="51"/>
      <c r="S25" s="51"/>
    </row>
    <row r="26" spans="1:19" ht="12.75">
      <c r="A26" s="21"/>
      <c r="B26" s="31" t="s">
        <v>45</v>
      </c>
      <c r="C26" s="31"/>
      <c r="D26" s="31"/>
      <c r="E26" s="33">
        <v>24</v>
      </c>
      <c r="F26" s="119">
        <f t="shared" si="2"/>
        <v>0</v>
      </c>
      <c r="G26" s="596"/>
      <c r="H26" s="89"/>
      <c r="I26" s="90"/>
      <c r="J26" s="307"/>
      <c r="K26" s="90"/>
      <c r="L26" s="91"/>
      <c r="M26" s="92"/>
      <c r="N26" s="419"/>
      <c r="O26" s="412">
        <f t="shared" si="3"/>
        <v>0</v>
      </c>
      <c r="P26" s="92">
        <f>P42</f>
        <v>0</v>
      </c>
      <c r="Q26" s="157"/>
      <c r="R26" s="72"/>
      <c r="S26" s="72"/>
    </row>
    <row r="27" spans="1:19" ht="13.5" thickBot="1">
      <c r="A27" s="21"/>
      <c r="B27" s="30" t="s">
        <v>47</v>
      </c>
      <c r="C27" s="30"/>
      <c r="D27" s="30"/>
      <c r="E27" s="28">
        <v>25</v>
      </c>
      <c r="F27" s="119">
        <f t="shared" si="2"/>
        <v>0</v>
      </c>
      <c r="G27" s="596"/>
      <c r="H27" s="89"/>
      <c r="I27" s="90"/>
      <c r="J27" s="307"/>
      <c r="K27" s="160"/>
      <c r="L27" s="91"/>
      <c r="M27" s="92"/>
      <c r="N27" s="419"/>
      <c r="O27" s="412"/>
      <c r="P27" s="100"/>
      <c r="Q27" s="157"/>
      <c r="R27" s="72"/>
      <c r="S27" s="72"/>
    </row>
    <row r="28" spans="1:19" ht="13.5" thickBot="1">
      <c r="A28" s="37" t="s">
        <v>49</v>
      </c>
      <c r="B28" s="38"/>
      <c r="C28" s="38"/>
      <c r="D28" s="38"/>
      <c r="E28" s="19">
        <v>26</v>
      </c>
      <c r="F28" s="197">
        <f>SUM(F29:F45)</f>
        <v>34356</v>
      </c>
      <c r="G28" s="597">
        <f aca="true" t="shared" si="4" ref="G28:L28">SUM(G29:G45)</f>
        <v>34356</v>
      </c>
      <c r="H28" s="125">
        <f t="shared" si="4"/>
        <v>0</v>
      </c>
      <c r="I28" s="77">
        <f t="shared" si="4"/>
        <v>0</v>
      </c>
      <c r="J28" s="304">
        <f t="shared" si="4"/>
        <v>0</v>
      </c>
      <c r="K28" s="77">
        <f t="shared" si="4"/>
        <v>0</v>
      </c>
      <c r="L28" s="76">
        <f t="shared" si="4"/>
        <v>0</v>
      </c>
      <c r="M28" s="471">
        <f>SUM(M29:M45)</f>
        <v>0</v>
      </c>
      <c r="N28" s="471">
        <f>SUM(N29:N45)</f>
        <v>0</v>
      </c>
      <c r="O28" s="413">
        <f>IF(F28=0,0,N28/F28)</f>
        <v>0</v>
      </c>
      <c r="P28" s="78">
        <f>SUM(P29:P45)</f>
        <v>0</v>
      </c>
      <c r="Q28" s="78">
        <f>SUM(Q29:Q45)</f>
        <v>0</v>
      </c>
      <c r="R28" s="72"/>
      <c r="S28" s="72"/>
    </row>
    <row r="29" spans="1:19" ht="12.75">
      <c r="A29" s="21" t="s">
        <v>14</v>
      </c>
      <c r="B29" s="27" t="s">
        <v>50</v>
      </c>
      <c r="C29" s="27"/>
      <c r="D29" s="27"/>
      <c r="E29" s="28">
        <v>27</v>
      </c>
      <c r="F29" s="119">
        <f t="shared" si="2"/>
        <v>0</v>
      </c>
      <c r="G29" s="594"/>
      <c r="H29" s="112"/>
      <c r="I29" s="81"/>
      <c r="J29" s="305"/>
      <c r="K29" s="81"/>
      <c r="L29" s="80"/>
      <c r="M29" s="82"/>
      <c r="N29" s="417"/>
      <c r="O29" s="410">
        <f>IF(F29=0,0,N29/F29)</f>
        <v>0</v>
      </c>
      <c r="P29" s="82">
        <f>F29</f>
        <v>0</v>
      </c>
      <c r="Q29" s="564"/>
      <c r="R29" s="72"/>
      <c r="S29" s="72"/>
    </row>
    <row r="30" spans="1:19" ht="12.75">
      <c r="A30" s="21"/>
      <c r="B30" s="30" t="s">
        <v>28</v>
      </c>
      <c r="C30" s="30"/>
      <c r="D30" s="30"/>
      <c r="E30" s="28">
        <v>28</v>
      </c>
      <c r="F30" s="119">
        <f t="shared" si="2"/>
        <v>0</v>
      </c>
      <c r="G30" s="499"/>
      <c r="H30" s="126"/>
      <c r="I30" s="95"/>
      <c r="J30" s="308"/>
      <c r="K30" s="95"/>
      <c r="L30" s="94"/>
      <c r="M30" s="96"/>
      <c r="N30" s="420"/>
      <c r="O30" s="414">
        <f>IF(F30=0,0,N30/F30)</f>
        <v>0</v>
      </c>
      <c r="P30" s="96">
        <f>F30</f>
        <v>0</v>
      </c>
      <c r="Q30" s="230"/>
      <c r="R30" s="72"/>
      <c r="S30" s="72"/>
    </row>
    <row r="31" spans="1:19" ht="12.75">
      <c r="A31" s="21"/>
      <c r="B31" s="30" t="s">
        <v>30</v>
      </c>
      <c r="C31" s="30"/>
      <c r="D31" s="30"/>
      <c r="E31" s="28">
        <v>29</v>
      </c>
      <c r="F31" s="119">
        <f t="shared" si="2"/>
        <v>0</v>
      </c>
      <c r="G31" s="499"/>
      <c r="H31" s="126"/>
      <c r="I31" s="95"/>
      <c r="J31" s="308"/>
      <c r="K31" s="95"/>
      <c r="L31" s="94"/>
      <c r="M31" s="96"/>
      <c r="N31" s="420"/>
      <c r="O31" s="414"/>
      <c r="P31" s="96"/>
      <c r="Q31" s="230"/>
      <c r="R31" s="72"/>
      <c r="S31" s="72"/>
    </row>
    <row r="32" spans="1:19" ht="12.75">
      <c r="A32" s="21"/>
      <c r="B32" s="31" t="s">
        <v>32</v>
      </c>
      <c r="C32" s="32"/>
      <c r="D32" s="32"/>
      <c r="E32" s="33">
        <v>30</v>
      </c>
      <c r="F32" s="119">
        <f t="shared" si="2"/>
        <v>0</v>
      </c>
      <c r="G32" s="499"/>
      <c r="H32" s="126"/>
      <c r="I32" s="95"/>
      <c r="J32" s="308"/>
      <c r="K32" s="95"/>
      <c r="L32" s="94"/>
      <c r="M32" s="96"/>
      <c r="N32" s="420"/>
      <c r="O32" s="414"/>
      <c r="P32" s="96"/>
      <c r="Q32" s="230"/>
      <c r="R32" s="72"/>
      <c r="S32" s="72"/>
    </row>
    <row r="33" spans="1:19" ht="12.75">
      <c r="A33" s="21"/>
      <c r="B33" s="31" t="s">
        <v>34</v>
      </c>
      <c r="C33" s="31"/>
      <c r="D33" s="31"/>
      <c r="E33" s="33">
        <v>31</v>
      </c>
      <c r="F33" s="119">
        <f t="shared" si="2"/>
        <v>0</v>
      </c>
      <c r="G33" s="499"/>
      <c r="H33" s="126"/>
      <c r="I33" s="95"/>
      <c r="J33" s="308"/>
      <c r="K33" s="95"/>
      <c r="L33" s="94"/>
      <c r="M33" s="96"/>
      <c r="N33" s="420"/>
      <c r="O33" s="414"/>
      <c r="P33" s="96"/>
      <c r="Q33" s="230"/>
      <c r="R33" s="72"/>
      <c r="S33" s="72"/>
    </row>
    <row r="34" spans="1:19" ht="12.75">
      <c r="A34" s="21"/>
      <c r="B34" s="31" t="s">
        <v>52</v>
      </c>
      <c r="C34" s="31"/>
      <c r="D34" s="31"/>
      <c r="E34" s="33">
        <v>32</v>
      </c>
      <c r="F34" s="119">
        <f t="shared" si="2"/>
        <v>0</v>
      </c>
      <c r="G34" s="499"/>
      <c r="H34" s="126"/>
      <c r="I34" s="95"/>
      <c r="J34" s="308"/>
      <c r="K34" s="95"/>
      <c r="L34" s="94"/>
      <c r="M34" s="96"/>
      <c r="N34" s="420"/>
      <c r="O34" s="414"/>
      <c r="P34" s="96"/>
      <c r="Q34" s="230"/>
      <c r="R34" s="72"/>
      <c r="S34" s="72"/>
    </row>
    <row r="35" spans="1:19" ht="12.75">
      <c r="A35" s="21"/>
      <c r="B35" s="31" t="s">
        <v>36</v>
      </c>
      <c r="C35" s="31"/>
      <c r="D35" s="31"/>
      <c r="E35" s="33">
        <v>33</v>
      </c>
      <c r="F35" s="119">
        <f t="shared" si="2"/>
        <v>0</v>
      </c>
      <c r="G35" s="499"/>
      <c r="H35" s="126"/>
      <c r="I35" s="95"/>
      <c r="J35" s="308"/>
      <c r="K35" s="95"/>
      <c r="L35" s="94"/>
      <c r="M35" s="96"/>
      <c r="N35" s="420"/>
      <c r="O35" s="414"/>
      <c r="P35" s="96"/>
      <c r="Q35" s="230"/>
      <c r="R35" s="72"/>
      <c r="S35" s="72"/>
    </row>
    <row r="36" spans="1:19" ht="12.75">
      <c r="A36" s="628"/>
      <c r="B36" s="629" t="s">
        <v>175</v>
      </c>
      <c r="C36" s="629"/>
      <c r="D36" s="629"/>
      <c r="E36" s="630">
        <v>34</v>
      </c>
      <c r="F36" s="631">
        <f t="shared" si="2"/>
        <v>2662</v>
      </c>
      <c r="G36" s="649">
        <f>G21</f>
        <v>2662</v>
      </c>
      <c r="H36" s="633"/>
      <c r="I36" s="634"/>
      <c r="J36" s="635"/>
      <c r="K36" s="634"/>
      <c r="L36" s="636"/>
      <c r="M36" s="632"/>
      <c r="N36" s="641"/>
      <c r="O36" s="734"/>
      <c r="P36" s="632"/>
      <c r="Q36" s="642"/>
      <c r="R36" s="51"/>
      <c r="S36" s="51"/>
    </row>
    <row r="37" spans="1:19" ht="12.75">
      <c r="A37" s="21"/>
      <c r="B37" s="31" t="s">
        <v>54</v>
      </c>
      <c r="C37" s="31"/>
      <c r="D37" s="31"/>
      <c r="E37" s="33">
        <v>35</v>
      </c>
      <c r="F37" s="119">
        <f t="shared" si="2"/>
        <v>0</v>
      </c>
      <c r="G37" s="499"/>
      <c r="H37" s="126"/>
      <c r="I37" s="95"/>
      <c r="J37" s="308"/>
      <c r="K37" s="95"/>
      <c r="L37" s="94"/>
      <c r="M37" s="96"/>
      <c r="N37" s="420"/>
      <c r="O37" s="414"/>
      <c r="P37" s="96"/>
      <c r="Q37" s="230"/>
      <c r="R37" s="72"/>
      <c r="S37" s="72"/>
    </row>
    <row r="38" spans="1:19" ht="12.75">
      <c r="A38" s="21"/>
      <c r="B38" s="31" t="s">
        <v>170</v>
      </c>
      <c r="C38" s="31"/>
      <c r="D38" s="31"/>
      <c r="E38" s="33">
        <v>36</v>
      </c>
      <c r="F38" s="119">
        <f t="shared" si="2"/>
        <v>0</v>
      </c>
      <c r="G38" s="499"/>
      <c r="H38" s="126"/>
      <c r="I38" s="95"/>
      <c r="J38" s="308"/>
      <c r="K38" s="95"/>
      <c r="L38" s="94"/>
      <c r="M38" s="96"/>
      <c r="N38" s="420"/>
      <c r="O38" s="414"/>
      <c r="P38" s="96"/>
      <c r="Q38" s="230"/>
      <c r="R38" s="72"/>
      <c r="S38" s="72"/>
    </row>
    <row r="39" spans="1:19" ht="12.75">
      <c r="A39" s="21"/>
      <c r="B39" s="31" t="s">
        <v>56</v>
      </c>
      <c r="C39" s="31"/>
      <c r="D39" s="31"/>
      <c r="E39" s="33">
        <v>37</v>
      </c>
      <c r="F39" s="119">
        <f t="shared" si="2"/>
        <v>0</v>
      </c>
      <c r="G39" s="499"/>
      <c r="H39" s="126"/>
      <c r="I39" s="95"/>
      <c r="J39" s="308"/>
      <c r="K39" s="95"/>
      <c r="L39" s="94"/>
      <c r="M39" s="96"/>
      <c r="N39" s="420"/>
      <c r="O39" s="414"/>
      <c r="P39" s="96"/>
      <c r="Q39" s="230"/>
      <c r="R39" s="72"/>
      <c r="S39" s="72"/>
    </row>
    <row r="40" spans="1:19" ht="12.75">
      <c r="A40" s="21"/>
      <c r="B40" s="31" t="s">
        <v>57</v>
      </c>
      <c r="C40" s="31"/>
      <c r="D40" s="31"/>
      <c r="E40" s="33">
        <v>38</v>
      </c>
      <c r="F40" s="119">
        <f t="shared" si="2"/>
        <v>0</v>
      </c>
      <c r="G40" s="499"/>
      <c r="H40" s="126"/>
      <c r="I40" s="95"/>
      <c r="J40" s="308"/>
      <c r="K40" s="95"/>
      <c r="L40" s="94"/>
      <c r="M40" s="96"/>
      <c r="N40" s="420"/>
      <c r="O40" s="414"/>
      <c r="P40" s="96"/>
      <c r="Q40" s="230"/>
      <c r="R40" s="72"/>
      <c r="S40" s="72"/>
    </row>
    <row r="41" spans="1:19" ht="12.75">
      <c r="A41" s="628"/>
      <c r="B41" s="629" t="s">
        <v>186</v>
      </c>
      <c r="C41" s="629"/>
      <c r="D41" s="629"/>
      <c r="E41" s="630">
        <v>39</v>
      </c>
      <c r="F41" s="631">
        <f t="shared" si="2"/>
        <v>30514</v>
      </c>
      <c r="G41" s="649">
        <f>G25</f>
        <v>30514</v>
      </c>
      <c r="H41" s="633"/>
      <c r="I41" s="634"/>
      <c r="J41" s="635"/>
      <c r="K41" s="634"/>
      <c r="L41" s="636"/>
      <c r="M41" s="632"/>
      <c r="N41" s="641"/>
      <c r="O41" s="734"/>
      <c r="P41" s="632"/>
      <c r="Q41" s="642"/>
      <c r="R41" s="51"/>
      <c r="S41" s="51"/>
    </row>
    <row r="42" spans="1:19" ht="12.75">
      <c r="A42" s="21"/>
      <c r="B42" s="31" t="s">
        <v>58</v>
      </c>
      <c r="C42" s="31"/>
      <c r="D42" s="31"/>
      <c r="E42" s="33">
        <v>40</v>
      </c>
      <c r="F42" s="119">
        <f t="shared" si="2"/>
        <v>0</v>
      </c>
      <c r="G42" s="499"/>
      <c r="H42" s="126"/>
      <c r="I42" s="95"/>
      <c r="J42" s="308"/>
      <c r="K42" s="95"/>
      <c r="L42" s="94"/>
      <c r="M42" s="96"/>
      <c r="N42" s="420"/>
      <c r="O42" s="414"/>
      <c r="P42" s="96"/>
      <c r="Q42" s="230"/>
      <c r="R42" s="72"/>
      <c r="S42" s="72"/>
    </row>
    <row r="43" spans="1:19" ht="12.75">
      <c r="A43" s="21"/>
      <c r="B43" s="31" t="s">
        <v>59</v>
      </c>
      <c r="C43" s="31"/>
      <c r="D43" s="31"/>
      <c r="E43" s="33">
        <v>41</v>
      </c>
      <c r="F43" s="119">
        <f t="shared" si="2"/>
        <v>1180</v>
      </c>
      <c r="G43" s="499">
        <f>G15</f>
        <v>1180</v>
      </c>
      <c r="H43" s="126"/>
      <c r="I43" s="95"/>
      <c r="J43" s="308"/>
      <c r="K43" s="95"/>
      <c r="L43" s="94"/>
      <c r="M43" s="96"/>
      <c r="N43" s="420"/>
      <c r="O43" s="414"/>
      <c r="P43" s="96"/>
      <c r="Q43" s="230"/>
      <c r="R43" s="72"/>
      <c r="S43" s="72"/>
    </row>
    <row r="44" spans="1:19" ht="12.75">
      <c r="A44" s="21"/>
      <c r="B44" s="31" t="s">
        <v>60</v>
      </c>
      <c r="C44" s="31"/>
      <c r="D44" s="31"/>
      <c r="E44" s="33">
        <v>42</v>
      </c>
      <c r="F44" s="119">
        <f t="shared" si="2"/>
        <v>0</v>
      </c>
      <c r="G44" s="612"/>
      <c r="H44" s="126"/>
      <c r="I44" s="95"/>
      <c r="J44" s="308"/>
      <c r="K44" s="95"/>
      <c r="L44" s="94"/>
      <c r="M44" s="96"/>
      <c r="N44" s="420"/>
      <c r="O44" s="414"/>
      <c r="P44" s="96"/>
      <c r="Q44" s="230"/>
      <c r="R44" s="72"/>
      <c r="S44" s="72"/>
    </row>
    <row r="45" spans="1:19" ht="12.75">
      <c r="A45" s="40"/>
      <c r="B45" s="41" t="s">
        <v>47</v>
      </c>
      <c r="C45" s="41"/>
      <c r="D45" s="41"/>
      <c r="E45" s="42">
        <v>43</v>
      </c>
      <c r="F45" s="200">
        <f t="shared" si="2"/>
        <v>0</v>
      </c>
      <c r="G45" s="500"/>
      <c r="H45" s="174"/>
      <c r="I45" s="99"/>
      <c r="J45" s="309"/>
      <c r="K45" s="99"/>
      <c r="L45" s="98"/>
      <c r="M45" s="100"/>
      <c r="N45" s="421"/>
      <c r="O45" s="415"/>
      <c r="P45" s="100"/>
      <c r="Q45" s="565"/>
      <c r="R45" s="72"/>
      <c r="S45" s="72"/>
    </row>
    <row r="46" spans="1:19" ht="13.5" thickBot="1">
      <c r="A46" s="44" t="s">
        <v>61</v>
      </c>
      <c r="B46" s="45"/>
      <c r="C46" s="45"/>
      <c r="D46" s="45"/>
      <c r="E46" s="28">
        <v>44</v>
      </c>
      <c r="F46" s="201">
        <f>F29+F34+F38+F43+F44+F45-F4-F27</f>
        <v>0</v>
      </c>
      <c r="G46" s="613">
        <f>G29+G34+G38+G43+G45-G4-G27</f>
        <v>0</v>
      </c>
      <c r="H46" s="102">
        <f>H29+H34+H38+H43+H44+H45-H4-H27</f>
        <v>0</v>
      </c>
      <c r="I46" s="102">
        <f>I29+I34+I38+I43+I44+I45-I4-I27</f>
        <v>0</v>
      </c>
      <c r="J46" s="102">
        <f>J29+J34+J38+J43+J44+J45-J4-J27</f>
        <v>0</v>
      </c>
      <c r="K46" s="320"/>
      <c r="L46" s="102">
        <f>L29+L34+L38+L43+L44+L45-L4-L27</f>
        <v>0</v>
      </c>
      <c r="M46" s="103"/>
      <c r="N46" s="422">
        <f>N29+N34+N38+N43+N44+N45-N4-N27</f>
        <v>0</v>
      </c>
      <c r="O46" s="416"/>
      <c r="P46" s="103">
        <f>P29+P34+P38+P43+P44+P45-P4-P27</f>
        <v>0</v>
      </c>
      <c r="Q46" s="103">
        <f>Q29+Q34+Q38+Q43+Q44+Q45-Q4-Q27</f>
        <v>0</v>
      </c>
      <c r="R46" s="72"/>
      <c r="S46" s="72"/>
    </row>
    <row r="47" spans="1:19" ht="13.5" thickBot="1">
      <c r="A47" s="37" t="s">
        <v>62</v>
      </c>
      <c r="B47" s="38"/>
      <c r="C47" s="38"/>
      <c r="D47" s="38"/>
      <c r="E47" s="19">
        <v>45</v>
      </c>
      <c r="F47" s="197">
        <f>F28-F3</f>
        <v>0</v>
      </c>
      <c r="G47" s="597">
        <f aca="true" t="shared" si="5" ref="G47:L47">G28-G3</f>
        <v>0</v>
      </c>
      <c r="H47" s="125">
        <f t="shared" si="5"/>
        <v>0</v>
      </c>
      <c r="I47" s="77">
        <f t="shared" si="5"/>
        <v>0</v>
      </c>
      <c r="J47" s="304">
        <f t="shared" si="5"/>
        <v>0</v>
      </c>
      <c r="K47" s="77">
        <f t="shared" si="5"/>
        <v>0</v>
      </c>
      <c r="L47" s="76">
        <f t="shared" si="5"/>
        <v>0</v>
      </c>
      <c r="M47" s="471">
        <f>M28-M3</f>
        <v>0</v>
      </c>
      <c r="N47" s="471">
        <f>N28-N3</f>
        <v>0</v>
      </c>
      <c r="O47" s="78"/>
      <c r="P47" s="78">
        <f>P28-P3</f>
        <v>0</v>
      </c>
      <c r="Q47" s="78">
        <f>Q28-Q3</f>
        <v>0</v>
      </c>
      <c r="R47" s="72"/>
      <c r="S47" s="72"/>
    </row>
  </sheetData>
  <mergeCells count="5">
    <mergeCell ref="A1:D1"/>
    <mergeCell ref="H1:L1"/>
    <mergeCell ref="R1:R2"/>
    <mergeCell ref="S1:S2"/>
    <mergeCell ref="C2:D2"/>
  </mergeCells>
  <printOptions/>
  <pageMargins left="0.75" right="0.75" top="0.45" bottom="0.41" header="0.28" footer="0.25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64"/>
  <sheetViews>
    <sheetView workbookViewId="0" topLeftCell="A1">
      <pane ySplit="3" topLeftCell="BM50" activePane="bottomLeft" state="frozen"/>
      <selection pane="topLeft" activeCell="D38" sqref="D38"/>
      <selection pane="bottomLeft" activeCell="D38" sqref="D38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60" bestFit="1" customWidth="1"/>
    <col min="6" max="6" width="9.625" style="47" bestFit="1" customWidth="1"/>
    <col min="7" max="7" width="9.625" style="59" bestFit="1" customWidth="1"/>
    <col min="8" max="11" width="8.00390625" style="59" customWidth="1"/>
    <col min="12" max="12" width="8.125" style="59" customWidth="1"/>
    <col min="13" max="13" width="9.625" style="59" hidden="1" customWidth="1"/>
    <col min="14" max="14" width="11.375" style="59" hidden="1" customWidth="1" collapsed="1"/>
    <col min="15" max="15" width="7.875" style="253" hidden="1" customWidth="1"/>
    <col min="16" max="16" width="9.625" style="0" hidden="1" customWidth="1"/>
    <col min="17" max="17" width="11.00390625" style="0" customWidth="1" collapsed="1"/>
    <col min="18" max="18" width="7.125" style="72" customWidth="1"/>
    <col min="19" max="19" width="6.00390625" style="72" customWidth="1"/>
  </cols>
  <sheetData>
    <row r="1" spans="1:19" ht="15.75" customHeight="1">
      <c r="A1" s="1046" t="s">
        <v>236</v>
      </c>
      <c r="B1" s="1047"/>
      <c r="C1" s="1047"/>
      <c r="D1" s="1048"/>
      <c r="E1" s="1"/>
      <c r="F1" s="543" t="s">
        <v>0</v>
      </c>
      <c r="G1" s="606" t="s">
        <v>2</v>
      </c>
      <c r="H1" s="1050" t="s">
        <v>3</v>
      </c>
      <c r="I1" s="1050"/>
      <c r="J1" s="1050"/>
      <c r="K1" s="1050"/>
      <c r="L1" s="1051"/>
      <c r="M1" s="181" t="s">
        <v>1</v>
      </c>
      <c r="N1" s="538" t="s">
        <v>4</v>
      </c>
      <c r="O1" s="67" t="s">
        <v>144</v>
      </c>
      <c r="P1" s="67" t="s">
        <v>145</v>
      </c>
      <c r="Q1" s="947" t="s">
        <v>4</v>
      </c>
      <c r="R1" s="1056" t="s">
        <v>190</v>
      </c>
      <c r="S1" s="1057" t="s">
        <v>188</v>
      </c>
    </row>
    <row r="2" spans="1:19" s="16" customFormat="1" ht="13.5" thickBot="1">
      <c r="A2" s="298" t="s">
        <v>127</v>
      </c>
      <c r="B2" s="7"/>
      <c r="C2" s="1052" t="s">
        <v>82</v>
      </c>
      <c r="D2" s="1053"/>
      <c r="E2" s="9" t="s">
        <v>5</v>
      </c>
      <c r="F2" s="544">
        <v>2011</v>
      </c>
      <c r="G2" s="607" t="s">
        <v>8</v>
      </c>
      <c r="H2" s="69" t="s">
        <v>9</v>
      </c>
      <c r="I2" s="70" t="s">
        <v>10</v>
      </c>
      <c r="J2" s="303" t="s">
        <v>11</v>
      </c>
      <c r="K2" s="248" t="s">
        <v>126</v>
      </c>
      <c r="L2" s="68" t="s">
        <v>12</v>
      </c>
      <c r="M2" s="544" t="s">
        <v>7</v>
      </c>
      <c r="N2" s="539">
        <v>2011</v>
      </c>
      <c r="O2" s="71"/>
      <c r="P2" s="71"/>
      <c r="Q2" s="948">
        <v>2010</v>
      </c>
      <c r="R2" s="1056"/>
      <c r="S2" s="1057"/>
    </row>
    <row r="3" spans="1:17" ht="13.5" thickBot="1">
      <c r="A3" s="17" t="s">
        <v>13</v>
      </c>
      <c r="B3" s="18"/>
      <c r="C3" s="18"/>
      <c r="D3" s="18"/>
      <c r="E3" s="19">
        <v>1</v>
      </c>
      <c r="F3" s="197">
        <f>SUM(F5:F27)</f>
        <v>211996</v>
      </c>
      <c r="G3" s="597">
        <f aca="true" t="shared" si="0" ref="G3:N3">SUM(G5:G27)</f>
        <v>211510</v>
      </c>
      <c r="H3" s="125">
        <f t="shared" si="0"/>
        <v>0</v>
      </c>
      <c r="I3" s="77">
        <f t="shared" si="0"/>
        <v>0</v>
      </c>
      <c r="J3" s="304">
        <f t="shared" si="0"/>
        <v>0</v>
      </c>
      <c r="K3" s="77">
        <f t="shared" si="0"/>
        <v>486</v>
      </c>
      <c r="L3" s="76">
        <f t="shared" si="0"/>
        <v>0</v>
      </c>
      <c r="M3" s="471">
        <f t="shared" si="0"/>
        <v>0</v>
      </c>
      <c r="N3" s="471">
        <f t="shared" si="0"/>
        <v>0</v>
      </c>
      <c r="O3" s="413">
        <f aca="true" t="shared" si="1" ref="O3:O17">IF(F3=0,0,N3/F3)</f>
        <v>0</v>
      </c>
      <c r="P3" s="78" t="e">
        <f>SUM(P5:P27)</f>
        <v>#DIV/0!</v>
      </c>
      <c r="Q3" s="588">
        <f>SUM(Q5:Q27)</f>
        <v>220348.96387</v>
      </c>
    </row>
    <row r="4" spans="1:19" s="25" customFormat="1" ht="12">
      <c r="A4" s="21" t="s">
        <v>14</v>
      </c>
      <c r="B4" s="22" t="s">
        <v>15</v>
      </c>
      <c r="C4" s="22"/>
      <c r="D4" s="22"/>
      <c r="E4" s="23">
        <v>2</v>
      </c>
      <c r="F4" s="198">
        <f>SUM(F5:F15)</f>
        <v>178041</v>
      </c>
      <c r="G4" s="594">
        <f aca="true" t="shared" si="2" ref="G4:N4">SUM(G5:G15)</f>
        <v>177638</v>
      </c>
      <c r="H4" s="112">
        <f t="shared" si="2"/>
        <v>0</v>
      </c>
      <c r="I4" s="81">
        <f t="shared" si="2"/>
        <v>0</v>
      </c>
      <c r="J4" s="305">
        <f t="shared" si="2"/>
        <v>0</v>
      </c>
      <c r="K4" s="81">
        <f t="shared" si="2"/>
        <v>403</v>
      </c>
      <c r="L4" s="80">
        <f t="shared" si="2"/>
        <v>0</v>
      </c>
      <c r="M4" s="82"/>
      <c r="N4" s="417">
        <f t="shared" si="2"/>
        <v>0</v>
      </c>
      <c r="O4" s="410">
        <f t="shared" si="1"/>
        <v>0</v>
      </c>
      <c r="P4" s="82" t="e">
        <f>SUM(P5:P15)</f>
        <v>#DIV/0!</v>
      </c>
      <c r="Q4" s="589">
        <f>SUM(Q5:Q15)</f>
        <v>187919.03315</v>
      </c>
      <c r="R4" s="72"/>
      <c r="S4" s="72"/>
    </row>
    <row r="5" spans="1:19" s="65" customFormat="1" ht="12">
      <c r="A5" s="61"/>
      <c r="B5" s="62"/>
      <c r="C5" s="62" t="s">
        <v>16</v>
      </c>
      <c r="D5" s="63" t="s">
        <v>17</v>
      </c>
      <c r="E5" s="64">
        <v>3</v>
      </c>
      <c r="F5" s="199">
        <f>SUM(G5:L5)</f>
        <v>40300</v>
      </c>
      <c r="G5" s="497">
        <v>40300</v>
      </c>
      <c r="H5" s="84"/>
      <c r="I5" s="85"/>
      <c r="J5" s="306"/>
      <c r="K5" s="85"/>
      <c r="L5" s="86"/>
      <c r="M5" s="87"/>
      <c r="N5" s="418"/>
      <c r="O5" s="428">
        <f t="shared" si="1"/>
        <v>0</v>
      </c>
      <c r="P5" s="850">
        <f>N5</f>
        <v>0</v>
      </c>
      <c r="Q5" s="966">
        <f>33465422/1000</f>
        <v>33465.422</v>
      </c>
      <c r="R5" s="517"/>
      <c r="S5" s="517"/>
    </row>
    <row r="6" spans="1:19" s="65" customFormat="1" ht="12">
      <c r="A6" s="61"/>
      <c r="B6" s="62"/>
      <c r="C6" s="62"/>
      <c r="D6" s="63" t="s">
        <v>18</v>
      </c>
      <c r="E6" s="64">
        <v>4</v>
      </c>
      <c r="F6" s="199">
        <f aca="true" t="shared" si="3" ref="F6:F45">SUM(G6:L6)</f>
        <v>1335</v>
      </c>
      <c r="G6" s="609">
        <v>1335</v>
      </c>
      <c r="H6" s="84"/>
      <c r="I6" s="85"/>
      <c r="J6" s="306"/>
      <c r="K6" s="85"/>
      <c r="L6" s="86"/>
      <c r="M6" s="87"/>
      <c r="N6" s="418"/>
      <c r="O6" s="428">
        <f t="shared" si="1"/>
        <v>0</v>
      </c>
      <c r="P6" s="850">
        <f>N6</f>
        <v>0</v>
      </c>
      <c r="Q6" s="966">
        <f>1001434/1000</f>
        <v>1001.434</v>
      </c>
      <c r="R6" s="517"/>
      <c r="S6" s="517"/>
    </row>
    <row r="7" spans="1:19" s="65" customFormat="1" ht="12">
      <c r="A7" s="61"/>
      <c r="B7" s="62"/>
      <c r="C7" s="62"/>
      <c r="D7" s="63" t="s">
        <v>19</v>
      </c>
      <c r="E7" s="64">
        <v>5</v>
      </c>
      <c r="F7" s="199">
        <f t="shared" si="3"/>
        <v>13299</v>
      </c>
      <c r="G7" s="609">
        <v>13299</v>
      </c>
      <c r="H7" s="84"/>
      <c r="I7" s="85"/>
      <c r="J7" s="306"/>
      <c r="K7" s="598"/>
      <c r="L7" s="86"/>
      <c r="M7" s="87"/>
      <c r="N7" s="418"/>
      <c r="O7" s="428">
        <f t="shared" si="1"/>
        <v>0</v>
      </c>
      <c r="P7" s="850">
        <f>N7</f>
        <v>0</v>
      </c>
      <c r="Q7" s="966">
        <f>12239323.46/1000</f>
        <v>12239.323460000001</v>
      </c>
      <c r="R7" s="517"/>
      <c r="S7" s="517"/>
    </row>
    <row r="8" spans="1:19" s="65" customFormat="1" ht="12">
      <c r="A8" s="61"/>
      <c r="B8" s="62"/>
      <c r="C8" s="62"/>
      <c r="D8" s="63" t="s">
        <v>20</v>
      </c>
      <c r="E8" s="64">
        <v>6</v>
      </c>
      <c r="F8" s="199">
        <f t="shared" si="3"/>
        <v>35790</v>
      </c>
      <c r="G8" s="609">
        <v>35790</v>
      </c>
      <c r="H8" s="84"/>
      <c r="I8" s="85"/>
      <c r="J8" s="306"/>
      <c r="K8" s="85"/>
      <c r="L8" s="86"/>
      <c r="M8" s="87"/>
      <c r="N8" s="418"/>
      <c r="O8" s="428">
        <f t="shared" si="1"/>
        <v>0</v>
      </c>
      <c r="P8" s="816" t="e">
        <f>N8/titl!$H$17*12</f>
        <v>#DIV/0!</v>
      </c>
      <c r="Q8" s="966">
        <f>34933752.88/1000</f>
        <v>34933.75288</v>
      </c>
      <c r="R8" s="517"/>
      <c r="S8" s="517"/>
    </row>
    <row r="9" spans="1:19" s="65" customFormat="1" ht="12">
      <c r="A9" s="61"/>
      <c r="B9" s="62"/>
      <c r="C9" s="62"/>
      <c r="D9" s="63" t="s">
        <v>21</v>
      </c>
      <c r="E9" s="64">
        <v>7</v>
      </c>
      <c r="F9" s="199">
        <f t="shared" si="3"/>
        <v>11740</v>
      </c>
      <c r="G9" s="609">
        <v>11740</v>
      </c>
      <c r="H9" s="84"/>
      <c r="I9" s="85"/>
      <c r="J9" s="306"/>
      <c r="K9" s="85"/>
      <c r="L9" s="86"/>
      <c r="M9" s="87"/>
      <c r="N9" s="418"/>
      <c r="O9" s="428">
        <f t="shared" si="1"/>
        <v>0</v>
      </c>
      <c r="P9" s="815" t="e">
        <f>N9/titl!$H$17*12</f>
        <v>#DIV/0!</v>
      </c>
      <c r="Q9" s="966">
        <f>25934134.19/1000</f>
        <v>25934.13419</v>
      </c>
      <c r="R9" s="517"/>
      <c r="S9" s="517"/>
    </row>
    <row r="10" spans="1:19" s="65" customFormat="1" ht="12">
      <c r="A10" s="61"/>
      <c r="B10" s="62"/>
      <c r="C10" s="62"/>
      <c r="D10" s="63" t="s">
        <v>22</v>
      </c>
      <c r="E10" s="64">
        <v>8</v>
      </c>
      <c r="F10" s="199">
        <f t="shared" si="3"/>
        <v>37000</v>
      </c>
      <c r="G10" s="609">
        <v>37000</v>
      </c>
      <c r="H10" s="84"/>
      <c r="I10" s="85"/>
      <c r="J10" s="306"/>
      <c r="K10" s="85"/>
      <c r="L10" s="86"/>
      <c r="M10" s="87"/>
      <c r="N10" s="418"/>
      <c r="O10" s="428">
        <f t="shared" si="1"/>
        <v>0</v>
      </c>
      <c r="P10" s="323" t="e">
        <f>N10/titl!$H$17*12</f>
        <v>#DIV/0!</v>
      </c>
      <c r="Q10" s="966">
        <f>36749829.45/1000</f>
        <v>36749.829450000005</v>
      </c>
      <c r="R10" s="517"/>
      <c r="S10" s="517"/>
    </row>
    <row r="11" spans="1:19" s="65" customFormat="1" ht="12">
      <c r="A11" s="61"/>
      <c r="B11" s="62"/>
      <c r="C11" s="62"/>
      <c r="D11" s="63" t="s">
        <v>23</v>
      </c>
      <c r="E11" s="64">
        <v>9</v>
      </c>
      <c r="F11" s="199">
        <f t="shared" si="3"/>
        <v>28000</v>
      </c>
      <c r="G11" s="609">
        <v>28000</v>
      </c>
      <c r="H11" s="84"/>
      <c r="I11" s="85"/>
      <c r="J11" s="306"/>
      <c r="K11" s="85"/>
      <c r="L11" s="86"/>
      <c r="M11" s="87"/>
      <c r="N11" s="418"/>
      <c r="O11" s="428">
        <f t="shared" si="1"/>
        <v>0</v>
      </c>
      <c r="P11" s="816" t="e">
        <f>N11/titl!$H$17*12</f>
        <v>#DIV/0!</v>
      </c>
      <c r="Q11" s="966">
        <f>31955214.7/1000</f>
        <v>31955.2147</v>
      </c>
      <c r="R11" s="517"/>
      <c r="S11" s="517"/>
    </row>
    <row r="12" spans="1:19" s="65" customFormat="1" ht="12">
      <c r="A12" s="61"/>
      <c r="B12" s="62"/>
      <c r="C12" s="62"/>
      <c r="D12" s="63" t="s">
        <v>24</v>
      </c>
      <c r="E12" s="64">
        <v>10</v>
      </c>
      <c r="F12" s="199">
        <f t="shared" si="3"/>
        <v>70</v>
      </c>
      <c r="G12" s="609">
        <v>70</v>
      </c>
      <c r="H12" s="84"/>
      <c r="I12" s="85"/>
      <c r="J12" s="306"/>
      <c r="K12" s="85"/>
      <c r="L12" s="86"/>
      <c r="M12" s="87"/>
      <c r="N12" s="418"/>
      <c r="O12" s="428">
        <f t="shared" si="1"/>
        <v>0</v>
      </c>
      <c r="P12" s="87" t="e">
        <f>N12/titl!$H$17*12</f>
        <v>#DIV/0!</v>
      </c>
      <c r="Q12" s="966">
        <f>57533/1000</f>
        <v>57.533</v>
      </c>
      <c r="R12" s="517"/>
      <c r="S12" s="517"/>
    </row>
    <row r="13" spans="1:19" s="65" customFormat="1" ht="12">
      <c r="A13" s="61"/>
      <c r="B13" s="62"/>
      <c r="C13" s="62"/>
      <c r="D13" s="63" t="s">
        <v>25</v>
      </c>
      <c r="E13" s="64">
        <v>11</v>
      </c>
      <c r="F13" s="199">
        <f t="shared" si="3"/>
        <v>13679</v>
      </c>
      <c r="G13" s="609">
        <v>13679</v>
      </c>
      <c r="H13" s="84"/>
      <c r="I13" s="85"/>
      <c r="J13" s="306"/>
      <c r="K13" s="85"/>
      <c r="L13" s="86"/>
      <c r="M13" s="87"/>
      <c r="N13" s="418"/>
      <c r="O13" s="428">
        <f t="shared" si="1"/>
        <v>0</v>
      </c>
      <c r="P13" s="850">
        <f>N13</f>
        <v>0</v>
      </c>
      <c r="Q13" s="966">
        <f>13505797.29/1000</f>
        <v>13505.797289999999</v>
      </c>
      <c r="R13" s="517"/>
      <c r="S13" s="517"/>
    </row>
    <row r="14" spans="1:19" s="65" customFormat="1" ht="12">
      <c r="A14" s="61"/>
      <c r="B14" s="62"/>
      <c r="C14" s="62"/>
      <c r="D14" s="63" t="s">
        <v>26</v>
      </c>
      <c r="E14" s="64">
        <v>12</v>
      </c>
      <c r="F14" s="199">
        <f t="shared" si="3"/>
        <v>0</v>
      </c>
      <c r="G14" s="609"/>
      <c r="H14" s="84"/>
      <c r="I14" s="85"/>
      <c r="J14" s="306"/>
      <c r="K14" s="85"/>
      <c r="L14" s="86"/>
      <c r="M14" s="87"/>
      <c r="N14" s="418"/>
      <c r="O14" s="428">
        <f t="shared" si="1"/>
        <v>0</v>
      </c>
      <c r="P14" s="87" t="e">
        <f>N14/titl!$H$17*12</f>
        <v>#DIV/0!</v>
      </c>
      <c r="Q14" s="966"/>
      <c r="R14" s="517"/>
      <c r="S14" s="517"/>
    </row>
    <row r="15" spans="1:19" s="65" customFormat="1" ht="12">
      <c r="A15" s="61"/>
      <c r="B15" s="62"/>
      <c r="C15" s="63"/>
      <c r="D15" s="63" t="s">
        <v>27</v>
      </c>
      <c r="E15" s="64">
        <v>13</v>
      </c>
      <c r="F15" s="199">
        <f t="shared" si="3"/>
        <v>-3172</v>
      </c>
      <c r="G15" s="609">
        <v>-3575</v>
      </c>
      <c r="H15" s="84"/>
      <c r="I15" s="85"/>
      <c r="J15" s="306"/>
      <c r="K15" s="242">
        <v>403</v>
      </c>
      <c r="L15" s="86"/>
      <c r="M15" s="87"/>
      <c r="N15" s="418"/>
      <c r="O15" s="428">
        <f t="shared" si="1"/>
        <v>0</v>
      </c>
      <c r="P15" s="87" t="e">
        <f>N15/titl!$H$17*12</f>
        <v>#DIV/0!</v>
      </c>
      <c r="Q15" s="966">
        <f>-1923407.82/1000</f>
        <v>-1923.4078200000001</v>
      </c>
      <c r="R15" s="517"/>
      <c r="S15" s="517"/>
    </row>
    <row r="16" spans="1:19" s="25" customFormat="1" ht="12">
      <c r="A16" s="21"/>
      <c r="B16" s="30" t="s">
        <v>28</v>
      </c>
      <c r="C16" s="27"/>
      <c r="D16" s="27"/>
      <c r="E16" s="28">
        <v>14</v>
      </c>
      <c r="F16" s="119">
        <f t="shared" si="3"/>
        <v>0</v>
      </c>
      <c r="G16" s="596"/>
      <c r="H16" s="89"/>
      <c r="I16" s="90"/>
      <c r="J16" s="307"/>
      <c r="K16" s="90"/>
      <c r="L16" s="91"/>
      <c r="M16" s="119">
        <f>M30</f>
        <v>0</v>
      </c>
      <c r="N16" s="419"/>
      <c r="O16" s="412">
        <f t="shared" si="1"/>
        <v>0</v>
      </c>
      <c r="P16" s="92">
        <f>P30</f>
        <v>0</v>
      </c>
      <c r="Q16" s="677"/>
      <c r="R16" s="72"/>
      <c r="S16" s="72"/>
    </row>
    <row r="17" spans="1:19" s="25" customFormat="1" ht="12">
      <c r="A17" s="21"/>
      <c r="B17" s="30" t="s">
        <v>30</v>
      </c>
      <c r="C17" s="27"/>
      <c r="D17" s="27"/>
      <c r="E17" s="28">
        <v>15</v>
      </c>
      <c r="F17" s="119">
        <f t="shared" si="3"/>
        <v>0</v>
      </c>
      <c r="G17" s="596"/>
      <c r="H17" s="89"/>
      <c r="I17" s="90"/>
      <c r="J17" s="307"/>
      <c r="K17" s="90"/>
      <c r="L17" s="91"/>
      <c r="M17" s="119">
        <f>M31</f>
        <v>0</v>
      </c>
      <c r="N17" s="419"/>
      <c r="O17" s="412">
        <f t="shared" si="1"/>
        <v>0</v>
      </c>
      <c r="P17" s="92">
        <f>P31</f>
        <v>0</v>
      </c>
      <c r="Q17" s="677">
        <f>437036/1000</f>
        <v>437.036</v>
      </c>
      <c r="R17" s="72"/>
      <c r="S17" s="72"/>
    </row>
    <row r="18" spans="1:19" s="25" customFormat="1" ht="12">
      <c r="A18" s="21"/>
      <c r="B18" s="31" t="s">
        <v>32</v>
      </c>
      <c r="C18" s="32"/>
      <c r="D18" s="32"/>
      <c r="E18" s="33">
        <v>16</v>
      </c>
      <c r="F18" s="119">
        <f t="shared" si="3"/>
        <v>0</v>
      </c>
      <c r="G18" s="596"/>
      <c r="H18" s="89"/>
      <c r="I18" s="90"/>
      <c r="J18" s="307"/>
      <c r="K18" s="90"/>
      <c r="L18" s="91"/>
      <c r="M18" s="119">
        <f>M32</f>
        <v>0</v>
      </c>
      <c r="N18" s="419"/>
      <c r="O18" s="412">
        <f aca="true" t="shared" si="4" ref="O18:O34">IF(F18=0,0,N18/F18)</f>
        <v>0</v>
      </c>
      <c r="P18" s="92">
        <f>P32</f>
        <v>0</v>
      </c>
      <c r="Q18" s="677"/>
      <c r="R18" s="72"/>
      <c r="S18" s="72"/>
    </row>
    <row r="19" spans="1:19" s="25" customFormat="1" ht="12">
      <c r="A19" s="21"/>
      <c r="B19" s="31" t="s">
        <v>34</v>
      </c>
      <c r="C19" s="32"/>
      <c r="D19" s="32"/>
      <c r="E19" s="33">
        <v>17</v>
      </c>
      <c r="F19" s="119">
        <f t="shared" si="3"/>
        <v>0</v>
      </c>
      <c r="G19" s="596"/>
      <c r="H19" s="89"/>
      <c r="I19" s="90"/>
      <c r="J19" s="307"/>
      <c r="K19" s="90"/>
      <c r="L19" s="91"/>
      <c r="M19" s="119">
        <f>M33</f>
        <v>0</v>
      </c>
      <c r="N19" s="419"/>
      <c r="O19" s="412">
        <f t="shared" si="4"/>
        <v>0</v>
      </c>
      <c r="P19" s="92">
        <f>P33</f>
        <v>0</v>
      </c>
      <c r="Q19" s="677"/>
      <c r="R19" s="72"/>
      <c r="S19" s="72"/>
    </row>
    <row r="20" spans="1:19" s="25" customFormat="1" ht="12">
      <c r="A20" s="21"/>
      <c r="B20" s="31" t="s">
        <v>36</v>
      </c>
      <c r="C20" s="31"/>
      <c r="D20" s="31"/>
      <c r="E20" s="33">
        <v>18</v>
      </c>
      <c r="F20" s="119">
        <f t="shared" si="3"/>
        <v>0</v>
      </c>
      <c r="G20" s="596"/>
      <c r="H20" s="89"/>
      <c r="I20" s="90"/>
      <c r="J20" s="307"/>
      <c r="K20" s="90"/>
      <c r="L20" s="91"/>
      <c r="M20" s="92"/>
      <c r="N20" s="419"/>
      <c r="O20" s="412">
        <f t="shared" si="4"/>
        <v>0</v>
      </c>
      <c r="P20" s="92">
        <f>P35</f>
        <v>0</v>
      </c>
      <c r="Q20" s="677"/>
      <c r="R20" s="72"/>
      <c r="S20" s="72"/>
    </row>
    <row r="21" spans="1:19" s="640" customFormat="1" ht="12">
      <c r="A21" s="628"/>
      <c r="B21" s="629" t="s">
        <v>175</v>
      </c>
      <c r="C21" s="629"/>
      <c r="D21" s="629"/>
      <c r="E21" s="630">
        <v>19</v>
      </c>
      <c r="F21" s="631">
        <f t="shared" si="3"/>
        <v>0</v>
      </c>
      <c r="G21" s="643"/>
      <c r="H21" s="644"/>
      <c r="I21" s="645"/>
      <c r="J21" s="646"/>
      <c r="K21" s="645"/>
      <c r="L21" s="647"/>
      <c r="M21" s="631"/>
      <c r="N21" s="637"/>
      <c r="O21" s="638">
        <f t="shared" si="4"/>
        <v>0</v>
      </c>
      <c r="P21" s="631">
        <f>P36</f>
        <v>0</v>
      </c>
      <c r="Q21" s="677"/>
      <c r="R21" s="51"/>
      <c r="S21" s="51"/>
    </row>
    <row r="22" spans="1:19" s="25" customFormat="1" ht="12">
      <c r="A22" s="21"/>
      <c r="B22" s="31" t="s">
        <v>40</v>
      </c>
      <c r="C22" s="31"/>
      <c r="D22" s="31"/>
      <c r="E22" s="33">
        <v>20</v>
      </c>
      <c r="F22" s="119">
        <f t="shared" si="3"/>
        <v>0</v>
      </c>
      <c r="G22" s="596"/>
      <c r="H22" s="89"/>
      <c r="I22" s="90"/>
      <c r="J22" s="307"/>
      <c r="K22" s="90"/>
      <c r="L22" s="91"/>
      <c r="M22" s="92"/>
      <c r="N22" s="419"/>
      <c r="O22" s="412">
        <f t="shared" si="4"/>
        <v>0</v>
      </c>
      <c r="P22" s="92">
        <f>P37</f>
        <v>0</v>
      </c>
      <c r="Q22" s="677"/>
      <c r="R22" s="72"/>
      <c r="S22" s="72"/>
    </row>
    <row r="23" spans="1:19" s="25" customFormat="1" ht="12">
      <c r="A23" s="21"/>
      <c r="B23" s="31" t="s">
        <v>42</v>
      </c>
      <c r="C23" s="31"/>
      <c r="D23" s="31"/>
      <c r="E23" s="33">
        <v>21</v>
      </c>
      <c r="F23" s="119">
        <f t="shared" si="3"/>
        <v>0</v>
      </c>
      <c r="G23" s="596"/>
      <c r="H23" s="89"/>
      <c r="I23" s="90"/>
      <c r="J23" s="307"/>
      <c r="K23" s="90"/>
      <c r="L23" s="91"/>
      <c r="M23" s="119">
        <f>M39</f>
        <v>0</v>
      </c>
      <c r="N23" s="419"/>
      <c r="O23" s="412">
        <f t="shared" si="4"/>
        <v>0</v>
      </c>
      <c r="P23" s="92">
        <f>P39</f>
        <v>0</v>
      </c>
      <c r="Q23" s="677"/>
      <c r="R23" s="72"/>
      <c r="S23" s="72"/>
    </row>
    <row r="24" spans="1:19" s="25" customFormat="1" ht="12">
      <c r="A24" s="21"/>
      <c r="B24" s="31" t="s">
        <v>43</v>
      </c>
      <c r="C24" s="31"/>
      <c r="D24" s="31"/>
      <c r="E24" s="33">
        <v>22</v>
      </c>
      <c r="F24" s="119">
        <f t="shared" si="3"/>
        <v>0</v>
      </c>
      <c r="G24" s="596"/>
      <c r="H24" s="89"/>
      <c r="I24" s="90"/>
      <c r="J24" s="307"/>
      <c r="K24" s="90"/>
      <c r="L24" s="91"/>
      <c r="M24" s="119">
        <f>M40</f>
        <v>0</v>
      </c>
      <c r="N24" s="419"/>
      <c r="O24" s="412">
        <f t="shared" si="4"/>
        <v>0</v>
      </c>
      <c r="P24" s="92">
        <f>P40</f>
        <v>0</v>
      </c>
      <c r="Q24" s="677"/>
      <c r="R24" s="72"/>
      <c r="S24" s="72"/>
    </row>
    <row r="25" spans="1:19" s="640" customFormat="1" ht="12">
      <c r="A25" s="628"/>
      <c r="B25" s="629" t="s">
        <v>186</v>
      </c>
      <c r="C25" s="629"/>
      <c r="D25" s="629"/>
      <c r="E25" s="630">
        <v>23</v>
      </c>
      <c r="F25" s="631">
        <f t="shared" si="3"/>
        <v>0</v>
      </c>
      <c r="G25" s="643"/>
      <c r="H25" s="644"/>
      <c r="I25" s="645"/>
      <c r="J25" s="646"/>
      <c r="K25" s="645"/>
      <c r="L25" s="647"/>
      <c r="M25" s="631"/>
      <c r="N25" s="637"/>
      <c r="O25" s="638">
        <f t="shared" si="4"/>
        <v>0</v>
      </c>
      <c r="P25" s="631">
        <f>P41</f>
        <v>0</v>
      </c>
      <c r="Q25" s="677"/>
      <c r="R25" s="51"/>
      <c r="S25" s="51"/>
    </row>
    <row r="26" spans="1:19" s="25" customFormat="1" ht="12">
      <c r="A26" s="21"/>
      <c r="B26" s="31" t="s">
        <v>45</v>
      </c>
      <c r="C26" s="31"/>
      <c r="D26" s="31"/>
      <c r="E26" s="33">
        <v>24</v>
      </c>
      <c r="F26" s="119">
        <f t="shared" si="3"/>
        <v>0</v>
      </c>
      <c r="G26" s="596"/>
      <c r="H26" s="89"/>
      <c r="I26" s="90"/>
      <c r="J26" s="307"/>
      <c r="K26" s="90"/>
      <c r="L26" s="91"/>
      <c r="M26" s="92"/>
      <c r="N26" s="419"/>
      <c r="O26" s="412">
        <f t="shared" si="4"/>
        <v>0</v>
      </c>
      <c r="P26" s="92">
        <f>P42</f>
        <v>0</v>
      </c>
      <c r="Q26" s="677"/>
      <c r="R26" s="72"/>
      <c r="S26" s="72"/>
    </row>
    <row r="27" spans="1:19" s="25" customFormat="1" ht="12.75" thickBot="1">
      <c r="A27" s="21"/>
      <c r="B27" s="30" t="s">
        <v>47</v>
      </c>
      <c r="C27" s="30"/>
      <c r="D27" s="30"/>
      <c r="E27" s="28">
        <v>25</v>
      </c>
      <c r="F27" s="119">
        <f t="shared" si="3"/>
        <v>33955</v>
      </c>
      <c r="G27" s="596">
        <v>33872</v>
      </c>
      <c r="H27" s="89"/>
      <c r="I27" s="90"/>
      <c r="J27" s="307"/>
      <c r="K27" s="160">
        <v>83</v>
      </c>
      <c r="L27" s="91"/>
      <c r="M27" s="92"/>
      <c r="N27" s="419"/>
      <c r="O27" s="412">
        <f t="shared" si="4"/>
        <v>0</v>
      </c>
      <c r="P27" s="100" t="e">
        <f>N27/titl!$H$17*12</f>
        <v>#DIV/0!</v>
      </c>
      <c r="Q27" s="677">
        <f>31992894.72/1000</f>
        <v>31992.89472</v>
      </c>
      <c r="R27" s="72"/>
      <c r="S27" s="72"/>
    </row>
    <row r="28" spans="1:17" ht="13.5" thickBot="1">
      <c r="A28" s="37" t="s">
        <v>49</v>
      </c>
      <c r="B28" s="38"/>
      <c r="C28" s="38"/>
      <c r="D28" s="38"/>
      <c r="E28" s="19">
        <v>26</v>
      </c>
      <c r="F28" s="197">
        <f>SUM(F29:F45)</f>
        <v>214873</v>
      </c>
      <c r="G28" s="597">
        <f aca="true" t="shared" si="5" ref="G28:L28">SUM(G29:G45)</f>
        <v>214387</v>
      </c>
      <c r="H28" s="125">
        <f t="shared" si="5"/>
        <v>0</v>
      </c>
      <c r="I28" s="77">
        <f t="shared" si="5"/>
        <v>0</v>
      </c>
      <c r="J28" s="304">
        <f t="shared" si="5"/>
        <v>0</v>
      </c>
      <c r="K28" s="77">
        <f t="shared" si="5"/>
        <v>486</v>
      </c>
      <c r="L28" s="76">
        <f t="shared" si="5"/>
        <v>0</v>
      </c>
      <c r="M28" s="471">
        <f>SUM(M29:M45)</f>
        <v>0</v>
      </c>
      <c r="N28" s="471">
        <f>SUM(N29:N45)</f>
        <v>0</v>
      </c>
      <c r="O28" s="413">
        <f t="shared" si="4"/>
        <v>0</v>
      </c>
      <c r="P28" s="78" t="e">
        <f>SUM(P29:P45)</f>
        <v>#DIV/0!</v>
      </c>
      <c r="Q28" s="588">
        <f>SUM(Q29:Q45)</f>
        <v>220474.26121000003</v>
      </c>
    </row>
    <row r="29" spans="1:19" s="25" customFormat="1" ht="12">
      <c r="A29" s="21" t="s">
        <v>14</v>
      </c>
      <c r="B29" s="27" t="s">
        <v>50</v>
      </c>
      <c r="C29" s="27"/>
      <c r="D29" s="27"/>
      <c r="E29" s="28">
        <v>27</v>
      </c>
      <c r="F29" s="119">
        <f t="shared" si="3"/>
        <v>0</v>
      </c>
      <c r="G29" s="594"/>
      <c r="H29" s="112"/>
      <c r="I29" s="81"/>
      <c r="J29" s="305"/>
      <c r="K29" s="81"/>
      <c r="L29" s="80"/>
      <c r="M29" s="82"/>
      <c r="N29" s="417"/>
      <c r="O29" s="410">
        <f t="shared" si="4"/>
        <v>0</v>
      </c>
      <c r="P29" s="82">
        <f>F29</f>
        <v>0</v>
      </c>
      <c r="Q29" s="964"/>
      <c r="R29" s="72"/>
      <c r="S29" s="72"/>
    </row>
    <row r="30" spans="1:19" s="25" customFormat="1" ht="12">
      <c r="A30" s="21"/>
      <c r="B30" s="30" t="s">
        <v>28</v>
      </c>
      <c r="C30" s="30"/>
      <c r="D30" s="30"/>
      <c r="E30" s="28">
        <v>28</v>
      </c>
      <c r="F30" s="119">
        <f t="shared" si="3"/>
        <v>0</v>
      </c>
      <c r="G30" s="499"/>
      <c r="H30" s="126"/>
      <c r="I30" s="95"/>
      <c r="J30" s="308"/>
      <c r="K30" s="95"/>
      <c r="L30" s="94"/>
      <c r="M30" s="96"/>
      <c r="N30" s="420"/>
      <c r="O30" s="414">
        <f t="shared" si="4"/>
        <v>0</v>
      </c>
      <c r="P30" s="96">
        <f>F30</f>
        <v>0</v>
      </c>
      <c r="Q30" s="710"/>
      <c r="R30" s="72"/>
      <c r="S30" s="72"/>
    </row>
    <row r="31" spans="1:19" s="25" customFormat="1" ht="12">
      <c r="A31" s="21"/>
      <c r="B31" s="30" t="s">
        <v>30</v>
      </c>
      <c r="C31" s="30"/>
      <c r="D31" s="30"/>
      <c r="E31" s="28">
        <v>29</v>
      </c>
      <c r="F31" s="119">
        <f t="shared" si="3"/>
        <v>0</v>
      </c>
      <c r="G31" s="499"/>
      <c r="H31" s="126"/>
      <c r="I31" s="95"/>
      <c r="J31" s="308"/>
      <c r="K31" s="95"/>
      <c r="L31" s="94"/>
      <c r="M31" s="96"/>
      <c r="N31" s="420"/>
      <c r="O31" s="414">
        <f t="shared" si="4"/>
        <v>0</v>
      </c>
      <c r="P31" s="96">
        <f>M31</f>
        <v>0</v>
      </c>
      <c r="Q31" s="710">
        <f>437036/1000</f>
        <v>437.036</v>
      </c>
      <c r="R31" s="72"/>
      <c r="S31" s="72"/>
    </row>
    <row r="32" spans="1:19" s="25" customFormat="1" ht="12">
      <c r="A32" s="21"/>
      <c r="B32" s="31" t="s">
        <v>32</v>
      </c>
      <c r="C32" s="32"/>
      <c r="D32" s="32"/>
      <c r="E32" s="33">
        <v>30</v>
      </c>
      <c r="F32" s="119">
        <f t="shared" si="3"/>
        <v>0</v>
      </c>
      <c r="G32" s="499"/>
      <c r="H32" s="126"/>
      <c r="I32" s="95"/>
      <c r="J32" s="308"/>
      <c r="K32" s="95"/>
      <c r="L32" s="94"/>
      <c r="M32" s="96"/>
      <c r="N32" s="420"/>
      <c r="O32" s="414">
        <f t="shared" si="4"/>
        <v>0</v>
      </c>
      <c r="P32" s="96">
        <f>F32</f>
        <v>0</v>
      </c>
      <c r="Q32" s="710"/>
      <c r="R32" s="72"/>
      <c r="S32" s="72"/>
    </row>
    <row r="33" spans="1:19" s="25" customFormat="1" ht="12">
      <c r="A33" s="21"/>
      <c r="B33" s="31" t="s">
        <v>34</v>
      </c>
      <c r="C33" s="31"/>
      <c r="D33" s="31"/>
      <c r="E33" s="33">
        <v>31</v>
      </c>
      <c r="F33" s="119">
        <f t="shared" si="3"/>
        <v>0</v>
      </c>
      <c r="G33" s="499"/>
      <c r="H33" s="126"/>
      <c r="I33" s="95"/>
      <c r="J33" s="308"/>
      <c r="K33" s="95"/>
      <c r="L33" s="94"/>
      <c r="M33" s="96"/>
      <c r="N33" s="420"/>
      <c r="O33" s="414">
        <f t="shared" si="4"/>
        <v>0</v>
      </c>
      <c r="P33" s="96">
        <f>F33</f>
        <v>0</v>
      </c>
      <c r="Q33" s="710"/>
      <c r="R33" s="72"/>
      <c r="S33" s="72"/>
    </row>
    <row r="34" spans="1:19" s="25" customFormat="1" ht="12">
      <c r="A34" s="21"/>
      <c r="B34" s="31" t="s">
        <v>52</v>
      </c>
      <c r="C34" s="31"/>
      <c r="D34" s="31"/>
      <c r="E34" s="33">
        <v>32</v>
      </c>
      <c r="F34" s="119">
        <f t="shared" si="3"/>
        <v>28133</v>
      </c>
      <c r="G34" s="499">
        <v>28133</v>
      </c>
      <c r="H34" s="126"/>
      <c r="I34" s="95"/>
      <c r="J34" s="308"/>
      <c r="K34" s="95"/>
      <c r="L34" s="94"/>
      <c r="M34" s="96"/>
      <c r="N34" s="420"/>
      <c r="O34" s="414">
        <f t="shared" si="4"/>
        <v>0</v>
      </c>
      <c r="P34" s="96">
        <f>M34</f>
        <v>0</v>
      </c>
      <c r="Q34" s="710">
        <f>38461173/1000</f>
        <v>38461.173</v>
      </c>
      <c r="R34" s="72"/>
      <c r="S34" s="72"/>
    </row>
    <row r="35" spans="1:19" s="25" customFormat="1" ht="12">
      <c r="A35" s="21"/>
      <c r="B35" s="31" t="s">
        <v>36</v>
      </c>
      <c r="C35" s="31"/>
      <c r="D35" s="31"/>
      <c r="E35" s="33">
        <v>33</v>
      </c>
      <c r="F35" s="119">
        <f t="shared" si="3"/>
        <v>0</v>
      </c>
      <c r="G35" s="499"/>
      <c r="H35" s="126"/>
      <c r="I35" s="95"/>
      <c r="J35" s="308"/>
      <c r="K35" s="95"/>
      <c r="L35" s="94"/>
      <c r="M35" s="96"/>
      <c r="N35" s="420"/>
      <c r="O35" s="414">
        <f aca="true" t="shared" si="6" ref="O35:O45">IF(F35=0,0,N35/F35)</f>
        <v>0</v>
      </c>
      <c r="P35" s="96">
        <f aca="true" t="shared" si="7" ref="P35:P42">F35</f>
        <v>0</v>
      </c>
      <c r="Q35" s="710"/>
      <c r="R35" s="72"/>
      <c r="S35" s="72"/>
    </row>
    <row r="36" spans="1:19" s="640" customFormat="1" ht="12">
      <c r="A36" s="628"/>
      <c r="B36" s="629" t="s">
        <v>175</v>
      </c>
      <c r="C36" s="629"/>
      <c r="D36" s="629"/>
      <c r="E36" s="630">
        <v>34</v>
      </c>
      <c r="F36" s="631">
        <f t="shared" si="3"/>
        <v>0</v>
      </c>
      <c r="G36" s="649"/>
      <c r="H36" s="633"/>
      <c r="I36" s="634"/>
      <c r="J36" s="635"/>
      <c r="K36" s="634"/>
      <c r="L36" s="636"/>
      <c r="M36" s="632"/>
      <c r="N36" s="641"/>
      <c r="O36" s="734">
        <f t="shared" si="6"/>
        <v>0</v>
      </c>
      <c r="P36" s="632">
        <f t="shared" si="7"/>
        <v>0</v>
      </c>
      <c r="Q36" s="710"/>
      <c r="R36" s="51"/>
      <c r="S36" s="51"/>
    </row>
    <row r="37" spans="1:19" s="25" customFormat="1" ht="12">
      <c r="A37" s="21"/>
      <c r="B37" s="31" t="s">
        <v>54</v>
      </c>
      <c r="C37" s="31"/>
      <c r="D37" s="31"/>
      <c r="E37" s="33">
        <v>35</v>
      </c>
      <c r="F37" s="119">
        <f t="shared" si="3"/>
        <v>0</v>
      </c>
      <c r="G37" s="499"/>
      <c r="H37" s="126"/>
      <c r="I37" s="95"/>
      <c r="J37" s="308"/>
      <c r="K37" s="95"/>
      <c r="L37" s="94"/>
      <c r="M37" s="96"/>
      <c r="N37" s="420"/>
      <c r="O37" s="414">
        <f t="shared" si="6"/>
        <v>0</v>
      </c>
      <c r="P37" s="96">
        <f t="shared" si="7"/>
        <v>0</v>
      </c>
      <c r="Q37" s="710">
        <f>50000/1000</f>
        <v>50</v>
      </c>
      <c r="R37" s="72"/>
      <c r="S37" s="72"/>
    </row>
    <row r="38" spans="1:19" s="25" customFormat="1" ht="12">
      <c r="A38" s="21"/>
      <c r="B38" s="31" t="s">
        <v>170</v>
      </c>
      <c r="C38" s="31"/>
      <c r="D38" s="31"/>
      <c r="E38" s="33">
        <v>36</v>
      </c>
      <c r="F38" s="119">
        <f t="shared" si="3"/>
        <v>0</v>
      </c>
      <c r="G38" s="499"/>
      <c r="H38" s="126"/>
      <c r="I38" s="95"/>
      <c r="J38" s="308"/>
      <c r="K38" s="95"/>
      <c r="L38" s="94"/>
      <c r="M38" s="96"/>
      <c r="N38" s="420"/>
      <c r="O38" s="414">
        <f t="shared" si="6"/>
        <v>0</v>
      </c>
      <c r="P38" s="96">
        <f t="shared" si="7"/>
        <v>0</v>
      </c>
      <c r="Q38" s="710"/>
      <c r="R38" s="72"/>
      <c r="S38" s="72"/>
    </row>
    <row r="39" spans="1:19" s="25" customFormat="1" ht="12">
      <c r="A39" s="21"/>
      <c r="B39" s="31" t="s">
        <v>56</v>
      </c>
      <c r="C39" s="31"/>
      <c r="D39" s="31"/>
      <c r="E39" s="33">
        <v>37</v>
      </c>
      <c r="F39" s="119">
        <f t="shared" si="3"/>
        <v>0</v>
      </c>
      <c r="G39" s="499"/>
      <c r="H39" s="126"/>
      <c r="I39" s="95"/>
      <c r="J39" s="308"/>
      <c r="K39" s="95"/>
      <c r="L39" s="94"/>
      <c r="M39" s="96"/>
      <c r="N39" s="420"/>
      <c r="O39" s="414">
        <f t="shared" si="6"/>
        <v>0</v>
      </c>
      <c r="P39" s="96">
        <f t="shared" si="7"/>
        <v>0</v>
      </c>
      <c r="Q39" s="710"/>
      <c r="R39" s="72"/>
      <c r="S39" s="72"/>
    </row>
    <row r="40" spans="1:19" s="25" customFormat="1" ht="12">
      <c r="A40" s="21"/>
      <c r="B40" s="31" t="s">
        <v>57</v>
      </c>
      <c r="C40" s="31"/>
      <c r="D40" s="31"/>
      <c r="E40" s="33">
        <v>38</v>
      </c>
      <c r="F40" s="119">
        <f t="shared" si="3"/>
        <v>0</v>
      </c>
      <c r="G40" s="499"/>
      <c r="H40" s="126"/>
      <c r="I40" s="95"/>
      <c r="J40" s="308"/>
      <c r="K40" s="95"/>
      <c r="L40" s="94"/>
      <c r="M40" s="96"/>
      <c r="N40" s="420"/>
      <c r="O40" s="414">
        <f t="shared" si="6"/>
        <v>0</v>
      </c>
      <c r="P40" s="96">
        <f t="shared" si="7"/>
        <v>0</v>
      </c>
      <c r="Q40" s="710"/>
      <c r="R40" s="72"/>
      <c r="S40" s="72"/>
    </row>
    <row r="41" spans="1:19" s="640" customFormat="1" ht="12">
      <c r="A41" s="628"/>
      <c r="B41" s="629" t="s">
        <v>186</v>
      </c>
      <c r="C41" s="629"/>
      <c r="D41" s="629"/>
      <c r="E41" s="630">
        <v>39</v>
      </c>
      <c r="F41" s="631">
        <f t="shared" si="3"/>
        <v>0</v>
      </c>
      <c r="G41" s="649"/>
      <c r="H41" s="633"/>
      <c r="I41" s="634"/>
      <c r="J41" s="635"/>
      <c r="K41" s="634"/>
      <c r="L41" s="636"/>
      <c r="M41" s="632"/>
      <c r="N41" s="641"/>
      <c r="O41" s="734">
        <f t="shared" si="6"/>
        <v>0</v>
      </c>
      <c r="P41" s="632">
        <f t="shared" si="7"/>
        <v>0</v>
      </c>
      <c r="Q41" s="710"/>
      <c r="R41" s="51"/>
      <c r="S41" s="51"/>
    </row>
    <row r="42" spans="1:19" s="25" customFormat="1" ht="12">
      <c r="A42" s="21"/>
      <c r="B42" s="31" t="s">
        <v>58</v>
      </c>
      <c r="C42" s="31"/>
      <c r="D42" s="31"/>
      <c r="E42" s="33">
        <v>40</v>
      </c>
      <c r="F42" s="119">
        <f t="shared" si="3"/>
        <v>0</v>
      </c>
      <c r="G42" s="499"/>
      <c r="H42" s="126"/>
      <c r="I42" s="95"/>
      <c r="J42" s="308"/>
      <c r="K42" s="95"/>
      <c r="L42" s="94"/>
      <c r="M42" s="96"/>
      <c r="N42" s="420"/>
      <c r="O42" s="414">
        <f t="shared" si="6"/>
        <v>0</v>
      </c>
      <c r="P42" s="96">
        <f t="shared" si="7"/>
        <v>0</v>
      </c>
      <c r="Q42" s="710"/>
      <c r="R42" s="72"/>
      <c r="S42" s="72"/>
    </row>
    <row r="43" spans="1:19" s="25" customFormat="1" ht="12">
      <c r="A43" s="21"/>
      <c r="B43" s="31" t="s">
        <v>59</v>
      </c>
      <c r="C43" s="31"/>
      <c r="D43" s="31"/>
      <c r="E43" s="33">
        <v>41</v>
      </c>
      <c r="F43" s="119">
        <f t="shared" si="3"/>
        <v>142429</v>
      </c>
      <c r="G43" s="499">
        <v>142429</v>
      </c>
      <c r="H43" s="126"/>
      <c r="I43" s="95"/>
      <c r="J43" s="308"/>
      <c r="K43" s="95"/>
      <c r="L43" s="94"/>
      <c r="M43" s="96"/>
      <c r="N43" s="420"/>
      <c r="O43" s="414">
        <f t="shared" si="6"/>
        <v>0</v>
      </c>
      <c r="P43" s="96" t="e">
        <f>N43/titl!H17*12</f>
        <v>#DIV/0!</v>
      </c>
      <c r="Q43" s="710">
        <f>138719275.86/1000</f>
        <v>138719.27586000002</v>
      </c>
      <c r="R43" s="72"/>
      <c r="S43" s="72"/>
    </row>
    <row r="44" spans="1:19" s="25" customFormat="1" ht="12">
      <c r="A44" s="21"/>
      <c r="B44" s="31" t="s">
        <v>60</v>
      </c>
      <c r="C44" s="31"/>
      <c r="D44" s="31"/>
      <c r="E44" s="33">
        <v>42</v>
      </c>
      <c r="F44" s="119">
        <f t="shared" si="3"/>
        <v>486</v>
      </c>
      <c r="G44" s="612"/>
      <c r="H44" s="126"/>
      <c r="I44" s="95"/>
      <c r="J44" s="308"/>
      <c r="K44" s="95">
        <v>486</v>
      </c>
      <c r="L44" s="94"/>
      <c r="M44" s="96"/>
      <c r="N44" s="420"/>
      <c r="O44" s="414">
        <f t="shared" si="6"/>
        <v>0</v>
      </c>
      <c r="P44" s="96">
        <f>N44</f>
        <v>0</v>
      </c>
      <c r="Q44" s="710">
        <f>618411.28/1000</f>
        <v>618.41128</v>
      </c>
      <c r="R44" s="72"/>
      <c r="S44" s="72"/>
    </row>
    <row r="45" spans="1:19" s="25" customFormat="1" ht="12.75" thickBot="1">
      <c r="A45" s="40"/>
      <c r="B45" s="41" t="s">
        <v>47</v>
      </c>
      <c r="C45" s="41"/>
      <c r="D45" s="41"/>
      <c r="E45" s="42">
        <v>43</v>
      </c>
      <c r="F45" s="200">
        <f t="shared" si="3"/>
        <v>43825</v>
      </c>
      <c r="G45" s="500">
        <v>43825</v>
      </c>
      <c r="H45" s="174"/>
      <c r="I45" s="99"/>
      <c r="J45" s="309"/>
      <c r="K45" s="99"/>
      <c r="L45" s="98"/>
      <c r="M45" s="100"/>
      <c r="N45" s="421"/>
      <c r="O45" s="415">
        <f t="shared" si="6"/>
        <v>0</v>
      </c>
      <c r="P45" s="100" t="e">
        <f>N45/titl!$H$17*12</f>
        <v>#DIV/0!</v>
      </c>
      <c r="Q45" s="965">
        <f>42188365.07/1000</f>
        <v>42188.36507</v>
      </c>
      <c r="R45" s="72"/>
      <c r="S45" s="72"/>
    </row>
    <row r="46" spans="1:19" s="25" customFormat="1" ht="12.75" hidden="1" thickBot="1">
      <c r="A46" s="44" t="s">
        <v>61</v>
      </c>
      <c r="B46" s="45"/>
      <c r="C46" s="45"/>
      <c r="D46" s="45"/>
      <c r="E46" s="28">
        <v>44</v>
      </c>
      <c r="F46" s="201">
        <f>F29+F34+F38+F43+F44+F45-F4-F27</f>
        <v>2877</v>
      </c>
      <c r="G46" s="613">
        <f>G29+G34+G38+G43+G45-G4-G27</f>
        <v>2877</v>
      </c>
      <c r="H46" s="102">
        <f>H29+H34+H38+H43+H44+H45-H4-H27</f>
        <v>0</v>
      </c>
      <c r="I46" s="102">
        <f>I29+I34+I38+I43+I44+I45-I4-I27</f>
        <v>0</v>
      </c>
      <c r="J46" s="102">
        <f>J29+J34+J38+J43+J44+J45-J4-J27</f>
        <v>0</v>
      </c>
      <c r="K46" s="320"/>
      <c r="L46" s="102">
        <f>L29+L34+L38+L43+L44+L45-L4-L27</f>
        <v>0</v>
      </c>
      <c r="M46" s="103"/>
      <c r="N46" s="422">
        <f>N29+N34+N38+N43+N44+N45-N4-N27</f>
        <v>0</v>
      </c>
      <c r="O46" s="416"/>
      <c r="P46" s="103" t="e">
        <f>P29+P34+P38+P43+P44+P45-P4-P27</f>
        <v>#DIV/0!</v>
      </c>
      <c r="Q46" s="593">
        <f>Q29+Q34+Q38+Q43+Q44+Q45-Q4-Q27</f>
        <v>75.29734000003009</v>
      </c>
      <c r="R46" s="72"/>
      <c r="S46" s="72"/>
    </row>
    <row r="47" spans="1:17" ht="13.5" thickBot="1">
      <c r="A47" s="37" t="s">
        <v>62</v>
      </c>
      <c r="B47" s="38"/>
      <c r="C47" s="38"/>
      <c r="D47" s="38"/>
      <c r="E47" s="19">
        <v>45</v>
      </c>
      <c r="F47" s="197">
        <f>F28-F3</f>
        <v>2877</v>
      </c>
      <c r="G47" s="597">
        <f aca="true" t="shared" si="8" ref="G47:L47">G28-G3</f>
        <v>2877</v>
      </c>
      <c r="H47" s="125">
        <f t="shared" si="8"/>
        <v>0</v>
      </c>
      <c r="I47" s="77">
        <f t="shared" si="8"/>
        <v>0</v>
      </c>
      <c r="J47" s="304">
        <f t="shared" si="8"/>
        <v>0</v>
      </c>
      <c r="K47" s="77">
        <f t="shared" si="8"/>
        <v>0</v>
      </c>
      <c r="L47" s="76">
        <f t="shared" si="8"/>
        <v>0</v>
      </c>
      <c r="M47" s="471">
        <f>M28-M3</f>
        <v>0</v>
      </c>
      <c r="N47" s="471">
        <f>N28-N3</f>
        <v>0</v>
      </c>
      <c r="O47" s="78"/>
      <c r="P47" s="78" t="e">
        <f>P28-P3</f>
        <v>#DIV/0!</v>
      </c>
      <c r="Q47" s="588">
        <f>Q28-Q3</f>
        <v>125.29734000001918</v>
      </c>
    </row>
    <row r="48" spans="1:5" ht="12.75">
      <c r="A48" s="47"/>
      <c r="B48" s="47"/>
      <c r="C48" s="47"/>
      <c r="D48" s="47"/>
      <c r="E48" s="48"/>
    </row>
    <row r="49" spans="5:19" s="47" customFormat="1" ht="11.25">
      <c r="E49" s="48"/>
      <c r="G49" s="59"/>
      <c r="H49" s="59"/>
      <c r="I49" s="59"/>
      <c r="J49" s="59"/>
      <c r="K49" s="59"/>
      <c r="L49" s="59"/>
      <c r="M49" s="59"/>
      <c r="N49" s="59"/>
      <c r="O49" s="253"/>
      <c r="R49" s="72"/>
      <c r="S49" s="72"/>
    </row>
    <row r="50" spans="1:19" s="47" customFormat="1" ht="11.25">
      <c r="A50" s="51" t="s">
        <v>166</v>
      </c>
      <c r="E50" s="48"/>
      <c r="F50" s="202"/>
      <c r="G50" s="59"/>
      <c r="I50" s="109"/>
      <c r="L50" s="59"/>
      <c r="M50" s="59"/>
      <c r="N50" s="59"/>
      <c r="O50" s="253"/>
      <c r="R50" s="72"/>
      <c r="S50" s="72"/>
    </row>
    <row r="51" spans="5:19" s="51" customFormat="1" ht="11.25" hidden="1">
      <c r="E51" s="53"/>
      <c r="G51" s="72"/>
      <c r="H51" s="72"/>
      <c r="I51" s="72"/>
      <c r="J51" s="72"/>
      <c r="K51" s="72"/>
      <c r="L51" s="72"/>
      <c r="M51" s="72"/>
      <c r="N51" s="72"/>
      <c r="O51" s="253"/>
      <c r="R51" s="72"/>
      <c r="S51" s="72"/>
    </row>
    <row r="52" spans="5:19" s="51" customFormat="1" ht="11.25" hidden="1">
      <c r="E52" s="53"/>
      <c r="G52" s="72"/>
      <c r="H52" s="72"/>
      <c r="I52" s="72"/>
      <c r="J52" s="72"/>
      <c r="K52" s="72"/>
      <c r="L52" s="72"/>
      <c r="M52" s="72"/>
      <c r="N52" s="72"/>
      <c r="O52" s="253"/>
      <c r="R52" s="72"/>
      <c r="S52" s="72"/>
    </row>
    <row r="53" spans="5:19" s="51" customFormat="1" ht="11.25" hidden="1">
      <c r="E53" s="53"/>
      <c r="G53" s="72"/>
      <c r="H53" s="72"/>
      <c r="I53" s="72"/>
      <c r="J53" s="72"/>
      <c r="K53" s="72"/>
      <c r="L53" s="72"/>
      <c r="M53" s="72"/>
      <c r="N53" s="72"/>
      <c r="O53" s="253"/>
      <c r="R53" s="72"/>
      <c r="S53" s="72"/>
    </row>
    <row r="54" spans="1:19" s="47" customFormat="1" ht="11.25" hidden="1">
      <c r="A54" s="51"/>
      <c r="B54" s="51"/>
      <c r="C54" s="51"/>
      <c r="D54" s="51"/>
      <c r="E54" s="48"/>
      <c r="G54" s="59"/>
      <c r="H54" s="59"/>
      <c r="I54" s="59"/>
      <c r="J54" s="59"/>
      <c r="K54" s="59"/>
      <c r="L54" s="59"/>
      <c r="M54" s="59"/>
      <c r="N54" s="59"/>
      <c r="O54" s="253"/>
      <c r="R54" s="72"/>
      <c r="S54" s="72"/>
    </row>
    <row r="55" spans="1:19" s="59" customFormat="1" ht="11.25" hidden="1">
      <c r="A55" s="51"/>
      <c r="B55" s="51"/>
      <c r="C55" s="51"/>
      <c r="D55" s="51"/>
      <c r="E55" s="57"/>
      <c r="F55" s="47"/>
      <c r="O55" s="253"/>
      <c r="R55" s="72"/>
      <c r="S55" s="72"/>
    </row>
    <row r="56" spans="1:19" s="59" customFormat="1" ht="11.25">
      <c r="A56" s="51"/>
      <c r="B56" s="51"/>
      <c r="C56" s="51"/>
      <c r="D56" s="51"/>
      <c r="E56" s="57"/>
      <c r="F56" s="47"/>
      <c r="O56" s="253"/>
      <c r="R56" s="72"/>
      <c r="S56" s="72"/>
    </row>
    <row r="57" spans="1:19" s="59" customFormat="1" ht="11.25">
      <c r="A57" s="51"/>
      <c r="B57" s="51"/>
      <c r="C57" s="51"/>
      <c r="D57" s="51"/>
      <c r="E57" s="57"/>
      <c r="F57" s="47"/>
      <c r="O57" s="253"/>
      <c r="R57" s="72"/>
      <c r="S57" s="72"/>
    </row>
    <row r="60" spans="2:19" s="59" customFormat="1" ht="11.25" hidden="1">
      <c r="B60" s="767" t="s">
        <v>191</v>
      </c>
      <c r="C60" s="340"/>
      <c r="D60" s="340"/>
      <c r="E60" s="817"/>
      <c r="F60" s="782"/>
      <c r="G60" s="340"/>
      <c r="H60" s="340"/>
      <c r="I60" s="340"/>
      <c r="J60" s="340"/>
      <c r="K60" s="340"/>
      <c r="L60" s="340"/>
      <c r="M60" s="340"/>
      <c r="N60" s="809"/>
      <c r="O60" s="797"/>
      <c r="P60" s="787" t="e">
        <f>N60/titl!$H$17*12</f>
        <v>#DIV/0!</v>
      </c>
      <c r="R60" s="72"/>
      <c r="S60" s="72"/>
    </row>
    <row r="61" spans="2:19" s="59" customFormat="1" ht="11.25" hidden="1">
      <c r="B61" s="818" t="s">
        <v>192</v>
      </c>
      <c r="C61" s="233"/>
      <c r="D61" s="233"/>
      <c r="E61" s="819"/>
      <c r="F61" s="783"/>
      <c r="G61" s="233"/>
      <c r="H61" s="233"/>
      <c r="I61" s="233"/>
      <c r="J61" s="233"/>
      <c r="K61" s="233"/>
      <c r="L61" s="233"/>
      <c r="M61" s="233"/>
      <c r="N61" s="537">
        <f>N43+N45-N60</f>
        <v>0</v>
      </c>
      <c r="O61" s="798"/>
      <c r="P61" s="799" t="e">
        <f>N61/titl!$H$17*12</f>
        <v>#DIV/0!</v>
      </c>
      <c r="R61" s="72"/>
      <c r="S61" s="72"/>
    </row>
    <row r="62" spans="2:19" s="59" customFormat="1" ht="11.25" hidden="1">
      <c r="B62" s="818" t="s">
        <v>193</v>
      </c>
      <c r="C62" s="233"/>
      <c r="D62" s="233"/>
      <c r="E62" s="819"/>
      <c r="F62" s="783"/>
      <c r="G62" s="233"/>
      <c r="H62" s="233"/>
      <c r="I62" s="233"/>
      <c r="J62" s="233"/>
      <c r="K62" s="233"/>
      <c r="L62" s="233"/>
      <c r="M62" s="233"/>
      <c r="N62" s="109"/>
      <c r="O62" s="798"/>
      <c r="P62" s="800"/>
      <c r="R62" s="72"/>
      <c r="S62" s="72"/>
    </row>
    <row r="63" spans="2:19" s="59" customFormat="1" ht="11.25" hidden="1">
      <c r="B63" s="818" t="s">
        <v>194</v>
      </c>
      <c r="C63" s="233"/>
      <c r="D63" s="233"/>
      <c r="E63" s="819"/>
      <c r="F63" s="783"/>
      <c r="G63" s="233"/>
      <c r="H63" s="233"/>
      <c r="I63" s="233"/>
      <c r="J63" s="233"/>
      <c r="K63" s="233"/>
      <c r="L63" s="233"/>
      <c r="M63" s="233"/>
      <c r="N63" s="537">
        <f>N61+N62</f>
        <v>0</v>
      </c>
      <c r="O63" s="798"/>
      <c r="P63" s="799" t="e">
        <f>N63/titl!$H$17*12</f>
        <v>#DIV/0!</v>
      </c>
      <c r="R63" s="72"/>
      <c r="S63" s="72"/>
    </row>
    <row r="64" spans="2:19" s="59" customFormat="1" ht="12" hidden="1" thickBot="1">
      <c r="B64" s="820" t="s">
        <v>195</v>
      </c>
      <c r="C64" s="785"/>
      <c r="D64" s="785"/>
      <c r="E64" s="821"/>
      <c r="F64" s="784"/>
      <c r="G64" s="785"/>
      <c r="H64" s="785"/>
      <c r="I64" s="785"/>
      <c r="J64" s="785"/>
      <c r="K64" s="785"/>
      <c r="L64" s="785"/>
      <c r="M64" s="785"/>
      <c r="N64" s="810">
        <f>N63*4%</f>
        <v>0</v>
      </c>
      <c r="O64" s="801"/>
      <c r="P64" s="802" t="e">
        <f>N64/titl!$H$17*12</f>
        <v>#DIV/0!</v>
      </c>
      <c r="R64" s="72"/>
      <c r="S64" s="72"/>
    </row>
  </sheetData>
  <mergeCells count="5">
    <mergeCell ref="S1:S2"/>
    <mergeCell ref="A1:D1"/>
    <mergeCell ref="H1:L1"/>
    <mergeCell ref="C2:D2"/>
    <mergeCell ref="R1:R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J64"/>
  <sheetViews>
    <sheetView workbookViewId="0" topLeftCell="A1">
      <pane xSplit="6" ySplit="5" topLeftCell="G8" activePane="bottomRight" state="frozen"/>
      <selection pane="topLeft" activeCell="D38" sqref="D38"/>
      <selection pane="topRight" activeCell="D38" sqref="D38"/>
      <selection pane="bottomLeft" activeCell="D38" sqref="D38"/>
      <selection pane="bottomRight" activeCell="D38" sqref="D38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60" bestFit="1" customWidth="1"/>
    <col min="6" max="6" width="7.75390625" style="47" customWidth="1"/>
    <col min="7" max="7" width="8.125" style="59" customWidth="1"/>
    <col min="8" max="8" width="6.125" style="59" customWidth="1"/>
    <col min="9" max="9" width="5.75390625" style="59" customWidth="1"/>
    <col min="10" max="10" width="5.625" style="59" customWidth="1"/>
    <col min="11" max="11" width="6.125" style="59" customWidth="1"/>
    <col min="12" max="12" width="5.25390625" style="59" customWidth="1"/>
    <col min="13" max="13" width="7.00390625" style="59" hidden="1" customWidth="1"/>
    <col min="14" max="14" width="10.875" style="59" hidden="1" customWidth="1" collapsed="1"/>
    <col min="15" max="15" width="8.25390625" style="59" hidden="1" customWidth="1"/>
    <col min="16" max="16" width="9.875" style="59" hidden="1" customWidth="1"/>
    <col min="17" max="17" width="9.125" style="59" customWidth="1" collapsed="1"/>
    <col min="18" max="18" width="4.375" style="255" customWidth="1"/>
    <col min="19" max="19" width="7.25390625" style="72" customWidth="1"/>
    <col min="20" max="20" width="6.875" style="72" customWidth="1"/>
    <col min="21" max="21" width="6.25390625" style="59" customWidth="1"/>
    <col min="22" max="22" width="5.125" style="59" customWidth="1"/>
    <col min="23" max="23" width="5.125" style="59" hidden="1" customWidth="1"/>
    <col min="24" max="24" width="5.00390625" style="59" hidden="1" customWidth="1"/>
    <col min="25" max="25" width="4.75390625" style="59" hidden="1" customWidth="1"/>
    <col min="26" max="26" width="6.75390625" style="59" customWidth="1"/>
    <col min="27" max="27" width="5.00390625" style="59" hidden="1" customWidth="1"/>
    <col min="28" max="28" width="5.125" style="59" hidden="1" customWidth="1"/>
    <col min="29" max="29" width="5.25390625" style="59" customWidth="1"/>
    <col min="30" max="30" width="5.00390625" style="59" customWidth="1"/>
    <col min="31" max="31" width="6.75390625" style="59" customWidth="1"/>
    <col min="32" max="32" width="2.125" style="59" customWidth="1"/>
    <col min="33" max="33" width="6.375" style="59" customWidth="1"/>
    <col min="34" max="35" width="6.125" style="59" customWidth="1"/>
    <col min="36" max="36" width="4.875" style="59" customWidth="1"/>
    <col min="37" max="37" width="5.625" style="59" bestFit="1" customWidth="1"/>
    <col min="38" max="38" width="5.625" style="59" customWidth="1"/>
    <col min="39" max="39" width="7.125" style="59" bestFit="1" customWidth="1"/>
    <col min="40" max="40" width="6.25390625" style="405" bestFit="1" customWidth="1"/>
    <col min="41" max="41" width="7.25390625" style="72" hidden="1" customWidth="1"/>
    <col min="42" max="42" width="6.875" style="72" hidden="1" customWidth="1"/>
    <col min="43" max="43" width="6.25390625" style="59" hidden="1" customWidth="1"/>
    <col min="44" max="47" width="4.375" style="59" hidden="1" customWidth="1"/>
    <col min="48" max="48" width="3.375" style="59" hidden="1" customWidth="1"/>
    <col min="49" max="49" width="6.25390625" style="59" hidden="1" customWidth="1"/>
    <col min="50" max="50" width="5.375" style="59" hidden="1" customWidth="1"/>
    <col min="51" max="52" width="4.375" style="59" hidden="1" customWidth="1"/>
    <col min="53" max="53" width="4.125" style="59" hidden="1" customWidth="1"/>
    <col min="54" max="54" width="6.875" style="59" hidden="1" customWidth="1"/>
    <col min="55" max="55" width="2.125" style="59" hidden="1" customWidth="1"/>
    <col min="56" max="56" width="6.375" style="59" hidden="1" customWidth="1"/>
    <col min="57" max="57" width="6.125" style="59" hidden="1" customWidth="1"/>
    <col min="58" max="60" width="5.625" style="59" hidden="1" customWidth="1"/>
    <col min="61" max="62" width="6.25390625" style="59" hidden="1" customWidth="1"/>
  </cols>
  <sheetData>
    <row r="1" spans="6:56" ht="12.75">
      <c r="F1" s="59"/>
      <c r="N1" s="243"/>
      <c r="R1" s="1062" t="s">
        <v>167</v>
      </c>
      <c r="S1" s="560" t="s">
        <v>0</v>
      </c>
      <c r="T1" s="561"/>
      <c r="U1" s="562"/>
      <c r="V1" s="562" t="s">
        <v>217</v>
      </c>
      <c r="W1" s="562"/>
      <c r="X1" s="562"/>
      <c r="Y1" s="562"/>
      <c r="Z1" s="562"/>
      <c r="AA1" s="562"/>
      <c r="AB1" s="562"/>
      <c r="AC1" s="562"/>
      <c r="AD1" s="562"/>
      <c r="AE1" s="562"/>
      <c r="AG1" s="560" t="s">
        <v>131</v>
      </c>
      <c r="AO1" s="243" t="s">
        <v>211</v>
      </c>
      <c r="AP1" s="561"/>
      <c r="AQ1" s="562"/>
      <c r="AR1" s="562"/>
      <c r="AS1" s="562"/>
      <c r="AT1" s="562"/>
      <c r="AU1" s="562"/>
      <c r="AV1" s="562"/>
      <c r="AW1" s="562"/>
      <c r="AX1" s="562"/>
      <c r="AY1" s="562"/>
      <c r="AZ1" s="562"/>
      <c r="BA1" s="562"/>
      <c r="BB1" s="562"/>
      <c r="BD1" s="243" t="s">
        <v>131</v>
      </c>
    </row>
    <row r="2" spans="1:62" ht="26.25" customHeight="1" thickBot="1">
      <c r="A2" s="299"/>
      <c r="F2" s="59"/>
      <c r="N2" s="540"/>
      <c r="O2" s="240"/>
      <c r="P2" s="240"/>
      <c r="Q2" s="240"/>
      <c r="R2" s="1062"/>
      <c r="S2" s="550" t="s">
        <v>168</v>
      </c>
      <c r="T2" s="550" t="s">
        <v>91</v>
      </c>
      <c r="U2" s="153" t="s">
        <v>92</v>
      </c>
      <c r="V2" s="153" t="s">
        <v>169</v>
      </c>
      <c r="W2" s="153" t="s">
        <v>187</v>
      </c>
      <c r="X2" s="153" t="s">
        <v>187</v>
      </c>
      <c r="Y2" s="153" t="s">
        <v>187</v>
      </c>
      <c r="Z2" s="153" t="s">
        <v>93</v>
      </c>
      <c r="AA2" s="153" t="s">
        <v>129</v>
      </c>
      <c r="AB2" s="153" t="s">
        <v>130</v>
      </c>
      <c r="AC2" s="153" t="s">
        <v>132</v>
      </c>
      <c r="AD2" s="153" t="s">
        <v>128</v>
      </c>
      <c r="AE2" s="153" t="s">
        <v>94</v>
      </c>
      <c r="AG2" s="140" t="s">
        <v>123</v>
      </c>
      <c r="AH2" s="140" t="s">
        <v>123</v>
      </c>
      <c r="AI2" s="140" t="s">
        <v>219</v>
      </c>
      <c r="AJ2" s="140" t="s">
        <v>123</v>
      </c>
      <c r="AK2" s="140" t="s">
        <v>123</v>
      </c>
      <c r="AL2" s="140" t="s">
        <v>123</v>
      </c>
      <c r="AM2" s="140" t="s">
        <v>123</v>
      </c>
      <c r="AO2" s="550" t="s">
        <v>168</v>
      </c>
      <c r="AP2" s="550" t="s">
        <v>91</v>
      </c>
      <c r="AQ2" s="153" t="s">
        <v>92</v>
      </c>
      <c r="AR2" s="153" t="s">
        <v>169</v>
      </c>
      <c r="AS2" s="153" t="s">
        <v>221</v>
      </c>
      <c r="AT2" s="153" t="s">
        <v>222</v>
      </c>
      <c r="AU2" s="153" t="s">
        <v>187</v>
      </c>
      <c r="AV2" s="153" t="s">
        <v>187</v>
      </c>
      <c r="AW2" s="153" t="s">
        <v>93</v>
      </c>
      <c r="AX2" s="153" t="s">
        <v>129</v>
      </c>
      <c r="AY2" s="153" t="s">
        <v>130</v>
      </c>
      <c r="AZ2" s="153" t="s">
        <v>132</v>
      </c>
      <c r="BA2" s="153" t="s">
        <v>128</v>
      </c>
      <c r="BB2" s="153" t="s">
        <v>94</v>
      </c>
      <c r="BD2" s="140" t="s">
        <v>123</v>
      </c>
      <c r="BE2" s="140" t="s">
        <v>123</v>
      </c>
      <c r="BF2" s="140" t="s">
        <v>123</v>
      </c>
      <c r="BG2" s="140" t="s">
        <v>123</v>
      </c>
      <c r="BH2" s="140" t="s">
        <v>123</v>
      </c>
      <c r="BI2" s="140" t="s">
        <v>123</v>
      </c>
      <c r="BJ2" s="140" t="s">
        <v>219</v>
      </c>
    </row>
    <row r="3" spans="1:62" ht="15.75" customHeight="1">
      <c r="A3" s="1046" t="s">
        <v>236</v>
      </c>
      <c r="B3" s="1047"/>
      <c r="C3" s="1047"/>
      <c r="D3" s="1048"/>
      <c r="E3" s="1"/>
      <c r="F3" s="543" t="s">
        <v>0</v>
      </c>
      <c r="G3" s="606" t="s">
        <v>2</v>
      </c>
      <c r="H3" s="1050" t="s">
        <v>3</v>
      </c>
      <c r="I3" s="1050"/>
      <c r="J3" s="1050"/>
      <c r="K3" s="1050"/>
      <c r="L3" s="1051"/>
      <c r="M3" s="181" t="s">
        <v>1</v>
      </c>
      <c r="N3" s="538" t="s">
        <v>4</v>
      </c>
      <c r="O3" s="67" t="s">
        <v>144</v>
      </c>
      <c r="P3" s="67" t="s">
        <v>145</v>
      </c>
      <c r="Q3" s="67" t="s">
        <v>4</v>
      </c>
      <c r="S3" s="551" t="s">
        <v>95</v>
      </c>
      <c r="T3" s="551" t="s">
        <v>96</v>
      </c>
      <c r="U3" s="141" t="s">
        <v>122</v>
      </c>
      <c r="V3" s="141">
        <v>1112</v>
      </c>
      <c r="W3" s="141">
        <v>1112</v>
      </c>
      <c r="X3" s="141">
        <v>1111</v>
      </c>
      <c r="Y3" s="141"/>
      <c r="Z3" s="141"/>
      <c r="AA3" s="141" t="s">
        <v>10</v>
      </c>
      <c r="AB3" s="141" t="s">
        <v>9</v>
      </c>
      <c r="AC3" s="141" t="s">
        <v>126</v>
      </c>
      <c r="AD3" s="141"/>
      <c r="AE3" s="141" t="s">
        <v>133</v>
      </c>
      <c r="AG3" s="141" t="s">
        <v>97</v>
      </c>
      <c r="AH3" s="141" t="s">
        <v>98</v>
      </c>
      <c r="AI3" s="141" t="s">
        <v>220</v>
      </c>
      <c r="AJ3" s="141" t="s">
        <v>112</v>
      </c>
      <c r="AK3" s="141" t="s">
        <v>99</v>
      </c>
      <c r="AL3" s="141" t="s">
        <v>103</v>
      </c>
      <c r="AM3" s="141" t="s">
        <v>114</v>
      </c>
      <c r="AO3" s="551" t="s">
        <v>95</v>
      </c>
      <c r="AP3" s="551" t="s">
        <v>96</v>
      </c>
      <c r="AQ3" s="141" t="s">
        <v>122</v>
      </c>
      <c r="AR3" s="141">
        <v>1112</v>
      </c>
      <c r="AS3" s="141">
        <v>1112</v>
      </c>
      <c r="AT3" s="141" t="s">
        <v>223</v>
      </c>
      <c r="AU3" s="141">
        <v>1111</v>
      </c>
      <c r="AV3" s="141"/>
      <c r="AW3" s="141"/>
      <c r="AX3" s="141" t="s">
        <v>10</v>
      </c>
      <c r="AY3" s="141" t="s">
        <v>9</v>
      </c>
      <c r="AZ3" s="141" t="s">
        <v>126</v>
      </c>
      <c r="BA3" s="141"/>
      <c r="BB3" s="141" t="s">
        <v>133</v>
      </c>
      <c r="BD3" s="141" t="s">
        <v>97</v>
      </c>
      <c r="BE3" s="141" t="s">
        <v>98</v>
      </c>
      <c r="BF3" s="141" t="s">
        <v>112</v>
      </c>
      <c r="BG3" s="141" t="s">
        <v>99</v>
      </c>
      <c r="BH3" s="141" t="s">
        <v>103</v>
      </c>
      <c r="BI3" s="141" t="s">
        <v>114</v>
      </c>
      <c r="BJ3" s="141" t="s">
        <v>106</v>
      </c>
    </row>
    <row r="4" spans="1:62" s="16" customFormat="1" ht="13.5" thickBot="1">
      <c r="A4" s="6" t="s">
        <v>71</v>
      </c>
      <c r="B4" s="7"/>
      <c r="C4" s="1052" t="s">
        <v>83</v>
      </c>
      <c r="D4" s="1053"/>
      <c r="E4" s="9" t="s">
        <v>5</v>
      </c>
      <c r="F4" s="544">
        <v>2011</v>
      </c>
      <c r="G4" s="607" t="s">
        <v>8</v>
      </c>
      <c r="H4" s="69" t="s">
        <v>9</v>
      </c>
      <c r="I4" s="70" t="s">
        <v>10</v>
      </c>
      <c r="J4" s="303" t="s">
        <v>11</v>
      </c>
      <c r="K4" s="248" t="s">
        <v>126</v>
      </c>
      <c r="L4" s="68" t="s">
        <v>12</v>
      </c>
      <c r="M4" s="544" t="s">
        <v>7</v>
      </c>
      <c r="N4" s="539">
        <v>2011</v>
      </c>
      <c r="O4" s="71"/>
      <c r="P4" s="71"/>
      <c r="Q4" s="71">
        <v>2010</v>
      </c>
      <c r="R4" s="255"/>
      <c r="S4" s="552">
        <v>1</v>
      </c>
      <c r="T4" s="552">
        <v>2</v>
      </c>
      <c r="U4" s="142">
        <v>3</v>
      </c>
      <c r="V4" s="142">
        <v>4</v>
      </c>
      <c r="W4" s="142"/>
      <c r="X4" s="142"/>
      <c r="Y4" s="142"/>
      <c r="Z4" s="142">
        <v>5</v>
      </c>
      <c r="AA4" s="142">
        <v>6</v>
      </c>
      <c r="AB4" s="142">
        <v>7</v>
      </c>
      <c r="AC4" s="142">
        <v>8</v>
      </c>
      <c r="AD4" s="142">
        <v>9</v>
      </c>
      <c r="AE4" s="142">
        <v>10</v>
      </c>
      <c r="AF4" s="59"/>
      <c r="AG4" s="142" t="s">
        <v>135</v>
      </c>
      <c r="AH4" s="142" t="s">
        <v>136</v>
      </c>
      <c r="AI4" s="142"/>
      <c r="AJ4" s="142" t="s">
        <v>137</v>
      </c>
      <c r="AK4" s="142" t="s">
        <v>138</v>
      </c>
      <c r="AL4" s="142" t="s">
        <v>139</v>
      </c>
      <c r="AM4" s="142" t="s">
        <v>140</v>
      </c>
      <c r="AN4" s="405"/>
      <c r="AO4" s="552">
        <v>1</v>
      </c>
      <c r="AP4" s="552">
        <v>2</v>
      </c>
      <c r="AQ4" s="142">
        <v>3</v>
      </c>
      <c r="AR4" s="142">
        <v>4</v>
      </c>
      <c r="AS4" s="142"/>
      <c r="AT4" s="142"/>
      <c r="AU4" s="142"/>
      <c r="AV4" s="142"/>
      <c r="AW4" s="142">
        <v>5</v>
      </c>
      <c r="AX4" s="142">
        <v>6</v>
      </c>
      <c r="AY4" s="142">
        <v>7</v>
      </c>
      <c r="AZ4" s="142">
        <v>8</v>
      </c>
      <c r="BA4" s="142">
        <v>9</v>
      </c>
      <c r="BB4" s="142">
        <v>10</v>
      </c>
      <c r="BC4" s="59"/>
      <c r="BD4" s="142" t="s">
        <v>135</v>
      </c>
      <c r="BE4" s="142" t="s">
        <v>136</v>
      </c>
      <c r="BF4" s="142" t="s">
        <v>137</v>
      </c>
      <c r="BG4" s="142" t="s">
        <v>138</v>
      </c>
      <c r="BH4" s="142" t="s">
        <v>139</v>
      </c>
      <c r="BI4" s="142" t="s">
        <v>140</v>
      </c>
      <c r="BJ4" s="142" t="s">
        <v>224</v>
      </c>
    </row>
    <row r="5" spans="1:62" ht="13.5" thickBot="1">
      <c r="A5" s="17" t="s">
        <v>13</v>
      </c>
      <c r="B5" s="18"/>
      <c r="C5" s="18"/>
      <c r="D5" s="18"/>
      <c r="E5" s="19">
        <v>1</v>
      </c>
      <c r="F5" s="197">
        <f>SUM(F7:F29)</f>
        <v>113958</v>
      </c>
      <c r="G5" s="597">
        <f aca="true" t="shared" si="0" ref="G5:N5">SUM(G7:G29)</f>
        <v>113958</v>
      </c>
      <c r="H5" s="125">
        <f t="shared" si="0"/>
        <v>0</v>
      </c>
      <c r="I5" s="77">
        <f t="shared" si="0"/>
        <v>0</v>
      </c>
      <c r="J5" s="304">
        <f t="shared" si="0"/>
        <v>0</v>
      </c>
      <c r="K5" s="77">
        <f t="shared" si="0"/>
        <v>0</v>
      </c>
      <c r="L5" s="76">
        <f t="shared" si="0"/>
        <v>0</v>
      </c>
      <c r="M5" s="471">
        <f t="shared" si="0"/>
        <v>0</v>
      </c>
      <c r="N5" s="471">
        <f t="shared" si="0"/>
        <v>0</v>
      </c>
      <c r="O5" s="78"/>
      <c r="P5" s="78" t="e">
        <f>SUM(P7:P29)</f>
        <v>#DIV/0!</v>
      </c>
      <c r="Q5" s="78">
        <f>SUM(Q7:Q29)</f>
        <v>79699</v>
      </c>
      <c r="S5" s="553">
        <f aca="true" t="shared" si="1" ref="S5:AE5">SUM(S7:S27)</f>
        <v>140455</v>
      </c>
      <c r="T5" s="553">
        <f t="shared" si="1"/>
        <v>-140455</v>
      </c>
      <c r="U5" s="143">
        <f t="shared" si="1"/>
        <v>0</v>
      </c>
      <c r="V5" s="143">
        <f t="shared" si="1"/>
        <v>472</v>
      </c>
      <c r="W5" s="143">
        <f t="shared" si="1"/>
        <v>0</v>
      </c>
      <c r="X5" s="143">
        <f t="shared" si="1"/>
        <v>0</v>
      </c>
      <c r="Y5" s="143">
        <f t="shared" si="1"/>
        <v>0</v>
      </c>
      <c r="Z5" s="143">
        <f t="shared" si="1"/>
        <v>113000</v>
      </c>
      <c r="AA5" s="143">
        <f t="shared" si="1"/>
        <v>0</v>
      </c>
      <c r="AB5" s="143">
        <f t="shared" si="1"/>
        <v>0</v>
      </c>
      <c r="AC5" s="143">
        <f t="shared" si="1"/>
        <v>250</v>
      </c>
      <c r="AD5" s="143">
        <f t="shared" si="1"/>
        <v>958</v>
      </c>
      <c r="AE5" s="143">
        <f t="shared" si="1"/>
        <v>114680</v>
      </c>
      <c r="AG5" s="143">
        <f aca="true" t="shared" si="2" ref="AG5:AM5">SUM(AG7:AG27)</f>
        <v>65798</v>
      </c>
      <c r="AH5" s="143">
        <f t="shared" si="2"/>
        <v>44435</v>
      </c>
      <c r="AI5" s="143">
        <f t="shared" si="2"/>
        <v>12698</v>
      </c>
      <c r="AJ5" s="143">
        <f t="shared" si="2"/>
        <v>529</v>
      </c>
      <c r="AK5" s="143">
        <f t="shared" si="2"/>
        <v>2212</v>
      </c>
      <c r="AL5" s="143">
        <f t="shared" si="2"/>
        <v>361</v>
      </c>
      <c r="AM5" s="143">
        <f t="shared" si="2"/>
        <v>14422</v>
      </c>
      <c r="AO5" s="553">
        <f aca="true" t="shared" si="3" ref="AO5:BB5">SUM(AO7:AO27)</f>
        <v>95517</v>
      </c>
      <c r="AP5" s="553">
        <f t="shared" si="3"/>
        <v>-95517</v>
      </c>
      <c r="AQ5" s="143">
        <f t="shared" si="3"/>
        <v>0</v>
      </c>
      <c r="AR5" s="143">
        <f t="shared" si="3"/>
        <v>466</v>
      </c>
      <c r="AS5" s="143">
        <f t="shared" si="3"/>
        <v>310</v>
      </c>
      <c r="AT5" s="143">
        <f t="shared" si="3"/>
        <v>104</v>
      </c>
      <c r="AU5" s="143">
        <f t="shared" si="3"/>
        <v>0</v>
      </c>
      <c r="AV5" s="143">
        <f t="shared" si="3"/>
        <v>0</v>
      </c>
      <c r="AW5" s="143">
        <f t="shared" si="3"/>
        <v>76452</v>
      </c>
      <c r="AX5" s="143">
        <f t="shared" si="3"/>
        <v>1302</v>
      </c>
      <c r="AY5" s="143">
        <f t="shared" si="3"/>
        <v>0</v>
      </c>
      <c r="AZ5" s="143">
        <f t="shared" si="3"/>
        <v>209</v>
      </c>
      <c r="BA5" s="143">
        <f t="shared" si="3"/>
        <v>854</v>
      </c>
      <c r="BB5" s="143">
        <f t="shared" si="3"/>
        <v>79697</v>
      </c>
      <c r="BD5" s="143">
        <f aca="true" t="shared" si="4" ref="BD5:BJ5">SUM(BD7:BD27)</f>
        <v>43675</v>
      </c>
      <c r="BE5" s="143">
        <f t="shared" si="4"/>
        <v>39024</v>
      </c>
      <c r="BF5" s="143">
        <f t="shared" si="4"/>
        <v>390</v>
      </c>
      <c r="BG5" s="143">
        <f t="shared" si="4"/>
        <v>1529</v>
      </c>
      <c r="BH5" s="143">
        <f t="shared" si="4"/>
        <v>316</v>
      </c>
      <c r="BI5" s="143">
        <f t="shared" si="4"/>
        <v>10460</v>
      </c>
      <c r="BJ5" s="143">
        <f t="shared" si="4"/>
        <v>122</v>
      </c>
    </row>
    <row r="6" spans="1:62" s="25" customFormat="1" ht="12">
      <c r="A6" s="21" t="s">
        <v>14</v>
      </c>
      <c r="B6" s="22" t="s">
        <v>15</v>
      </c>
      <c r="C6" s="22"/>
      <c r="D6" s="22"/>
      <c r="E6" s="23">
        <v>2</v>
      </c>
      <c r="F6" s="198">
        <f>SUM(F7:F17)</f>
        <v>113958</v>
      </c>
      <c r="G6" s="594">
        <f aca="true" t="shared" si="5" ref="G6:N6">SUM(G7:G17)</f>
        <v>113958</v>
      </c>
      <c r="H6" s="112">
        <f t="shared" si="5"/>
        <v>0</v>
      </c>
      <c r="I6" s="81">
        <f t="shared" si="5"/>
        <v>0</v>
      </c>
      <c r="J6" s="305">
        <f t="shared" si="5"/>
        <v>0</v>
      </c>
      <c r="K6" s="81">
        <f t="shared" si="5"/>
        <v>0</v>
      </c>
      <c r="L6" s="80">
        <f t="shared" si="5"/>
        <v>0</v>
      </c>
      <c r="M6" s="82"/>
      <c r="N6" s="417">
        <f t="shared" si="5"/>
        <v>0</v>
      </c>
      <c r="O6" s="411">
        <f aca="true" t="shared" si="6" ref="O6:O30">IF(F6=0,0,N6/F6)</f>
        <v>0</v>
      </c>
      <c r="P6" s="198" t="e">
        <f>SUM(P7:P17)</f>
        <v>#DIV/0!</v>
      </c>
      <c r="Q6" s="82">
        <f>SUM(Q7:Q17)</f>
        <v>79595</v>
      </c>
      <c r="R6" s="255"/>
      <c r="S6" s="554">
        <f aca="true" t="shared" si="7" ref="S6:AE6">SUM(S7:S17)</f>
        <v>140455</v>
      </c>
      <c r="T6" s="554">
        <f t="shared" si="7"/>
        <v>-140455</v>
      </c>
      <c r="U6" s="144">
        <f t="shared" si="7"/>
        <v>0</v>
      </c>
      <c r="V6" s="144">
        <f t="shared" si="7"/>
        <v>472</v>
      </c>
      <c r="W6" s="144">
        <f t="shared" si="7"/>
        <v>0</v>
      </c>
      <c r="X6" s="144">
        <f t="shared" si="7"/>
        <v>0</v>
      </c>
      <c r="Y6" s="144">
        <f t="shared" si="7"/>
        <v>0</v>
      </c>
      <c r="Z6" s="144">
        <f t="shared" si="7"/>
        <v>113000</v>
      </c>
      <c r="AA6" s="144">
        <f t="shared" si="7"/>
        <v>0</v>
      </c>
      <c r="AB6" s="144">
        <f t="shared" si="7"/>
        <v>0</v>
      </c>
      <c r="AC6" s="144">
        <f t="shared" si="7"/>
        <v>250</v>
      </c>
      <c r="AD6" s="144">
        <f t="shared" si="7"/>
        <v>958</v>
      </c>
      <c r="AE6" s="144">
        <f t="shared" si="7"/>
        <v>114680</v>
      </c>
      <c r="AF6" s="59"/>
      <c r="AG6" s="144">
        <f aca="true" t="shared" si="8" ref="AG6:AM6">SUM(AG7:AG17)</f>
        <v>65798</v>
      </c>
      <c r="AH6" s="144">
        <f t="shared" si="8"/>
        <v>44435</v>
      </c>
      <c r="AI6" s="144">
        <f t="shared" si="8"/>
        <v>12698</v>
      </c>
      <c r="AJ6" s="144">
        <f t="shared" si="8"/>
        <v>529</v>
      </c>
      <c r="AK6" s="144">
        <f t="shared" si="8"/>
        <v>2212</v>
      </c>
      <c r="AL6" s="144">
        <f t="shared" si="8"/>
        <v>361</v>
      </c>
      <c r="AM6" s="144">
        <f t="shared" si="8"/>
        <v>14422</v>
      </c>
      <c r="AN6" s="405"/>
      <c r="AO6" s="554">
        <f aca="true" t="shared" si="9" ref="AO6:BB6">SUM(AO7:AO17)</f>
        <v>95517</v>
      </c>
      <c r="AP6" s="554">
        <f t="shared" si="9"/>
        <v>-95517</v>
      </c>
      <c r="AQ6" s="144">
        <f t="shared" si="9"/>
        <v>0</v>
      </c>
      <c r="AR6" s="144">
        <f t="shared" si="9"/>
        <v>466</v>
      </c>
      <c r="AS6" s="144">
        <f t="shared" si="9"/>
        <v>310</v>
      </c>
      <c r="AT6" s="144"/>
      <c r="AU6" s="144">
        <f t="shared" si="9"/>
        <v>0</v>
      </c>
      <c r="AV6" s="144">
        <f t="shared" si="9"/>
        <v>0</v>
      </c>
      <c r="AW6" s="144">
        <f t="shared" si="9"/>
        <v>76452</v>
      </c>
      <c r="AX6" s="144">
        <f t="shared" si="9"/>
        <v>1302</v>
      </c>
      <c r="AY6" s="144">
        <f t="shared" si="9"/>
        <v>0</v>
      </c>
      <c r="AZ6" s="144">
        <f t="shared" si="9"/>
        <v>209</v>
      </c>
      <c r="BA6" s="144">
        <f t="shared" si="9"/>
        <v>854</v>
      </c>
      <c r="BB6" s="144">
        <f t="shared" si="9"/>
        <v>79593</v>
      </c>
      <c r="BC6" s="59"/>
      <c r="BD6" s="144">
        <f aca="true" t="shared" si="10" ref="BD6:BJ6">SUM(BD7:BD17)</f>
        <v>43675</v>
      </c>
      <c r="BE6" s="144">
        <f t="shared" si="10"/>
        <v>39024</v>
      </c>
      <c r="BF6" s="144">
        <f t="shared" si="10"/>
        <v>390</v>
      </c>
      <c r="BG6" s="144">
        <f t="shared" si="10"/>
        <v>1529</v>
      </c>
      <c r="BH6" s="144">
        <f t="shared" si="10"/>
        <v>316</v>
      </c>
      <c r="BI6" s="144">
        <f t="shared" si="10"/>
        <v>10460</v>
      </c>
      <c r="BJ6" s="144">
        <f t="shared" si="10"/>
        <v>122</v>
      </c>
    </row>
    <row r="7" spans="1:62" s="65" customFormat="1" ht="12">
      <c r="A7" s="61"/>
      <c r="B7" s="62"/>
      <c r="C7" s="62" t="s">
        <v>16</v>
      </c>
      <c r="D7" s="63" t="s">
        <v>17</v>
      </c>
      <c r="E7" s="64">
        <v>3</v>
      </c>
      <c r="F7" s="199">
        <f>SUM(G7:L7)</f>
        <v>450</v>
      </c>
      <c r="G7" s="609">
        <f>800-350</f>
        <v>450</v>
      </c>
      <c r="H7" s="84"/>
      <c r="I7" s="85"/>
      <c r="J7" s="306"/>
      <c r="K7" s="85"/>
      <c r="L7" s="86"/>
      <c r="M7" s="87"/>
      <c r="N7" s="418"/>
      <c r="O7" s="414">
        <f t="shared" si="6"/>
        <v>0</v>
      </c>
      <c r="P7" s="850">
        <f>N7</f>
        <v>0</v>
      </c>
      <c r="Q7" s="323">
        <v>12697</v>
      </c>
      <c r="R7" s="546"/>
      <c r="S7" s="555">
        <v>14355</v>
      </c>
      <c r="T7" s="555"/>
      <c r="U7" s="147">
        <f aca="true" t="shared" si="11" ref="U7:U29">S7+T7</f>
        <v>14355</v>
      </c>
      <c r="V7" s="147">
        <v>350</v>
      </c>
      <c r="W7" s="147"/>
      <c r="X7" s="147"/>
      <c r="Y7" s="147"/>
      <c r="Z7" s="148"/>
      <c r="AA7" s="148"/>
      <c r="AB7" s="148"/>
      <c r="AC7" s="148"/>
      <c r="AD7" s="148">
        <v>450</v>
      </c>
      <c r="AE7" s="147">
        <f aca="true" t="shared" si="12" ref="AE7:AE27">SUM(U7:AD7)</f>
        <v>15155</v>
      </c>
      <c r="AF7" s="154"/>
      <c r="AG7" s="146">
        <v>7919</v>
      </c>
      <c r="AH7" s="146">
        <v>3320</v>
      </c>
      <c r="AI7" s="146">
        <v>590</v>
      </c>
      <c r="AJ7" s="146">
        <v>30</v>
      </c>
      <c r="AK7" s="146">
        <v>120</v>
      </c>
      <c r="AL7" s="146">
        <v>20</v>
      </c>
      <c r="AM7" s="146">
        <v>2356</v>
      </c>
      <c r="AN7" s="1033">
        <f>SUM(AG7:AM7)</f>
        <v>14355</v>
      </c>
      <c r="AO7" s="555">
        <v>12139</v>
      </c>
      <c r="AP7" s="555"/>
      <c r="AQ7" s="147">
        <f aca="true" t="shared" si="13" ref="AQ7:AQ27">AO7+AP7</f>
        <v>12139</v>
      </c>
      <c r="AR7" s="147">
        <v>342</v>
      </c>
      <c r="AS7" s="147"/>
      <c r="AT7" s="147"/>
      <c r="AU7" s="147"/>
      <c r="AV7" s="147"/>
      <c r="AW7" s="148"/>
      <c r="AX7" s="148"/>
      <c r="AY7" s="148"/>
      <c r="AZ7" s="148"/>
      <c r="BA7" s="148">
        <v>344</v>
      </c>
      <c r="BB7" s="147">
        <f aca="true" t="shared" si="14" ref="BB7:BB27">SUM(AQ7:BA7)</f>
        <v>12825</v>
      </c>
      <c r="BC7" s="154"/>
      <c r="BD7" s="146">
        <v>6692</v>
      </c>
      <c r="BE7" s="146">
        <v>3379</v>
      </c>
      <c r="BF7" s="146">
        <v>18</v>
      </c>
      <c r="BG7" s="146">
        <v>105</v>
      </c>
      <c r="BH7" s="146">
        <v>18</v>
      </c>
      <c r="BI7" s="146">
        <v>1927</v>
      </c>
      <c r="BJ7" s="146"/>
    </row>
    <row r="8" spans="1:62" s="65" customFormat="1" ht="12">
      <c r="A8" s="61"/>
      <c r="B8" s="62"/>
      <c r="C8" s="62"/>
      <c r="D8" s="63" t="s">
        <v>18</v>
      </c>
      <c r="E8" s="64">
        <v>4</v>
      </c>
      <c r="F8" s="199">
        <f aca="true" t="shared" si="15" ref="F8:F47">SUM(G8:L8)</f>
        <v>0</v>
      </c>
      <c r="G8" s="609"/>
      <c r="H8" s="84"/>
      <c r="I8" s="85"/>
      <c r="J8" s="306"/>
      <c r="K8" s="85"/>
      <c r="L8" s="86"/>
      <c r="M8" s="87"/>
      <c r="N8" s="418"/>
      <c r="O8" s="414">
        <f t="shared" si="6"/>
        <v>0</v>
      </c>
      <c r="P8" s="850">
        <f>N8</f>
        <v>0</v>
      </c>
      <c r="Q8" s="323">
        <v>230</v>
      </c>
      <c r="R8" s="546"/>
      <c r="S8" s="555"/>
      <c r="T8" s="555"/>
      <c r="U8" s="147">
        <f t="shared" si="11"/>
        <v>0</v>
      </c>
      <c r="V8" s="147"/>
      <c r="W8" s="147"/>
      <c r="X8" s="147"/>
      <c r="Y8" s="147"/>
      <c r="Z8" s="148"/>
      <c r="AA8" s="148"/>
      <c r="AB8" s="148"/>
      <c r="AC8" s="148"/>
      <c r="AD8" s="148"/>
      <c r="AE8" s="147">
        <f t="shared" si="12"/>
        <v>0</v>
      </c>
      <c r="AF8" s="154"/>
      <c r="AG8" s="146"/>
      <c r="AH8" s="146"/>
      <c r="AI8" s="146"/>
      <c r="AJ8" s="146"/>
      <c r="AK8" s="146"/>
      <c r="AL8" s="146"/>
      <c r="AM8" s="146"/>
      <c r="AN8" s="1033">
        <f aca="true" t="shared" si="16" ref="AN8:AN17">SUM(AG8:AM8)</f>
        <v>0</v>
      </c>
      <c r="AO8" s="555">
        <v>199</v>
      </c>
      <c r="AP8" s="555"/>
      <c r="AQ8" s="147">
        <f t="shared" si="13"/>
        <v>199</v>
      </c>
      <c r="AR8" s="147"/>
      <c r="AS8" s="147"/>
      <c r="AT8" s="147"/>
      <c r="AU8" s="147"/>
      <c r="AV8" s="147"/>
      <c r="AW8" s="148"/>
      <c r="AX8" s="148"/>
      <c r="AY8" s="148"/>
      <c r="AZ8" s="148"/>
      <c r="BA8" s="148"/>
      <c r="BB8" s="147">
        <f t="shared" si="14"/>
        <v>199</v>
      </c>
      <c r="BC8" s="154"/>
      <c r="BD8" s="146">
        <v>104</v>
      </c>
      <c r="BE8" s="146">
        <v>58</v>
      </c>
      <c r="BF8" s="146"/>
      <c r="BG8" s="146">
        <v>2</v>
      </c>
      <c r="BH8" s="146"/>
      <c r="BI8" s="146">
        <v>34</v>
      </c>
      <c r="BJ8" s="146"/>
    </row>
    <row r="9" spans="1:62" s="65" customFormat="1" ht="12">
      <c r="A9" s="61"/>
      <c r="B9" s="62"/>
      <c r="C9" s="62"/>
      <c r="D9" s="63" t="s">
        <v>19</v>
      </c>
      <c r="E9" s="64">
        <v>5</v>
      </c>
      <c r="F9" s="199">
        <f t="shared" si="15"/>
        <v>158</v>
      </c>
      <c r="G9" s="609">
        <f>280-122</f>
        <v>158</v>
      </c>
      <c r="H9" s="84"/>
      <c r="I9" s="85"/>
      <c r="J9" s="306"/>
      <c r="K9" s="85"/>
      <c r="L9" s="86"/>
      <c r="M9" s="87"/>
      <c r="N9" s="418"/>
      <c r="O9" s="414">
        <f t="shared" si="6"/>
        <v>0</v>
      </c>
      <c r="P9" s="850">
        <f>N9</f>
        <v>0</v>
      </c>
      <c r="Q9" s="323">
        <v>4579</v>
      </c>
      <c r="R9" s="546"/>
      <c r="S9" s="555">
        <v>5031</v>
      </c>
      <c r="T9" s="555"/>
      <c r="U9" s="147">
        <f t="shared" si="11"/>
        <v>5031</v>
      </c>
      <c r="V9" s="147">
        <v>122</v>
      </c>
      <c r="W9" s="147"/>
      <c r="X9" s="147"/>
      <c r="Y9" s="147"/>
      <c r="Z9" s="148"/>
      <c r="AA9" s="148"/>
      <c r="AB9" s="148"/>
      <c r="AC9" s="148"/>
      <c r="AD9" s="148">
        <v>158</v>
      </c>
      <c r="AE9" s="147">
        <f t="shared" si="12"/>
        <v>5311</v>
      </c>
      <c r="AF9" s="154"/>
      <c r="AG9" s="146">
        <v>2774</v>
      </c>
      <c r="AH9" s="146">
        <v>1163</v>
      </c>
      <c r="AI9" s="146">
        <v>207</v>
      </c>
      <c r="AJ9" s="146">
        <v>11</v>
      </c>
      <c r="AK9" s="146">
        <v>43</v>
      </c>
      <c r="AL9" s="146">
        <v>7</v>
      </c>
      <c r="AM9" s="146">
        <v>826</v>
      </c>
      <c r="AN9" s="1033">
        <f t="shared" si="16"/>
        <v>5031</v>
      </c>
      <c r="AO9" s="555">
        <v>4333</v>
      </c>
      <c r="AP9" s="555"/>
      <c r="AQ9" s="147">
        <f t="shared" si="13"/>
        <v>4333</v>
      </c>
      <c r="AR9" s="147">
        <v>124</v>
      </c>
      <c r="AS9" s="147"/>
      <c r="AT9" s="147"/>
      <c r="AU9" s="147"/>
      <c r="AV9" s="147"/>
      <c r="AW9" s="148"/>
      <c r="AX9" s="148"/>
      <c r="AY9" s="148"/>
      <c r="AZ9" s="148"/>
      <c r="BA9" s="148">
        <v>124</v>
      </c>
      <c r="BB9" s="147">
        <f t="shared" si="14"/>
        <v>4581</v>
      </c>
      <c r="BC9" s="154"/>
      <c r="BD9" s="146">
        <v>2371</v>
      </c>
      <c r="BE9" s="146">
        <v>1217</v>
      </c>
      <c r="BF9" s="146">
        <v>6</v>
      </c>
      <c r="BG9" s="146">
        <v>38</v>
      </c>
      <c r="BH9" s="146">
        <v>7</v>
      </c>
      <c r="BI9" s="146">
        <v>694</v>
      </c>
      <c r="BJ9" s="146"/>
    </row>
    <row r="10" spans="1:62" s="65" customFormat="1" ht="12">
      <c r="A10" s="61"/>
      <c r="B10" s="62"/>
      <c r="C10" s="62"/>
      <c r="D10" s="63" t="s">
        <v>20</v>
      </c>
      <c r="E10" s="64">
        <v>6</v>
      </c>
      <c r="F10" s="199">
        <f t="shared" si="15"/>
        <v>300</v>
      </c>
      <c r="G10" s="609">
        <v>300</v>
      </c>
      <c r="H10" s="84"/>
      <c r="I10" s="85"/>
      <c r="J10" s="306"/>
      <c r="K10" s="85"/>
      <c r="L10" s="86"/>
      <c r="M10" s="87"/>
      <c r="N10" s="418"/>
      <c r="O10" s="414">
        <f t="shared" si="6"/>
        <v>0</v>
      </c>
      <c r="P10" s="87">
        <f>N10/11*12</f>
        <v>0</v>
      </c>
      <c r="Q10" s="323">
        <v>95</v>
      </c>
      <c r="R10" s="546"/>
      <c r="S10" s="555">
        <v>69675</v>
      </c>
      <c r="T10" s="563">
        <f aca="true" t="shared" si="17" ref="T10:T16">-S10</f>
        <v>-69675</v>
      </c>
      <c r="U10" s="147">
        <f t="shared" si="11"/>
        <v>0</v>
      </c>
      <c r="V10" s="147"/>
      <c r="W10" s="147"/>
      <c r="X10" s="147"/>
      <c r="Y10" s="147"/>
      <c r="Z10" s="148"/>
      <c r="AA10" s="148"/>
      <c r="AB10" s="148"/>
      <c r="AC10" s="148"/>
      <c r="AD10" s="148">
        <v>300</v>
      </c>
      <c r="AE10" s="147">
        <f t="shared" si="12"/>
        <v>300</v>
      </c>
      <c r="AF10" s="154"/>
      <c r="AG10" s="146">
        <v>32020</v>
      </c>
      <c r="AH10" s="146">
        <v>22455</v>
      </c>
      <c r="AI10" s="146">
        <v>6870</v>
      </c>
      <c r="AJ10" s="146">
        <v>290</v>
      </c>
      <c r="AK10" s="146">
        <v>1380</v>
      </c>
      <c r="AL10" s="146">
        <v>120</v>
      </c>
      <c r="AM10" s="146">
        <v>6540</v>
      </c>
      <c r="AN10" s="1033">
        <f t="shared" si="16"/>
        <v>69675</v>
      </c>
      <c r="AO10" s="555">
        <v>39507</v>
      </c>
      <c r="AP10" s="563">
        <f aca="true" t="shared" si="18" ref="AP10:AP16">-AO10</f>
        <v>-39507</v>
      </c>
      <c r="AQ10" s="147">
        <f t="shared" si="13"/>
        <v>0</v>
      </c>
      <c r="AR10" s="147"/>
      <c r="AS10" s="147"/>
      <c r="AT10" s="147"/>
      <c r="AU10" s="147"/>
      <c r="AV10" s="147"/>
      <c r="AW10" s="148"/>
      <c r="AX10" s="148"/>
      <c r="AY10" s="148"/>
      <c r="AZ10" s="148"/>
      <c r="BA10" s="148">
        <v>95</v>
      </c>
      <c r="BB10" s="147">
        <f t="shared" si="14"/>
        <v>95</v>
      </c>
      <c r="BC10" s="154"/>
      <c r="BD10" s="146">
        <v>17465</v>
      </c>
      <c r="BE10" s="146">
        <v>16971</v>
      </c>
      <c r="BF10" s="146">
        <v>272</v>
      </c>
      <c r="BG10" s="146">
        <v>841</v>
      </c>
      <c r="BH10" s="146">
        <v>167</v>
      </c>
      <c r="BI10" s="146">
        <v>3791</v>
      </c>
      <c r="BJ10" s="146"/>
    </row>
    <row r="11" spans="1:62" s="65" customFormat="1" ht="12">
      <c r="A11" s="61"/>
      <c r="B11" s="62"/>
      <c r="C11" s="62"/>
      <c r="D11" s="63" t="s">
        <v>21</v>
      </c>
      <c r="E11" s="64">
        <v>7</v>
      </c>
      <c r="F11" s="199">
        <f t="shared" si="15"/>
        <v>0</v>
      </c>
      <c r="G11" s="609"/>
      <c r="H11" s="84"/>
      <c r="I11" s="85"/>
      <c r="J11" s="306"/>
      <c r="K11" s="85"/>
      <c r="L11" s="86"/>
      <c r="M11" s="87"/>
      <c r="N11" s="418"/>
      <c r="O11" s="414">
        <f t="shared" si="6"/>
        <v>0</v>
      </c>
      <c r="P11" s="87" t="e">
        <f>N11/titl!$H$17*12</f>
        <v>#DIV/0!</v>
      </c>
      <c r="Q11" s="323">
        <v>70</v>
      </c>
      <c r="R11" s="546"/>
      <c r="S11" s="555">
        <v>15920</v>
      </c>
      <c r="T11" s="563">
        <f t="shared" si="17"/>
        <v>-15920</v>
      </c>
      <c r="U11" s="147">
        <f t="shared" si="11"/>
        <v>0</v>
      </c>
      <c r="V11" s="147"/>
      <c r="W11" s="147"/>
      <c r="X11" s="147"/>
      <c r="Y11" s="147"/>
      <c r="Z11" s="148"/>
      <c r="AA11" s="148"/>
      <c r="AB11" s="148"/>
      <c r="AC11" s="148"/>
      <c r="AD11" s="148"/>
      <c r="AE11" s="147">
        <f t="shared" si="12"/>
        <v>0</v>
      </c>
      <c r="AF11" s="154"/>
      <c r="AG11" s="146">
        <v>7783</v>
      </c>
      <c r="AH11" s="146">
        <v>4306</v>
      </c>
      <c r="AI11" s="146">
        <v>1980</v>
      </c>
      <c r="AJ11" s="146">
        <v>80</v>
      </c>
      <c r="AK11" s="146">
        <v>300</v>
      </c>
      <c r="AL11" s="146">
        <v>120</v>
      </c>
      <c r="AM11" s="146">
        <v>1351</v>
      </c>
      <c r="AN11" s="1033">
        <f t="shared" si="16"/>
        <v>15920</v>
      </c>
      <c r="AO11" s="555">
        <v>12394</v>
      </c>
      <c r="AP11" s="563">
        <f t="shared" si="18"/>
        <v>-12394</v>
      </c>
      <c r="AQ11" s="147">
        <f t="shared" si="13"/>
        <v>0</v>
      </c>
      <c r="AR11" s="147"/>
      <c r="AS11" s="147"/>
      <c r="AT11" s="147"/>
      <c r="AU11" s="147"/>
      <c r="AV11" s="147"/>
      <c r="AW11" s="148"/>
      <c r="AX11" s="148"/>
      <c r="AY11" s="148"/>
      <c r="AZ11" s="148"/>
      <c r="BA11" s="148">
        <v>70</v>
      </c>
      <c r="BB11" s="147">
        <f t="shared" si="14"/>
        <v>70</v>
      </c>
      <c r="BC11" s="154"/>
      <c r="BD11" s="146">
        <v>5880</v>
      </c>
      <c r="BE11" s="146">
        <v>5017</v>
      </c>
      <c r="BF11" s="146">
        <v>48</v>
      </c>
      <c r="BG11" s="146">
        <v>245</v>
      </c>
      <c r="BH11" s="146">
        <v>39</v>
      </c>
      <c r="BI11" s="146">
        <v>1165</v>
      </c>
      <c r="BJ11" s="146"/>
    </row>
    <row r="12" spans="1:62" s="65" customFormat="1" ht="12">
      <c r="A12" s="61"/>
      <c r="B12" s="62"/>
      <c r="C12" s="62"/>
      <c r="D12" s="63" t="s">
        <v>22</v>
      </c>
      <c r="E12" s="64">
        <v>8</v>
      </c>
      <c r="F12" s="199">
        <f t="shared" si="15"/>
        <v>50</v>
      </c>
      <c r="G12" s="610">
        <v>50</v>
      </c>
      <c r="H12" s="241"/>
      <c r="I12" s="242"/>
      <c r="J12" s="306"/>
      <c r="K12" s="85"/>
      <c r="L12" s="86"/>
      <c r="M12" s="87"/>
      <c r="N12" s="418"/>
      <c r="O12" s="414">
        <f t="shared" si="6"/>
        <v>0</v>
      </c>
      <c r="P12" s="87" t="e">
        <f>N12/titl!$H$17*12</f>
        <v>#DIV/0!</v>
      </c>
      <c r="Q12" s="323">
        <v>1790</v>
      </c>
      <c r="R12" s="546"/>
      <c r="S12" s="555">
        <v>2575</v>
      </c>
      <c r="T12" s="563">
        <f t="shared" si="17"/>
        <v>-2575</v>
      </c>
      <c r="U12" s="147">
        <f t="shared" si="11"/>
        <v>0</v>
      </c>
      <c r="V12" s="586"/>
      <c r="W12" s="147"/>
      <c r="X12" s="147"/>
      <c r="Y12" s="147"/>
      <c r="Z12" s="148"/>
      <c r="AA12" s="148"/>
      <c r="AB12" s="148"/>
      <c r="AC12" s="148"/>
      <c r="AD12" s="148">
        <v>50</v>
      </c>
      <c r="AE12" s="147">
        <f t="shared" si="12"/>
        <v>50</v>
      </c>
      <c r="AF12" s="154"/>
      <c r="AG12" s="146">
        <v>1448</v>
      </c>
      <c r="AH12" s="146">
        <v>607</v>
      </c>
      <c r="AI12" s="146">
        <v>105</v>
      </c>
      <c r="AJ12" s="146">
        <v>10</v>
      </c>
      <c r="AK12" s="146">
        <v>30</v>
      </c>
      <c r="AL12" s="146">
        <v>5</v>
      </c>
      <c r="AM12" s="146">
        <v>370</v>
      </c>
      <c r="AN12" s="1033">
        <f t="shared" si="16"/>
        <v>2575</v>
      </c>
      <c r="AO12" s="555">
        <v>1805</v>
      </c>
      <c r="AP12" s="563">
        <f t="shared" si="18"/>
        <v>-1805</v>
      </c>
      <c r="AQ12" s="147">
        <f t="shared" si="13"/>
        <v>0</v>
      </c>
      <c r="AR12" s="586"/>
      <c r="AS12" s="147">
        <v>310</v>
      </c>
      <c r="AT12" s="147"/>
      <c r="AU12" s="147"/>
      <c r="AV12" s="147"/>
      <c r="AW12" s="148"/>
      <c r="AX12" s="148">
        <v>1302</v>
      </c>
      <c r="AY12" s="148"/>
      <c r="AZ12" s="148"/>
      <c r="BA12" s="148">
        <v>179</v>
      </c>
      <c r="BB12" s="147">
        <f t="shared" si="14"/>
        <v>1791</v>
      </c>
      <c r="BC12" s="154"/>
      <c r="BD12" s="146">
        <v>930</v>
      </c>
      <c r="BE12" s="146">
        <v>671</v>
      </c>
      <c r="BF12" s="146">
        <v>2</v>
      </c>
      <c r="BG12" s="146">
        <v>16</v>
      </c>
      <c r="BH12" s="146">
        <v>4</v>
      </c>
      <c r="BI12" s="146">
        <v>182</v>
      </c>
      <c r="BJ12" s="146"/>
    </row>
    <row r="13" spans="1:62" s="65" customFormat="1" ht="12">
      <c r="A13" s="61"/>
      <c r="B13" s="62"/>
      <c r="C13" s="62"/>
      <c r="D13" s="63" t="s">
        <v>23</v>
      </c>
      <c r="E13" s="64">
        <v>9</v>
      </c>
      <c r="F13" s="199">
        <f t="shared" si="15"/>
        <v>0</v>
      </c>
      <c r="G13" s="610"/>
      <c r="H13" s="84"/>
      <c r="I13" s="85"/>
      <c r="J13" s="306"/>
      <c r="K13" s="85"/>
      <c r="L13" s="86"/>
      <c r="M13" s="87"/>
      <c r="N13" s="418"/>
      <c r="O13" s="414">
        <f t="shared" si="6"/>
        <v>0</v>
      </c>
      <c r="P13" s="87" t="e">
        <f>N13/titl!$H$17*12</f>
        <v>#DIV/0!</v>
      </c>
      <c r="Q13" s="323">
        <v>4</v>
      </c>
      <c r="R13" s="546"/>
      <c r="S13" s="555">
        <v>11135</v>
      </c>
      <c r="T13" s="563">
        <f t="shared" si="17"/>
        <v>-11135</v>
      </c>
      <c r="U13" s="149">
        <f t="shared" si="11"/>
        <v>0</v>
      </c>
      <c r="V13" s="149"/>
      <c r="W13" s="149"/>
      <c r="X13" s="149"/>
      <c r="Y13" s="149"/>
      <c r="Z13" s="148"/>
      <c r="AA13" s="148"/>
      <c r="AB13" s="148"/>
      <c r="AC13" s="148"/>
      <c r="AD13" s="148"/>
      <c r="AE13" s="147">
        <f t="shared" si="12"/>
        <v>0</v>
      </c>
      <c r="AF13" s="154"/>
      <c r="AG13" s="146">
        <v>5299</v>
      </c>
      <c r="AH13" s="146">
        <v>3008</v>
      </c>
      <c r="AI13" s="146">
        <v>950</v>
      </c>
      <c r="AJ13" s="146">
        <v>50</v>
      </c>
      <c r="AK13" s="146">
        <v>160</v>
      </c>
      <c r="AL13" s="146">
        <v>30</v>
      </c>
      <c r="AM13" s="146">
        <v>1638</v>
      </c>
      <c r="AN13" s="1033">
        <f t="shared" si="16"/>
        <v>11135</v>
      </c>
      <c r="AO13" s="555">
        <v>10013</v>
      </c>
      <c r="AP13" s="563">
        <f t="shared" si="18"/>
        <v>-10013</v>
      </c>
      <c r="AQ13" s="149">
        <f t="shared" si="13"/>
        <v>0</v>
      </c>
      <c r="AR13" s="149"/>
      <c r="AS13" s="149"/>
      <c r="AT13" s="149"/>
      <c r="AU13" s="149"/>
      <c r="AV13" s="149"/>
      <c r="AW13" s="148"/>
      <c r="AX13" s="148"/>
      <c r="AY13" s="148"/>
      <c r="AZ13" s="148"/>
      <c r="BA13" s="148">
        <v>4</v>
      </c>
      <c r="BB13" s="147">
        <f t="shared" si="14"/>
        <v>4</v>
      </c>
      <c r="BC13" s="154"/>
      <c r="BD13" s="146">
        <v>4647</v>
      </c>
      <c r="BE13" s="146">
        <v>3635</v>
      </c>
      <c r="BF13" s="146">
        <v>27</v>
      </c>
      <c r="BG13" s="146">
        <v>147</v>
      </c>
      <c r="BH13" s="146">
        <v>27</v>
      </c>
      <c r="BI13" s="146">
        <v>1530</v>
      </c>
      <c r="BJ13" s="146"/>
    </row>
    <row r="14" spans="1:62" s="65" customFormat="1" ht="12">
      <c r="A14" s="61"/>
      <c r="B14" s="62"/>
      <c r="C14" s="62"/>
      <c r="D14" s="63" t="s">
        <v>24</v>
      </c>
      <c r="E14" s="64">
        <v>10</v>
      </c>
      <c r="F14" s="199">
        <f t="shared" si="15"/>
        <v>0</v>
      </c>
      <c r="G14" s="610"/>
      <c r="H14" s="84"/>
      <c r="I14" s="85"/>
      <c r="J14" s="306"/>
      <c r="K14" s="85"/>
      <c r="L14" s="86"/>
      <c r="M14" s="87"/>
      <c r="N14" s="418"/>
      <c r="O14" s="414">
        <f t="shared" si="6"/>
        <v>0</v>
      </c>
      <c r="P14" s="87" t="e">
        <f>N14/titl!$H$17*12</f>
        <v>#DIV/0!</v>
      </c>
      <c r="Q14" s="323">
        <v>1</v>
      </c>
      <c r="R14" s="546"/>
      <c r="S14" s="555">
        <v>156</v>
      </c>
      <c r="T14" s="563">
        <f t="shared" si="17"/>
        <v>-156</v>
      </c>
      <c r="U14" s="147">
        <f t="shared" si="11"/>
        <v>0</v>
      </c>
      <c r="V14" s="147"/>
      <c r="W14" s="147"/>
      <c r="X14" s="147"/>
      <c r="Y14" s="147"/>
      <c r="Z14" s="148"/>
      <c r="AA14" s="148"/>
      <c r="AB14" s="148"/>
      <c r="AC14" s="148"/>
      <c r="AD14" s="148"/>
      <c r="AE14" s="147">
        <f t="shared" si="12"/>
        <v>0</v>
      </c>
      <c r="AF14" s="154"/>
      <c r="AG14" s="146">
        <v>80</v>
      </c>
      <c r="AH14" s="146">
        <v>38</v>
      </c>
      <c r="AI14" s="146">
        <v>9</v>
      </c>
      <c r="AJ14" s="146">
        <v>1</v>
      </c>
      <c r="AK14" s="146">
        <v>2</v>
      </c>
      <c r="AL14" s="146">
        <v>1</v>
      </c>
      <c r="AM14" s="146">
        <v>25</v>
      </c>
      <c r="AN14" s="1033">
        <f t="shared" si="16"/>
        <v>156</v>
      </c>
      <c r="AO14" s="555">
        <v>128</v>
      </c>
      <c r="AP14" s="563">
        <f t="shared" si="18"/>
        <v>-128</v>
      </c>
      <c r="AQ14" s="147">
        <f t="shared" si="13"/>
        <v>0</v>
      </c>
      <c r="AR14" s="147"/>
      <c r="AS14" s="147"/>
      <c r="AT14" s="147"/>
      <c r="AU14" s="147"/>
      <c r="AV14" s="147"/>
      <c r="AW14" s="148"/>
      <c r="AX14" s="148"/>
      <c r="AY14" s="148"/>
      <c r="AZ14" s="148"/>
      <c r="BA14" s="148">
        <v>1</v>
      </c>
      <c r="BB14" s="147">
        <f t="shared" si="14"/>
        <v>1</v>
      </c>
      <c r="BC14" s="154"/>
      <c r="BD14" s="146">
        <v>25</v>
      </c>
      <c r="BE14" s="146">
        <v>12</v>
      </c>
      <c r="BF14" s="146"/>
      <c r="BG14" s="146"/>
      <c r="BH14" s="146"/>
      <c r="BI14" s="146">
        <v>6</v>
      </c>
      <c r="BJ14" s="146">
        <v>85</v>
      </c>
    </row>
    <row r="15" spans="1:62" s="65" customFormat="1" ht="12">
      <c r="A15" s="61"/>
      <c r="B15" s="62"/>
      <c r="C15" s="62"/>
      <c r="D15" s="63" t="s">
        <v>25</v>
      </c>
      <c r="E15" s="64">
        <v>11</v>
      </c>
      <c r="F15" s="199">
        <f t="shared" si="15"/>
        <v>113000</v>
      </c>
      <c r="G15" s="610">
        <v>113000</v>
      </c>
      <c r="H15" s="84"/>
      <c r="I15" s="85"/>
      <c r="J15" s="306"/>
      <c r="K15" s="85"/>
      <c r="L15" s="86"/>
      <c r="M15" s="87"/>
      <c r="N15" s="418"/>
      <c r="O15" s="414">
        <f t="shared" si="6"/>
        <v>0</v>
      </c>
      <c r="P15" s="850">
        <f>N15</f>
        <v>0</v>
      </c>
      <c r="Q15" s="323">
        <v>76452</v>
      </c>
      <c r="R15" s="546"/>
      <c r="S15" s="555">
        <v>16900</v>
      </c>
      <c r="T15" s="563">
        <f t="shared" si="17"/>
        <v>-16900</v>
      </c>
      <c r="U15" s="147">
        <f t="shared" si="11"/>
        <v>0</v>
      </c>
      <c r="V15" s="147"/>
      <c r="W15" s="147"/>
      <c r="X15" s="147"/>
      <c r="Y15" s="147"/>
      <c r="Z15" s="148">
        <v>113000</v>
      </c>
      <c r="AA15" s="148"/>
      <c r="AB15" s="148"/>
      <c r="AC15" s="148"/>
      <c r="AD15" s="148"/>
      <c r="AE15" s="147">
        <f t="shared" si="12"/>
        <v>113000</v>
      </c>
      <c r="AF15" s="154"/>
      <c r="AG15" s="146">
        <v>6246</v>
      </c>
      <c r="AH15" s="146">
        <v>8209</v>
      </c>
      <c r="AI15" s="146">
        <v>1535</v>
      </c>
      <c r="AJ15" s="146">
        <v>40</v>
      </c>
      <c r="AK15" s="146">
        <v>120</v>
      </c>
      <c r="AL15" s="146">
        <v>50</v>
      </c>
      <c r="AM15" s="146">
        <v>700</v>
      </c>
      <c r="AN15" s="1033">
        <f t="shared" si="16"/>
        <v>16900</v>
      </c>
      <c r="AO15" s="555">
        <v>12930</v>
      </c>
      <c r="AP15" s="563">
        <f t="shared" si="18"/>
        <v>-12930</v>
      </c>
      <c r="AQ15" s="147">
        <f t="shared" si="13"/>
        <v>0</v>
      </c>
      <c r="AR15" s="147"/>
      <c r="AS15" s="147"/>
      <c r="AT15" s="147"/>
      <c r="AU15" s="147"/>
      <c r="AV15" s="147"/>
      <c r="AW15" s="148">
        <v>76452</v>
      </c>
      <c r="AX15" s="148"/>
      <c r="AY15" s="148"/>
      <c r="AZ15" s="148"/>
      <c r="BA15" s="148"/>
      <c r="BB15" s="147">
        <f t="shared" si="14"/>
        <v>76452</v>
      </c>
      <c r="BC15" s="154"/>
      <c r="BD15" s="146">
        <v>4536</v>
      </c>
      <c r="BE15" s="146">
        <v>7404</v>
      </c>
      <c r="BF15" s="146">
        <v>12</v>
      </c>
      <c r="BG15" s="146">
        <v>113</v>
      </c>
      <c r="BH15" s="146">
        <v>49</v>
      </c>
      <c r="BI15" s="146">
        <v>816</v>
      </c>
      <c r="BJ15" s="146"/>
    </row>
    <row r="16" spans="1:62" s="65" customFormat="1" ht="12">
      <c r="A16" s="61"/>
      <c r="B16" s="62"/>
      <c r="C16" s="62"/>
      <c r="D16" s="63" t="s">
        <v>26</v>
      </c>
      <c r="E16" s="64">
        <v>12</v>
      </c>
      <c r="F16" s="199">
        <f t="shared" si="15"/>
        <v>0</v>
      </c>
      <c r="G16" s="610"/>
      <c r="H16" s="84"/>
      <c r="I16" s="85"/>
      <c r="J16" s="306"/>
      <c r="K16" s="85"/>
      <c r="L16" s="86"/>
      <c r="M16" s="87"/>
      <c r="N16" s="418"/>
      <c r="O16" s="414">
        <f t="shared" si="6"/>
        <v>0</v>
      </c>
      <c r="P16" s="87" t="e">
        <f>N16/titl!$H$17*12</f>
        <v>#DIV/0!</v>
      </c>
      <c r="Q16" s="323"/>
      <c r="R16" s="546"/>
      <c r="S16" s="555"/>
      <c r="T16" s="563">
        <f t="shared" si="17"/>
        <v>0</v>
      </c>
      <c r="U16" s="147">
        <f t="shared" si="11"/>
        <v>0</v>
      </c>
      <c r="V16" s="147"/>
      <c r="W16" s="147"/>
      <c r="X16" s="147"/>
      <c r="Y16" s="147"/>
      <c r="Z16" s="148"/>
      <c r="AA16" s="148"/>
      <c r="AB16" s="148"/>
      <c r="AC16" s="148"/>
      <c r="AD16" s="148"/>
      <c r="AE16" s="147">
        <f t="shared" si="12"/>
        <v>0</v>
      </c>
      <c r="AF16" s="154"/>
      <c r="AG16" s="146"/>
      <c r="AH16" s="146"/>
      <c r="AI16" s="146"/>
      <c r="AJ16" s="146"/>
      <c r="AK16" s="146"/>
      <c r="AL16" s="146"/>
      <c r="AM16" s="146"/>
      <c r="AN16" s="1033">
        <f t="shared" si="16"/>
        <v>0</v>
      </c>
      <c r="AO16" s="555"/>
      <c r="AP16" s="563">
        <f t="shared" si="18"/>
        <v>0</v>
      </c>
      <c r="AQ16" s="147">
        <f t="shared" si="13"/>
        <v>0</v>
      </c>
      <c r="AR16" s="147"/>
      <c r="AS16" s="147"/>
      <c r="AT16" s="147"/>
      <c r="AU16" s="147"/>
      <c r="AV16" s="147"/>
      <c r="AW16" s="148"/>
      <c r="AX16" s="148"/>
      <c r="AY16" s="148"/>
      <c r="AZ16" s="148"/>
      <c r="BA16" s="148"/>
      <c r="BB16" s="147">
        <f t="shared" si="14"/>
        <v>0</v>
      </c>
      <c r="BC16" s="154"/>
      <c r="BD16" s="146"/>
      <c r="BE16" s="146"/>
      <c r="BF16" s="146"/>
      <c r="BG16" s="146"/>
      <c r="BH16" s="146"/>
      <c r="BI16" s="146"/>
      <c r="BJ16" s="146"/>
    </row>
    <row r="17" spans="1:62" s="65" customFormat="1" ht="12">
      <c r="A17" s="61"/>
      <c r="B17" s="62"/>
      <c r="C17" s="63"/>
      <c r="D17" s="63" t="s">
        <v>27</v>
      </c>
      <c r="E17" s="64">
        <v>13</v>
      </c>
      <c r="F17" s="199">
        <f t="shared" si="15"/>
        <v>0</v>
      </c>
      <c r="G17" s="609"/>
      <c r="H17" s="84"/>
      <c r="I17" s="85"/>
      <c r="J17" s="306"/>
      <c r="K17" s="85"/>
      <c r="L17" s="86"/>
      <c r="M17" s="87"/>
      <c r="N17" s="418"/>
      <c r="O17" s="414">
        <f t="shared" si="6"/>
        <v>0</v>
      </c>
      <c r="P17" s="87"/>
      <c r="Q17" s="323">
        <v>-16323</v>
      </c>
      <c r="R17" s="546"/>
      <c r="S17" s="555">
        <v>4708</v>
      </c>
      <c r="T17" s="563">
        <f>-S7-S9-S17</f>
        <v>-24094</v>
      </c>
      <c r="U17" s="147">
        <f t="shared" si="11"/>
        <v>-19386</v>
      </c>
      <c r="V17" s="147"/>
      <c r="W17" s="147"/>
      <c r="X17" s="147"/>
      <c r="Y17" s="147"/>
      <c r="Z17" s="148"/>
      <c r="AA17" s="148"/>
      <c r="AB17" s="148"/>
      <c r="AC17" s="148">
        <v>250</v>
      </c>
      <c r="AD17" s="148"/>
      <c r="AE17" s="147">
        <f t="shared" si="12"/>
        <v>-19136</v>
      </c>
      <c r="AF17" s="154"/>
      <c r="AG17" s="146">
        <v>2229</v>
      </c>
      <c r="AH17" s="146">
        <v>1329</v>
      </c>
      <c r="AI17" s="146">
        <v>452</v>
      </c>
      <c r="AJ17" s="146">
        <v>17</v>
      </c>
      <c r="AK17" s="146">
        <v>57</v>
      </c>
      <c r="AL17" s="146">
        <v>8</v>
      </c>
      <c r="AM17" s="146">
        <v>616</v>
      </c>
      <c r="AN17" s="1033">
        <f t="shared" si="16"/>
        <v>4708</v>
      </c>
      <c r="AO17" s="555">
        <v>2069</v>
      </c>
      <c r="AP17" s="563">
        <v>-18740</v>
      </c>
      <c r="AQ17" s="147">
        <f t="shared" si="13"/>
        <v>-16671</v>
      </c>
      <c r="AR17" s="147"/>
      <c r="AS17" s="147"/>
      <c r="AT17" s="147"/>
      <c r="AU17" s="147"/>
      <c r="AV17" s="147"/>
      <c r="AW17" s="148"/>
      <c r="AX17" s="148"/>
      <c r="AY17" s="148"/>
      <c r="AZ17" s="148">
        <v>209</v>
      </c>
      <c r="BA17" s="148">
        <v>37</v>
      </c>
      <c r="BB17" s="147">
        <f t="shared" si="14"/>
        <v>-16425</v>
      </c>
      <c r="BC17" s="154"/>
      <c r="BD17" s="146">
        <v>1025</v>
      </c>
      <c r="BE17" s="146">
        <v>660</v>
      </c>
      <c r="BF17" s="146">
        <v>5</v>
      </c>
      <c r="BG17" s="146">
        <v>22</v>
      </c>
      <c r="BH17" s="146">
        <v>5</v>
      </c>
      <c r="BI17" s="146">
        <v>315</v>
      </c>
      <c r="BJ17" s="146">
        <v>37</v>
      </c>
    </row>
    <row r="18" spans="1:62" s="25" customFormat="1" ht="12">
      <c r="A18" s="21"/>
      <c r="B18" s="30" t="s">
        <v>28</v>
      </c>
      <c r="C18" s="27"/>
      <c r="D18" s="27"/>
      <c r="E18" s="28">
        <v>14</v>
      </c>
      <c r="F18" s="119">
        <f t="shared" si="15"/>
        <v>0</v>
      </c>
      <c r="G18" s="596"/>
      <c r="H18" s="89"/>
      <c r="I18" s="90"/>
      <c r="J18" s="307"/>
      <c r="K18" s="90"/>
      <c r="L18" s="91"/>
      <c r="M18" s="92"/>
      <c r="N18" s="419"/>
      <c r="O18" s="414">
        <f t="shared" si="6"/>
        <v>0</v>
      </c>
      <c r="P18" s="92"/>
      <c r="Q18" s="157"/>
      <c r="R18" s="255"/>
      <c r="S18" s="554"/>
      <c r="T18" s="554"/>
      <c r="U18" s="144">
        <f t="shared" si="11"/>
        <v>0</v>
      </c>
      <c r="V18" s="144"/>
      <c r="W18" s="144"/>
      <c r="X18" s="144"/>
      <c r="Y18" s="144"/>
      <c r="Z18" s="144"/>
      <c r="AA18" s="144"/>
      <c r="AB18" s="144"/>
      <c r="AC18" s="144"/>
      <c r="AD18" s="144"/>
      <c r="AE18" s="147">
        <f t="shared" si="12"/>
        <v>0</v>
      </c>
      <c r="AF18" s="59"/>
      <c r="AG18" s="144"/>
      <c r="AH18" s="144"/>
      <c r="AI18" s="144"/>
      <c r="AJ18" s="144"/>
      <c r="AK18" s="144"/>
      <c r="AL18" s="144"/>
      <c r="AM18" s="144"/>
      <c r="AN18" s="405"/>
      <c r="AO18" s="554"/>
      <c r="AP18" s="554"/>
      <c r="AQ18" s="144">
        <f t="shared" si="13"/>
        <v>0</v>
      </c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7">
        <f t="shared" si="14"/>
        <v>0</v>
      </c>
      <c r="BC18" s="59"/>
      <c r="BD18" s="144"/>
      <c r="BE18" s="144"/>
      <c r="BF18" s="144"/>
      <c r="BG18" s="144"/>
      <c r="BH18" s="144"/>
      <c r="BI18" s="144"/>
      <c r="BJ18" s="144"/>
    </row>
    <row r="19" spans="1:62" s="25" customFormat="1" ht="12">
      <c r="A19" s="21"/>
      <c r="B19" s="30" t="s">
        <v>30</v>
      </c>
      <c r="C19" s="27"/>
      <c r="D19" s="27"/>
      <c r="E19" s="28">
        <v>15</v>
      </c>
      <c r="F19" s="119">
        <f t="shared" si="15"/>
        <v>0</v>
      </c>
      <c r="G19" s="596"/>
      <c r="H19" s="89"/>
      <c r="I19" s="90"/>
      <c r="J19" s="307"/>
      <c r="K19" s="90"/>
      <c r="L19" s="91"/>
      <c r="M19" s="92"/>
      <c r="N19" s="419"/>
      <c r="O19" s="414">
        <f t="shared" si="6"/>
        <v>0</v>
      </c>
      <c r="P19" s="92"/>
      <c r="Q19" s="157"/>
      <c r="R19" s="255"/>
      <c r="S19" s="554"/>
      <c r="T19" s="554"/>
      <c r="U19" s="144">
        <f t="shared" si="11"/>
        <v>0</v>
      </c>
      <c r="V19" s="144"/>
      <c r="W19" s="144"/>
      <c r="X19" s="144"/>
      <c r="Y19" s="144"/>
      <c r="Z19" s="144"/>
      <c r="AA19" s="144"/>
      <c r="AB19" s="144"/>
      <c r="AC19" s="144"/>
      <c r="AD19" s="144"/>
      <c r="AE19" s="147">
        <f t="shared" si="12"/>
        <v>0</v>
      </c>
      <c r="AF19" s="59"/>
      <c r="AG19" s="144"/>
      <c r="AH19" s="144"/>
      <c r="AI19" s="144"/>
      <c r="AJ19" s="144"/>
      <c r="AK19" s="144"/>
      <c r="AL19" s="144"/>
      <c r="AM19" s="144"/>
      <c r="AN19" s="405"/>
      <c r="AO19" s="554"/>
      <c r="AP19" s="554"/>
      <c r="AQ19" s="144">
        <f t="shared" si="13"/>
        <v>0</v>
      </c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7">
        <f t="shared" si="14"/>
        <v>0</v>
      </c>
      <c r="BC19" s="59"/>
      <c r="BD19" s="144"/>
      <c r="BE19" s="144"/>
      <c r="BF19" s="144"/>
      <c r="BG19" s="144"/>
      <c r="BH19" s="144"/>
      <c r="BI19" s="144"/>
      <c r="BJ19" s="144"/>
    </row>
    <row r="20" spans="1:62" s="25" customFormat="1" ht="12">
      <c r="A20" s="21"/>
      <c r="B20" s="31" t="s">
        <v>32</v>
      </c>
      <c r="C20" s="32"/>
      <c r="D20" s="32"/>
      <c r="E20" s="33">
        <v>16</v>
      </c>
      <c r="F20" s="119">
        <f t="shared" si="15"/>
        <v>0</v>
      </c>
      <c r="G20" s="596"/>
      <c r="H20" s="89"/>
      <c r="I20" s="90"/>
      <c r="J20" s="307"/>
      <c r="K20" s="90"/>
      <c r="L20" s="91"/>
      <c r="M20" s="92"/>
      <c r="N20" s="419"/>
      <c r="O20" s="414">
        <f t="shared" si="6"/>
        <v>0</v>
      </c>
      <c r="P20" s="92"/>
      <c r="Q20" s="157"/>
      <c r="R20" s="255"/>
      <c r="S20" s="554"/>
      <c r="T20" s="554"/>
      <c r="U20" s="144">
        <f t="shared" si="11"/>
        <v>0</v>
      </c>
      <c r="V20" s="144"/>
      <c r="W20" s="144"/>
      <c r="X20" s="144"/>
      <c r="Y20" s="144"/>
      <c r="Z20" s="144"/>
      <c r="AA20" s="144"/>
      <c r="AB20" s="144"/>
      <c r="AC20" s="144"/>
      <c r="AD20" s="144"/>
      <c r="AE20" s="147">
        <f t="shared" si="12"/>
        <v>0</v>
      </c>
      <c r="AF20" s="59"/>
      <c r="AG20" s="144"/>
      <c r="AH20" s="144"/>
      <c r="AI20" s="144"/>
      <c r="AJ20" s="144"/>
      <c r="AK20" s="144"/>
      <c r="AL20" s="144"/>
      <c r="AM20" s="144"/>
      <c r="AN20" s="405"/>
      <c r="AO20" s="554"/>
      <c r="AP20" s="554"/>
      <c r="AQ20" s="144">
        <f t="shared" si="13"/>
        <v>0</v>
      </c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7">
        <f t="shared" si="14"/>
        <v>0</v>
      </c>
      <c r="BC20" s="59"/>
      <c r="BD20" s="144"/>
      <c r="BE20" s="144"/>
      <c r="BF20" s="144"/>
      <c r="BG20" s="144"/>
      <c r="BH20" s="144"/>
      <c r="BI20" s="144"/>
      <c r="BJ20" s="144"/>
    </row>
    <row r="21" spans="1:62" s="640" customFormat="1" ht="12">
      <c r="A21" s="628"/>
      <c r="B21" s="983" t="s">
        <v>34</v>
      </c>
      <c r="C21" s="733"/>
      <c r="D21" s="733"/>
      <c r="E21" s="630">
        <v>17</v>
      </c>
      <c r="F21" s="631">
        <f t="shared" si="15"/>
        <v>0</v>
      </c>
      <c r="G21" s="643"/>
      <c r="H21" s="644"/>
      <c r="I21" s="645"/>
      <c r="J21" s="646"/>
      <c r="K21" s="645"/>
      <c r="L21" s="647"/>
      <c r="M21" s="631"/>
      <c r="N21" s="637"/>
      <c r="O21" s="734">
        <f t="shared" si="6"/>
        <v>0</v>
      </c>
      <c r="P21" s="631"/>
      <c r="Q21" s="639"/>
      <c r="R21" s="252"/>
      <c r="S21" s="735"/>
      <c r="T21" s="735"/>
      <c r="U21" s="735">
        <f t="shared" si="11"/>
        <v>0</v>
      </c>
      <c r="V21" s="735"/>
      <c r="W21" s="735"/>
      <c r="X21" s="735"/>
      <c r="Y21" s="735"/>
      <c r="Z21" s="735"/>
      <c r="AA21" s="735"/>
      <c r="AB21" s="735"/>
      <c r="AC21" s="735"/>
      <c r="AD21" s="735"/>
      <c r="AE21" s="736">
        <f t="shared" si="12"/>
        <v>0</v>
      </c>
      <c r="AF21" s="51"/>
      <c r="AG21" s="735"/>
      <c r="AH21" s="735"/>
      <c r="AI21" s="735"/>
      <c r="AJ21" s="735"/>
      <c r="AK21" s="735"/>
      <c r="AL21" s="735"/>
      <c r="AM21" s="735"/>
      <c r="AN21" s="405"/>
      <c r="AO21" s="735"/>
      <c r="AP21" s="735"/>
      <c r="AQ21" s="735">
        <f t="shared" si="13"/>
        <v>0</v>
      </c>
      <c r="AR21" s="735"/>
      <c r="AS21" s="735"/>
      <c r="AT21" s="735"/>
      <c r="AU21" s="735"/>
      <c r="AV21" s="735"/>
      <c r="AW21" s="735"/>
      <c r="AX21" s="735"/>
      <c r="AY21" s="735"/>
      <c r="AZ21" s="735"/>
      <c r="BA21" s="735"/>
      <c r="BB21" s="736">
        <f t="shared" si="14"/>
        <v>0</v>
      </c>
      <c r="BC21" s="51"/>
      <c r="BD21" s="735"/>
      <c r="BE21" s="735"/>
      <c r="BF21" s="735"/>
      <c r="BG21" s="735"/>
      <c r="BH21" s="735"/>
      <c r="BI21" s="735"/>
      <c r="BJ21" s="735"/>
    </row>
    <row r="22" spans="1:62" s="25" customFormat="1" ht="12">
      <c r="A22" s="21"/>
      <c r="B22" s="31" t="s">
        <v>36</v>
      </c>
      <c r="C22" s="31"/>
      <c r="D22" s="31"/>
      <c r="E22" s="33">
        <v>18</v>
      </c>
      <c r="F22" s="119">
        <f t="shared" si="15"/>
        <v>0</v>
      </c>
      <c r="G22" s="596"/>
      <c r="H22" s="89"/>
      <c r="I22" s="90"/>
      <c r="J22" s="307"/>
      <c r="K22" s="90"/>
      <c r="L22" s="91"/>
      <c r="M22" s="92">
        <f>M37</f>
        <v>0</v>
      </c>
      <c r="N22" s="746"/>
      <c r="O22" s="414">
        <f t="shared" si="6"/>
        <v>0</v>
      </c>
      <c r="P22" s="92">
        <f>P37</f>
        <v>0</v>
      </c>
      <c r="Q22" s="157">
        <v>104</v>
      </c>
      <c r="R22" s="255"/>
      <c r="S22" s="554"/>
      <c r="T22" s="554"/>
      <c r="U22" s="144">
        <f t="shared" si="11"/>
        <v>0</v>
      </c>
      <c r="V22" s="144"/>
      <c r="W22" s="144"/>
      <c r="X22" s="144"/>
      <c r="Y22" s="144"/>
      <c r="Z22" s="144"/>
      <c r="AA22" s="144"/>
      <c r="AB22" s="144"/>
      <c r="AC22" s="144"/>
      <c r="AD22" s="144"/>
      <c r="AE22" s="147">
        <f t="shared" si="12"/>
        <v>0</v>
      </c>
      <c r="AF22" s="59"/>
      <c r="AG22" s="144"/>
      <c r="AH22" s="144"/>
      <c r="AI22" s="144"/>
      <c r="AJ22" s="144"/>
      <c r="AK22" s="144"/>
      <c r="AL22" s="144"/>
      <c r="AM22" s="144"/>
      <c r="AN22" s="405"/>
      <c r="AO22" s="554"/>
      <c r="AP22" s="554"/>
      <c r="AQ22" s="144">
        <f t="shared" si="13"/>
        <v>0</v>
      </c>
      <c r="AR22" s="144"/>
      <c r="AS22" s="144"/>
      <c r="AT22" s="144">
        <v>104</v>
      </c>
      <c r="AU22" s="144"/>
      <c r="AV22" s="144"/>
      <c r="AW22" s="144"/>
      <c r="AX22" s="144"/>
      <c r="AY22" s="144"/>
      <c r="AZ22" s="144"/>
      <c r="BA22" s="144"/>
      <c r="BB22" s="147">
        <f t="shared" si="14"/>
        <v>104</v>
      </c>
      <c r="BC22" s="59"/>
      <c r="BD22" s="144"/>
      <c r="BE22" s="144"/>
      <c r="BF22" s="144"/>
      <c r="BG22" s="144"/>
      <c r="BH22" s="144"/>
      <c r="BI22" s="144"/>
      <c r="BJ22" s="144"/>
    </row>
    <row r="23" spans="1:62" s="25" customFormat="1" ht="12">
      <c r="A23" s="21"/>
      <c r="B23" s="31" t="s">
        <v>175</v>
      </c>
      <c r="C23" s="31"/>
      <c r="D23" s="31"/>
      <c r="E23" s="33">
        <v>19</v>
      </c>
      <c r="F23" s="119">
        <f t="shared" si="15"/>
        <v>0</v>
      </c>
      <c r="G23" s="596"/>
      <c r="H23" s="89"/>
      <c r="I23" s="90"/>
      <c r="J23" s="307"/>
      <c r="K23" s="90"/>
      <c r="L23" s="91"/>
      <c r="M23" s="92"/>
      <c r="N23" s="419"/>
      <c r="O23" s="414">
        <f t="shared" si="6"/>
        <v>0</v>
      </c>
      <c r="P23" s="92"/>
      <c r="Q23" s="157"/>
      <c r="R23" s="255"/>
      <c r="S23" s="554"/>
      <c r="T23" s="554"/>
      <c r="U23" s="144">
        <f t="shared" si="11"/>
        <v>0</v>
      </c>
      <c r="V23" s="144"/>
      <c r="W23" s="144"/>
      <c r="X23" s="144"/>
      <c r="Y23" s="144"/>
      <c r="Z23" s="144"/>
      <c r="AA23" s="144"/>
      <c r="AB23" s="144"/>
      <c r="AC23" s="144"/>
      <c r="AD23" s="144"/>
      <c r="AE23" s="147">
        <f t="shared" si="12"/>
        <v>0</v>
      </c>
      <c r="AF23" s="59"/>
      <c r="AG23" s="144"/>
      <c r="AH23" s="144"/>
      <c r="AI23" s="144"/>
      <c r="AJ23" s="144"/>
      <c r="AK23" s="144"/>
      <c r="AL23" s="144"/>
      <c r="AM23" s="144"/>
      <c r="AN23" s="405"/>
      <c r="AO23" s="554"/>
      <c r="AP23" s="554"/>
      <c r="AQ23" s="144">
        <f t="shared" si="13"/>
        <v>0</v>
      </c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7">
        <f t="shared" si="14"/>
        <v>0</v>
      </c>
      <c r="BC23" s="59"/>
      <c r="BD23" s="144"/>
      <c r="BE23" s="144"/>
      <c r="BF23" s="144"/>
      <c r="BG23" s="144"/>
      <c r="BH23" s="144"/>
      <c r="BI23" s="144"/>
      <c r="BJ23" s="144"/>
    </row>
    <row r="24" spans="1:62" s="25" customFormat="1" ht="12">
      <c r="A24" s="21"/>
      <c r="B24" s="31" t="s">
        <v>40</v>
      </c>
      <c r="C24" s="31"/>
      <c r="D24" s="31"/>
      <c r="E24" s="33">
        <v>20</v>
      </c>
      <c r="F24" s="119">
        <f t="shared" si="15"/>
        <v>0</v>
      </c>
      <c r="G24" s="596"/>
      <c r="H24" s="89"/>
      <c r="I24" s="90"/>
      <c r="J24" s="307"/>
      <c r="K24" s="90"/>
      <c r="L24" s="91"/>
      <c r="M24" s="92"/>
      <c r="N24" s="419"/>
      <c r="O24" s="414">
        <f t="shared" si="6"/>
        <v>0</v>
      </c>
      <c r="P24" s="92"/>
      <c r="Q24" s="157"/>
      <c r="R24" s="255"/>
      <c r="S24" s="554"/>
      <c r="T24" s="554"/>
      <c r="U24" s="144">
        <f t="shared" si="11"/>
        <v>0</v>
      </c>
      <c r="V24" s="144"/>
      <c r="W24" s="144"/>
      <c r="X24" s="144"/>
      <c r="Y24" s="144"/>
      <c r="Z24" s="144"/>
      <c r="AA24" s="144"/>
      <c r="AB24" s="144"/>
      <c r="AC24" s="144"/>
      <c r="AD24" s="144"/>
      <c r="AE24" s="147">
        <f t="shared" si="12"/>
        <v>0</v>
      </c>
      <c r="AF24" s="59"/>
      <c r="AG24" s="144"/>
      <c r="AH24" s="144"/>
      <c r="AI24" s="144"/>
      <c r="AJ24" s="144"/>
      <c r="AK24" s="144"/>
      <c r="AL24" s="144"/>
      <c r="AM24" s="144"/>
      <c r="AN24" s="405"/>
      <c r="AO24" s="554"/>
      <c r="AP24" s="554"/>
      <c r="AQ24" s="144">
        <f t="shared" si="13"/>
        <v>0</v>
      </c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7">
        <f t="shared" si="14"/>
        <v>0</v>
      </c>
      <c r="BC24" s="59"/>
      <c r="BD24" s="144"/>
      <c r="BE24" s="144"/>
      <c r="BF24" s="144"/>
      <c r="BG24" s="144"/>
      <c r="BH24" s="144"/>
      <c r="BI24" s="144"/>
      <c r="BJ24" s="144"/>
    </row>
    <row r="25" spans="1:62" s="640" customFormat="1" ht="12">
      <c r="A25" s="628"/>
      <c r="B25" s="629" t="s">
        <v>186</v>
      </c>
      <c r="C25" s="629"/>
      <c r="D25" s="629"/>
      <c r="E25" s="630">
        <v>21</v>
      </c>
      <c r="F25" s="631">
        <f t="shared" si="15"/>
        <v>0</v>
      </c>
      <c r="G25" s="643"/>
      <c r="H25" s="644"/>
      <c r="I25" s="645"/>
      <c r="J25" s="646"/>
      <c r="K25" s="645"/>
      <c r="L25" s="647"/>
      <c r="M25" s="631"/>
      <c r="N25" s="637"/>
      <c r="O25" s="734">
        <f t="shared" si="6"/>
        <v>0</v>
      </c>
      <c r="P25" s="631"/>
      <c r="Q25" s="639"/>
      <c r="R25" s="252"/>
      <c r="S25" s="735"/>
      <c r="T25" s="735"/>
      <c r="U25" s="735">
        <f t="shared" si="11"/>
        <v>0</v>
      </c>
      <c r="V25" s="735"/>
      <c r="W25" s="735"/>
      <c r="X25" s="735"/>
      <c r="Y25" s="735"/>
      <c r="Z25" s="735"/>
      <c r="AA25" s="735"/>
      <c r="AB25" s="735"/>
      <c r="AC25" s="735"/>
      <c r="AD25" s="735"/>
      <c r="AE25" s="736">
        <f t="shared" si="12"/>
        <v>0</v>
      </c>
      <c r="AF25" s="51"/>
      <c r="AG25" s="735"/>
      <c r="AH25" s="735"/>
      <c r="AI25" s="735"/>
      <c r="AJ25" s="735"/>
      <c r="AK25" s="735"/>
      <c r="AL25" s="735"/>
      <c r="AM25" s="735"/>
      <c r="AN25" s="405"/>
      <c r="AO25" s="735"/>
      <c r="AP25" s="735"/>
      <c r="AQ25" s="735">
        <f t="shared" si="13"/>
        <v>0</v>
      </c>
      <c r="AR25" s="735"/>
      <c r="AS25" s="735"/>
      <c r="AT25" s="735"/>
      <c r="AU25" s="735"/>
      <c r="AV25" s="735"/>
      <c r="AW25" s="735"/>
      <c r="AX25" s="735"/>
      <c r="AY25" s="735"/>
      <c r="AZ25" s="735"/>
      <c r="BA25" s="735"/>
      <c r="BB25" s="736">
        <f t="shared" si="14"/>
        <v>0</v>
      </c>
      <c r="BC25" s="51"/>
      <c r="BD25" s="735"/>
      <c r="BE25" s="735"/>
      <c r="BF25" s="735"/>
      <c r="BG25" s="735"/>
      <c r="BH25" s="735"/>
      <c r="BI25" s="735"/>
      <c r="BJ25" s="735"/>
    </row>
    <row r="26" spans="1:62" s="25" customFormat="1" ht="12">
      <c r="A26" s="21"/>
      <c r="B26" s="31" t="s">
        <v>43</v>
      </c>
      <c r="C26" s="31"/>
      <c r="D26" s="31"/>
      <c r="E26" s="33">
        <v>22</v>
      </c>
      <c r="F26" s="119">
        <f t="shared" si="15"/>
        <v>0</v>
      </c>
      <c r="G26" s="596"/>
      <c r="H26" s="89"/>
      <c r="I26" s="90"/>
      <c r="J26" s="307"/>
      <c r="K26" s="90"/>
      <c r="L26" s="91"/>
      <c r="M26" s="92"/>
      <c r="N26" s="419"/>
      <c r="O26" s="414">
        <f t="shared" si="6"/>
        <v>0</v>
      </c>
      <c r="P26" s="92"/>
      <c r="Q26" s="157"/>
      <c r="R26" s="255"/>
      <c r="S26" s="554"/>
      <c r="T26" s="554"/>
      <c r="U26" s="144">
        <f t="shared" si="11"/>
        <v>0</v>
      </c>
      <c r="V26" s="144"/>
      <c r="W26" s="144"/>
      <c r="X26" s="144"/>
      <c r="Y26" s="144"/>
      <c r="Z26" s="144"/>
      <c r="AA26" s="144"/>
      <c r="AB26" s="144"/>
      <c r="AC26" s="144"/>
      <c r="AD26" s="144"/>
      <c r="AE26" s="147">
        <f t="shared" si="12"/>
        <v>0</v>
      </c>
      <c r="AF26" s="59"/>
      <c r="AG26" s="144"/>
      <c r="AH26" s="144"/>
      <c r="AI26" s="144"/>
      <c r="AJ26" s="144"/>
      <c r="AK26" s="144"/>
      <c r="AL26" s="144"/>
      <c r="AM26" s="144"/>
      <c r="AN26" s="405"/>
      <c r="AO26" s="554"/>
      <c r="AP26" s="554"/>
      <c r="AQ26" s="144">
        <f t="shared" si="13"/>
        <v>0</v>
      </c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7">
        <f t="shared" si="14"/>
        <v>0</v>
      </c>
      <c r="BC26" s="59"/>
      <c r="BD26" s="144"/>
      <c r="BE26" s="144"/>
      <c r="BF26" s="144"/>
      <c r="BG26" s="144"/>
      <c r="BH26" s="144"/>
      <c r="BI26" s="144"/>
      <c r="BJ26" s="144"/>
    </row>
    <row r="27" spans="1:62" s="25" customFormat="1" ht="12">
      <c r="A27" s="21"/>
      <c r="B27" s="31" t="s">
        <v>44</v>
      </c>
      <c r="C27" s="31"/>
      <c r="D27" s="31"/>
      <c r="E27" s="33">
        <v>23</v>
      </c>
      <c r="F27" s="119">
        <f t="shared" si="15"/>
        <v>0</v>
      </c>
      <c r="G27" s="596"/>
      <c r="H27" s="89"/>
      <c r="I27" s="90"/>
      <c r="J27" s="307"/>
      <c r="K27" s="90"/>
      <c r="L27" s="91"/>
      <c r="M27" s="92"/>
      <c r="N27" s="419"/>
      <c r="O27" s="414">
        <f t="shared" si="6"/>
        <v>0</v>
      </c>
      <c r="P27" s="92"/>
      <c r="Q27" s="157"/>
      <c r="R27" s="255"/>
      <c r="S27" s="554"/>
      <c r="T27" s="554"/>
      <c r="U27" s="144">
        <f t="shared" si="11"/>
        <v>0</v>
      </c>
      <c r="V27" s="144"/>
      <c r="W27" s="144"/>
      <c r="X27" s="144"/>
      <c r="Y27" s="144"/>
      <c r="Z27" s="144"/>
      <c r="AA27" s="144"/>
      <c r="AB27" s="144"/>
      <c r="AC27" s="144"/>
      <c r="AD27" s="144"/>
      <c r="AE27" s="147">
        <f t="shared" si="12"/>
        <v>0</v>
      </c>
      <c r="AF27" s="59"/>
      <c r="AG27" s="144"/>
      <c r="AH27" s="144"/>
      <c r="AI27" s="144"/>
      <c r="AJ27" s="144"/>
      <c r="AK27" s="144"/>
      <c r="AL27" s="144"/>
      <c r="AM27" s="144"/>
      <c r="AN27" s="405"/>
      <c r="AO27" s="554"/>
      <c r="AP27" s="554"/>
      <c r="AQ27" s="144">
        <f t="shared" si="13"/>
        <v>0</v>
      </c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7">
        <f t="shared" si="14"/>
        <v>0</v>
      </c>
      <c r="BC27" s="59"/>
      <c r="BD27" s="144"/>
      <c r="BE27" s="144"/>
      <c r="BF27" s="144"/>
      <c r="BG27" s="144"/>
      <c r="BH27" s="144"/>
      <c r="BI27" s="144"/>
      <c r="BJ27" s="144"/>
    </row>
    <row r="28" spans="1:62" s="25" customFormat="1" ht="12">
      <c r="A28" s="21"/>
      <c r="B28" s="31" t="s">
        <v>45</v>
      </c>
      <c r="C28" s="31"/>
      <c r="D28" s="31"/>
      <c r="E28" s="33">
        <v>24</v>
      </c>
      <c r="F28" s="119">
        <f t="shared" si="15"/>
        <v>0</v>
      </c>
      <c r="G28" s="596"/>
      <c r="H28" s="89"/>
      <c r="I28" s="90"/>
      <c r="J28" s="307"/>
      <c r="K28" s="90"/>
      <c r="L28" s="91"/>
      <c r="M28" s="92"/>
      <c r="N28" s="541"/>
      <c r="O28" s="414">
        <f t="shared" si="6"/>
        <v>0</v>
      </c>
      <c r="P28" s="92"/>
      <c r="Q28" s="566"/>
      <c r="R28" s="255"/>
      <c r="S28" s="554"/>
      <c r="T28" s="554"/>
      <c r="U28" s="144">
        <f t="shared" si="11"/>
        <v>0</v>
      </c>
      <c r="V28" s="144"/>
      <c r="W28" s="144"/>
      <c r="X28" s="144"/>
      <c r="Y28" s="144"/>
      <c r="Z28" s="144"/>
      <c r="AA28" s="144"/>
      <c r="AB28" s="144"/>
      <c r="AC28" s="144"/>
      <c r="AD28" s="144"/>
      <c r="AE28" s="147"/>
      <c r="AF28" s="59"/>
      <c r="AG28" s="144"/>
      <c r="AH28" s="144"/>
      <c r="AI28" s="144"/>
      <c r="AJ28" s="144"/>
      <c r="AK28" s="144"/>
      <c r="AL28" s="144"/>
      <c r="AM28" s="144"/>
      <c r="AN28" s="405"/>
      <c r="AO28" s="554"/>
      <c r="AP28" s="55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7"/>
      <c r="BC28" s="59"/>
      <c r="BD28" s="144"/>
      <c r="BE28" s="144"/>
      <c r="BF28" s="144"/>
      <c r="BG28" s="144"/>
      <c r="BH28" s="144"/>
      <c r="BI28" s="144"/>
      <c r="BJ28" s="144"/>
    </row>
    <row r="29" spans="1:62" s="25" customFormat="1" ht="12.75" thickBot="1">
      <c r="A29" s="21"/>
      <c r="B29" s="30" t="s">
        <v>47</v>
      </c>
      <c r="C29" s="30"/>
      <c r="D29" s="30"/>
      <c r="E29" s="28">
        <v>25</v>
      </c>
      <c r="F29" s="119">
        <f t="shared" si="15"/>
        <v>0</v>
      </c>
      <c r="G29" s="596"/>
      <c r="H29" s="89"/>
      <c r="I29" s="90"/>
      <c r="J29" s="307"/>
      <c r="K29" s="90"/>
      <c r="L29" s="91"/>
      <c r="M29" s="92"/>
      <c r="N29" s="419"/>
      <c r="O29" s="412">
        <f t="shared" si="6"/>
        <v>0</v>
      </c>
      <c r="P29" s="92" t="e">
        <f>N29/titl!$H$17*12</f>
        <v>#DIV/0!</v>
      </c>
      <c r="Q29" s="157"/>
      <c r="R29" s="255"/>
      <c r="S29" s="554"/>
      <c r="T29" s="554"/>
      <c r="U29" s="144">
        <f t="shared" si="11"/>
        <v>0</v>
      </c>
      <c r="V29" s="144"/>
      <c r="W29" s="144"/>
      <c r="X29" s="144"/>
      <c r="Y29" s="144"/>
      <c r="Z29" s="144"/>
      <c r="AA29" s="144"/>
      <c r="AB29" s="144"/>
      <c r="AC29" s="144"/>
      <c r="AD29" s="144"/>
      <c r="AE29" s="147"/>
      <c r="AF29" s="59"/>
      <c r="AG29" s="144"/>
      <c r="AH29" s="144"/>
      <c r="AI29" s="144"/>
      <c r="AJ29" s="144"/>
      <c r="AK29" s="144"/>
      <c r="AL29" s="144"/>
      <c r="AM29" s="144"/>
      <c r="AN29" s="405"/>
      <c r="AO29" s="554"/>
      <c r="AP29" s="554"/>
      <c r="AQ29" s="144"/>
      <c r="AR29" s="144"/>
      <c r="AS29" s="144"/>
      <c r="AT29" s="144"/>
      <c r="AU29" s="144"/>
      <c r="AV29" s="144"/>
      <c r="AW29" s="144"/>
      <c r="AX29" s="144">
        <v>1302</v>
      </c>
      <c r="AY29" s="144"/>
      <c r="AZ29" s="144"/>
      <c r="BA29" s="144"/>
      <c r="BB29" s="147"/>
      <c r="BC29" s="59"/>
      <c r="BD29" s="144"/>
      <c r="BE29" s="144"/>
      <c r="BF29" s="144"/>
      <c r="BG29" s="144"/>
      <c r="BH29" s="144"/>
      <c r="BI29" s="144"/>
      <c r="BJ29" s="144"/>
    </row>
    <row r="30" spans="1:62" ht="13.5" thickBot="1">
      <c r="A30" s="37" t="s">
        <v>49</v>
      </c>
      <c r="B30" s="38"/>
      <c r="C30" s="38"/>
      <c r="D30" s="38"/>
      <c r="E30" s="19">
        <v>26</v>
      </c>
      <c r="F30" s="197">
        <f>SUM(F31:F47)</f>
        <v>113958</v>
      </c>
      <c r="G30" s="597">
        <f aca="true" t="shared" si="19" ref="G30:N30">SUM(G31:G47)</f>
        <v>113958</v>
      </c>
      <c r="H30" s="125">
        <f t="shared" si="19"/>
        <v>0</v>
      </c>
      <c r="I30" s="77">
        <f t="shared" si="19"/>
        <v>0</v>
      </c>
      <c r="J30" s="304">
        <f t="shared" si="19"/>
        <v>0</v>
      </c>
      <c r="K30" s="77">
        <f t="shared" si="19"/>
        <v>0</v>
      </c>
      <c r="L30" s="76">
        <f t="shared" si="19"/>
        <v>0</v>
      </c>
      <c r="M30" s="471">
        <f t="shared" si="19"/>
        <v>0</v>
      </c>
      <c r="N30" s="471">
        <f t="shared" si="19"/>
        <v>0</v>
      </c>
      <c r="O30" s="413">
        <f t="shared" si="6"/>
        <v>0</v>
      </c>
      <c r="P30" s="78" t="e">
        <f>SUM(P31:P47)</f>
        <v>#DIV/0!</v>
      </c>
      <c r="Q30" s="78">
        <f>SUM(Q31:Q47)</f>
        <v>79700</v>
      </c>
      <c r="S30" s="553">
        <f aca="true" t="shared" si="20" ref="S30:AE30">SUM(S31:S47)</f>
        <v>0</v>
      </c>
      <c r="T30" s="553">
        <f t="shared" si="20"/>
        <v>0</v>
      </c>
      <c r="U30" s="143">
        <f t="shared" si="20"/>
        <v>0</v>
      </c>
      <c r="V30" s="143">
        <f t="shared" si="20"/>
        <v>472</v>
      </c>
      <c r="W30" s="143">
        <f t="shared" si="20"/>
        <v>0</v>
      </c>
      <c r="X30" s="143">
        <f t="shared" si="20"/>
        <v>0</v>
      </c>
      <c r="Y30" s="143">
        <f t="shared" si="20"/>
        <v>0</v>
      </c>
      <c r="Z30" s="143">
        <f t="shared" si="20"/>
        <v>113000</v>
      </c>
      <c r="AA30" s="143">
        <f t="shared" si="20"/>
        <v>0</v>
      </c>
      <c r="AB30" s="143">
        <f t="shared" si="20"/>
        <v>0</v>
      </c>
      <c r="AC30" s="143">
        <f t="shared" si="20"/>
        <v>250</v>
      </c>
      <c r="AD30" s="143">
        <f t="shared" si="20"/>
        <v>958</v>
      </c>
      <c r="AE30" s="143">
        <f t="shared" si="20"/>
        <v>114680</v>
      </c>
      <c r="AG30" s="143">
        <f aca="true" t="shared" si="21" ref="AG30:AM30">SUM(AG31:AG47)</f>
        <v>0</v>
      </c>
      <c r="AH30" s="143">
        <f t="shared" si="21"/>
        <v>0</v>
      </c>
      <c r="AI30" s="143"/>
      <c r="AJ30" s="143">
        <f t="shared" si="21"/>
        <v>0</v>
      </c>
      <c r="AK30" s="143">
        <f t="shared" si="21"/>
        <v>0</v>
      </c>
      <c r="AL30" s="143">
        <f t="shared" si="21"/>
        <v>0</v>
      </c>
      <c r="AM30" s="143">
        <f t="shared" si="21"/>
        <v>0</v>
      </c>
      <c r="AO30" s="553">
        <f aca="true" t="shared" si="22" ref="AO30:BB30">SUM(AO31:AO47)</f>
        <v>0</v>
      </c>
      <c r="AP30" s="553">
        <f t="shared" si="22"/>
        <v>0</v>
      </c>
      <c r="AQ30" s="143">
        <f t="shared" si="22"/>
        <v>0</v>
      </c>
      <c r="AR30" s="143">
        <f t="shared" si="22"/>
        <v>466</v>
      </c>
      <c r="AS30" s="143">
        <f t="shared" si="22"/>
        <v>310</v>
      </c>
      <c r="AT30" s="143">
        <f t="shared" si="22"/>
        <v>104</v>
      </c>
      <c r="AU30" s="143">
        <f t="shared" si="22"/>
        <v>0</v>
      </c>
      <c r="AV30" s="143">
        <f t="shared" si="22"/>
        <v>0</v>
      </c>
      <c r="AW30" s="143">
        <f t="shared" si="22"/>
        <v>76452</v>
      </c>
      <c r="AX30" s="143">
        <f t="shared" si="22"/>
        <v>1302</v>
      </c>
      <c r="AY30" s="143">
        <f t="shared" si="22"/>
        <v>0</v>
      </c>
      <c r="AZ30" s="143">
        <f t="shared" si="22"/>
        <v>209</v>
      </c>
      <c r="BA30" s="143">
        <f t="shared" si="22"/>
        <v>856</v>
      </c>
      <c r="BB30" s="143">
        <f t="shared" si="22"/>
        <v>79699</v>
      </c>
      <c r="BD30" s="143">
        <f aca="true" t="shared" si="23" ref="BD30:BJ30">SUM(BD31:BD47)</f>
        <v>0</v>
      </c>
      <c r="BE30" s="143">
        <f t="shared" si="23"/>
        <v>0</v>
      </c>
      <c r="BF30" s="143">
        <f t="shared" si="23"/>
        <v>0</v>
      </c>
      <c r="BG30" s="143">
        <f t="shared" si="23"/>
        <v>0</v>
      </c>
      <c r="BH30" s="143">
        <f t="shared" si="23"/>
        <v>0</v>
      </c>
      <c r="BI30" s="143">
        <f t="shared" si="23"/>
        <v>0</v>
      </c>
      <c r="BJ30" s="143">
        <f t="shared" si="23"/>
        <v>0</v>
      </c>
    </row>
    <row r="31" spans="1:62" s="25" customFormat="1" ht="12">
      <c r="A31" s="21" t="s">
        <v>14</v>
      </c>
      <c r="B31" s="27" t="s">
        <v>50</v>
      </c>
      <c r="C31" s="27"/>
      <c r="D31" s="27"/>
      <c r="E31" s="28">
        <v>27</v>
      </c>
      <c r="F31" s="119">
        <f t="shared" si="15"/>
        <v>0</v>
      </c>
      <c r="G31" s="594"/>
      <c r="H31" s="112"/>
      <c r="I31" s="81"/>
      <c r="J31" s="305"/>
      <c r="K31" s="81"/>
      <c r="L31" s="80"/>
      <c r="M31" s="82"/>
      <c r="N31" s="417"/>
      <c r="O31" s="414">
        <f>IF(F31=0,0,N31/M31)</f>
        <v>0</v>
      </c>
      <c r="P31" s="82">
        <f>M31</f>
        <v>0</v>
      </c>
      <c r="Q31" s="82">
        <v>776</v>
      </c>
      <c r="R31" s="255"/>
      <c r="S31" s="556"/>
      <c r="T31" s="556"/>
      <c r="U31" s="150">
        <f aca="true" t="shared" si="24" ref="U31:U44">S31+T31</f>
        <v>0</v>
      </c>
      <c r="V31" s="150">
        <v>472</v>
      </c>
      <c r="W31" s="150"/>
      <c r="X31" s="150"/>
      <c r="Y31" s="150"/>
      <c r="Z31" s="150"/>
      <c r="AA31" s="150"/>
      <c r="AB31" s="150"/>
      <c r="AC31" s="150"/>
      <c r="AD31" s="150"/>
      <c r="AE31" s="147">
        <f aca="true" t="shared" si="25" ref="AE31:AE48">SUM(U31:AD31)</f>
        <v>472</v>
      </c>
      <c r="AF31" s="59"/>
      <c r="AG31" s="150"/>
      <c r="AH31" s="150"/>
      <c r="AI31" s="150"/>
      <c r="AJ31" s="150"/>
      <c r="AK31" s="150"/>
      <c r="AL31" s="150"/>
      <c r="AM31" s="150"/>
      <c r="AN31" s="405"/>
      <c r="AO31" s="556"/>
      <c r="AP31" s="556"/>
      <c r="AQ31" s="150">
        <f aca="true" t="shared" si="26" ref="AQ31:AQ42">AO31+AP31</f>
        <v>0</v>
      </c>
      <c r="AR31" s="150">
        <v>466</v>
      </c>
      <c r="AS31" s="150">
        <v>310</v>
      </c>
      <c r="AT31" s="150"/>
      <c r="AU31" s="150"/>
      <c r="AV31" s="150"/>
      <c r="AW31" s="150"/>
      <c r="AX31" s="150"/>
      <c r="AY31" s="150"/>
      <c r="AZ31" s="150"/>
      <c r="BA31" s="150"/>
      <c r="BB31" s="147">
        <f aca="true" t="shared" si="27" ref="BB31:BB48">SUM(AQ31:BA31)</f>
        <v>776</v>
      </c>
      <c r="BC31" s="59"/>
      <c r="BD31" s="150"/>
      <c r="BE31" s="150"/>
      <c r="BF31" s="150"/>
      <c r="BG31" s="150"/>
      <c r="BH31" s="150"/>
      <c r="BI31" s="150"/>
      <c r="BJ31" s="150"/>
    </row>
    <row r="32" spans="1:62" s="25" customFormat="1" ht="12">
      <c r="A32" s="21"/>
      <c r="B32" s="30" t="s">
        <v>28</v>
      </c>
      <c r="C32" s="30"/>
      <c r="D32" s="30"/>
      <c r="E32" s="28">
        <v>28</v>
      </c>
      <c r="F32" s="119">
        <f t="shared" si="15"/>
        <v>0</v>
      </c>
      <c r="G32" s="499"/>
      <c r="H32" s="126"/>
      <c r="I32" s="95"/>
      <c r="J32" s="308"/>
      <c r="K32" s="95"/>
      <c r="L32" s="94"/>
      <c r="M32" s="96"/>
      <c r="N32" s="420"/>
      <c r="O32" s="414">
        <f aca="true" t="shared" si="28" ref="O32:O37">IF(F32=0,0,N32/F32)</f>
        <v>0</v>
      </c>
      <c r="P32" s="96">
        <f aca="true" t="shared" si="29" ref="P32:P42">F32</f>
        <v>0</v>
      </c>
      <c r="Q32" s="96"/>
      <c r="R32" s="255"/>
      <c r="S32" s="557"/>
      <c r="T32" s="557"/>
      <c r="U32" s="151">
        <f t="shared" si="24"/>
        <v>0</v>
      </c>
      <c r="V32" s="151"/>
      <c r="W32" s="151"/>
      <c r="X32" s="151"/>
      <c r="Y32" s="151"/>
      <c r="Z32" s="151"/>
      <c r="AA32" s="151"/>
      <c r="AB32" s="151"/>
      <c r="AC32" s="151"/>
      <c r="AD32" s="151"/>
      <c r="AE32" s="147">
        <f t="shared" si="25"/>
        <v>0</v>
      </c>
      <c r="AF32" s="59"/>
      <c r="AG32" s="151"/>
      <c r="AH32" s="151"/>
      <c r="AI32" s="151"/>
      <c r="AJ32" s="151"/>
      <c r="AK32" s="151"/>
      <c r="AL32" s="151"/>
      <c r="AM32" s="151"/>
      <c r="AN32" s="405"/>
      <c r="AO32" s="557"/>
      <c r="AP32" s="557"/>
      <c r="AQ32" s="151">
        <f t="shared" si="26"/>
        <v>0</v>
      </c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47">
        <f t="shared" si="27"/>
        <v>0</v>
      </c>
      <c r="BC32" s="59"/>
      <c r="BD32" s="151"/>
      <c r="BE32" s="151"/>
      <c r="BF32" s="151"/>
      <c r="BG32" s="151"/>
      <c r="BH32" s="151"/>
      <c r="BI32" s="151"/>
      <c r="BJ32" s="151"/>
    </row>
    <row r="33" spans="1:62" s="25" customFormat="1" ht="12">
      <c r="A33" s="21"/>
      <c r="B33" s="30" t="s">
        <v>30</v>
      </c>
      <c r="C33" s="30"/>
      <c r="D33" s="30"/>
      <c r="E33" s="28">
        <v>29</v>
      </c>
      <c r="F33" s="119">
        <f t="shared" si="15"/>
        <v>0</v>
      </c>
      <c r="G33" s="499"/>
      <c r="H33" s="126"/>
      <c r="I33" s="95"/>
      <c r="J33" s="308"/>
      <c r="K33" s="95"/>
      <c r="L33" s="94"/>
      <c r="M33" s="96"/>
      <c r="N33" s="420"/>
      <c r="O33" s="414">
        <f t="shared" si="28"/>
        <v>0</v>
      </c>
      <c r="P33" s="96">
        <f t="shared" si="29"/>
        <v>0</v>
      </c>
      <c r="Q33" s="96"/>
      <c r="R33" s="255"/>
      <c r="S33" s="557"/>
      <c r="T33" s="557"/>
      <c r="U33" s="151">
        <f t="shared" si="24"/>
        <v>0</v>
      </c>
      <c r="V33" s="151"/>
      <c r="W33" s="151"/>
      <c r="X33" s="151"/>
      <c r="Y33" s="151"/>
      <c r="Z33" s="151"/>
      <c r="AA33" s="151"/>
      <c r="AB33" s="151"/>
      <c r="AC33" s="151"/>
      <c r="AD33" s="151"/>
      <c r="AE33" s="147">
        <f t="shared" si="25"/>
        <v>0</v>
      </c>
      <c r="AF33" s="59"/>
      <c r="AG33" s="151"/>
      <c r="AH33" s="151"/>
      <c r="AI33" s="151"/>
      <c r="AJ33" s="151"/>
      <c r="AK33" s="151"/>
      <c r="AL33" s="151"/>
      <c r="AM33" s="151"/>
      <c r="AN33" s="405"/>
      <c r="AO33" s="557"/>
      <c r="AP33" s="557"/>
      <c r="AQ33" s="151">
        <f t="shared" si="26"/>
        <v>0</v>
      </c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47">
        <f t="shared" si="27"/>
        <v>0</v>
      </c>
      <c r="BC33" s="59"/>
      <c r="BD33" s="151"/>
      <c r="BE33" s="151"/>
      <c r="BF33" s="151"/>
      <c r="BG33" s="151"/>
      <c r="BH33" s="151"/>
      <c r="BI33" s="151"/>
      <c r="BJ33" s="151"/>
    </row>
    <row r="34" spans="1:62" s="25" customFormat="1" ht="12">
      <c r="A34" s="21"/>
      <c r="B34" s="31" t="s">
        <v>32</v>
      </c>
      <c r="C34" s="32"/>
      <c r="D34" s="32"/>
      <c r="E34" s="33">
        <v>30</v>
      </c>
      <c r="F34" s="119">
        <f t="shared" si="15"/>
        <v>0</v>
      </c>
      <c r="G34" s="499"/>
      <c r="H34" s="126"/>
      <c r="I34" s="95"/>
      <c r="J34" s="308"/>
      <c r="K34" s="95"/>
      <c r="L34" s="94"/>
      <c r="M34" s="96"/>
      <c r="N34" s="420"/>
      <c r="O34" s="414">
        <f t="shared" si="28"/>
        <v>0</v>
      </c>
      <c r="P34" s="96">
        <f t="shared" si="29"/>
        <v>0</v>
      </c>
      <c r="Q34" s="96"/>
      <c r="R34" s="255"/>
      <c r="S34" s="557"/>
      <c r="T34" s="557"/>
      <c r="U34" s="151">
        <f t="shared" si="24"/>
        <v>0</v>
      </c>
      <c r="V34" s="151"/>
      <c r="W34" s="151"/>
      <c r="X34" s="151"/>
      <c r="Y34" s="151"/>
      <c r="Z34" s="151"/>
      <c r="AA34" s="151"/>
      <c r="AB34" s="151"/>
      <c r="AC34" s="151"/>
      <c r="AD34" s="151"/>
      <c r="AE34" s="147">
        <f t="shared" si="25"/>
        <v>0</v>
      </c>
      <c r="AF34" s="59"/>
      <c r="AG34" s="151"/>
      <c r="AH34" s="151"/>
      <c r="AI34" s="151"/>
      <c r="AJ34" s="151"/>
      <c r="AK34" s="151"/>
      <c r="AL34" s="151"/>
      <c r="AM34" s="151"/>
      <c r="AN34" s="405"/>
      <c r="AO34" s="557"/>
      <c r="AP34" s="557"/>
      <c r="AQ34" s="151">
        <f t="shared" si="26"/>
        <v>0</v>
      </c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47">
        <f t="shared" si="27"/>
        <v>0</v>
      </c>
      <c r="BC34" s="59"/>
      <c r="BD34" s="151"/>
      <c r="BE34" s="151"/>
      <c r="BF34" s="151"/>
      <c r="BG34" s="151"/>
      <c r="BH34" s="151"/>
      <c r="BI34" s="151"/>
      <c r="BJ34" s="151"/>
    </row>
    <row r="35" spans="1:62" s="25" customFormat="1" ht="12">
      <c r="A35" s="21"/>
      <c r="B35" s="31" t="s">
        <v>34</v>
      </c>
      <c r="C35" s="31"/>
      <c r="D35" s="31"/>
      <c r="E35" s="33">
        <v>31</v>
      </c>
      <c r="F35" s="119">
        <f t="shared" si="15"/>
        <v>0</v>
      </c>
      <c r="G35" s="499"/>
      <c r="H35" s="126"/>
      <c r="I35" s="95"/>
      <c r="J35" s="308"/>
      <c r="K35" s="95"/>
      <c r="L35" s="94"/>
      <c r="M35" s="96"/>
      <c r="N35" s="420"/>
      <c r="O35" s="414">
        <f t="shared" si="28"/>
        <v>0</v>
      </c>
      <c r="P35" s="96">
        <f t="shared" si="29"/>
        <v>0</v>
      </c>
      <c r="Q35" s="96"/>
      <c r="R35" s="255"/>
      <c r="S35" s="557"/>
      <c r="T35" s="557"/>
      <c r="U35" s="151">
        <f t="shared" si="24"/>
        <v>0</v>
      </c>
      <c r="V35" s="151"/>
      <c r="W35" s="151"/>
      <c r="X35" s="151"/>
      <c r="Y35" s="151"/>
      <c r="Z35" s="151"/>
      <c r="AA35" s="151"/>
      <c r="AB35" s="151"/>
      <c r="AC35" s="151"/>
      <c r="AD35" s="151"/>
      <c r="AE35" s="147">
        <f t="shared" si="25"/>
        <v>0</v>
      </c>
      <c r="AF35" s="59"/>
      <c r="AG35" s="151"/>
      <c r="AH35" s="151"/>
      <c r="AI35" s="151"/>
      <c r="AJ35" s="151"/>
      <c r="AK35" s="151"/>
      <c r="AL35" s="151"/>
      <c r="AM35" s="151"/>
      <c r="AN35" s="405"/>
      <c r="AO35" s="557"/>
      <c r="AP35" s="557"/>
      <c r="AQ35" s="151">
        <f t="shared" si="26"/>
        <v>0</v>
      </c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47">
        <f t="shared" si="27"/>
        <v>0</v>
      </c>
      <c r="BC35" s="59"/>
      <c r="BD35" s="151"/>
      <c r="BE35" s="151"/>
      <c r="BF35" s="151"/>
      <c r="BG35" s="151"/>
      <c r="BH35" s="151"/>
      <c r="BI35" s="151"/>
      <c r="BJ35" s="151"/>
    </row>
    <row r="36" spans="1:62" s="640" customFormat="1" ht="12">
      <c r="A36" s="628"/>
      <c r="B36" s="983" t="s">
        <v>52</v>
      </c>
      <c r="C36" s="629"/>
      <c r="D36" s="629"/>
      <c r="E36" s="630">
        <v>32</v>
      </c>
      <c r="F36" s="631">
        <f t="shared" si="15"/>
        <v>0</v>
      </c>
      <c r="G36" s="649"/>
      <c r="H36" s="633"/>
      <c r="I36" s="634"/>
      <c r="J36" s="635"/>
      <c r="K36" s="634"/>
      <c r="L36" s="636"/>
      <c r="M36" s="632"/>
      <c r="N36" s="641"/>
      <c r="O36" s="734">
        <f t="shared" si="28"/>
        <v>0</v>
      </c>
      <c r="P36" s="632">
        <f t="shared" si="29"/>
        <v>0</v>
      </c>
      <c r="Q36" s="632"/>
      <c r="R36" s="252"/>
      <c r="S36" s="740"/>
      <c r="T36" s="740"/>
      <c r="U36" s="740">
        <f t="shared" si="24"/>
        <v>0</v>
      </c>
      <c r="V36" s="740"/>
      <c r="W36" s="740"/>
      <c r="X36" s="740"/>
      <c r="Y36" s="740"/>
      <c r="Z36" s="740"/>
      <c r="AA36" s="740"/>
      <c r="AB36" s="740"/>
      <c r="AC36" s="740"/>
      <c r="AD36" s="740"/>
      <c r="AE36" s="736">
        <f t="shared" si="25"/>
        <v>0</v>
      </c>
      <c r="AF36" s="51"/>
      <c r="AG36" s="740"/>
      <c r="AH36" s="740"/>
      <c r="AI36" s="740"/>
      <c r="AJ36" s="740"/>
      <c r="AK36" s="740"/>
      <c r="AL36" s="740"/>
      <c r="AM36" s="740"/>
      <c r="AN36" s="405"/>
      <c r="AO36" s="740"/>
      <c r="AP36" s="740"/>
      <c r="AQ36" s="740">
        <f t="shared" si="26"/>
        <v>0</v>
      </c>
      <c r="AR36" s="740"/>
      <c r="AS36" s="740"/>
      <c r="AT36" s="740"/>
      <c r="AU36" s="740"/>
      <c r="AV36" s="740"/>
      <c r="AW36" s="740"/>
      <c r="AX36" s="740"/>
      <c r="AY36" s="740"/>
      <c r="AZ36" s="740"/>
      <c r="BA36" s="740"/>
      <c r="BB36" s="736">
        <f t="shared" si="27"/>
        <v>0</v>
      </c>
      <c r="BC36" s="51"/>
      <c r="BD36" s="740"/>
      <c r="BE36" s="740"/>
      <c r="BF36" s="740"/>
      <c r="BG36" s="740"/>
      <c r="BH36" s="740"/>
      <c r="BI36" s="740"/>
      <c r="BJ36" s="740"/>
    </row>
    <row r="37" spans="1:62" s="25" customFormat="1" ht="12">
      <c r="A37" s="21"/>
      <c r="B37" s="31" t="s">
        <v>36</v>
      </c>
      <c r="C37" s="31"/>
      <c r="D37" s="31"/>
      <c r="E37" s="33">
        <v>33</v>
      </c>
      <c r="F37" s="119">
        <f t="shared" si="15"/>
        <v>0</v>
      </c>
      <c r="G37" s="499"/>
      <c r="H37" s="126"/>
      <c r="I37" s="95"/>
      <c r="J37" s="308"/>
      <c r="K37" s="95"/>
      <c r="L37" s="94"/>
      <c r="M37" s="96"/>
      <c r="N37" s="420"/>
      <c r="O37" s="734">
        <f t="shared" si="28"/>
        <v>0</v>
      </c>
      <c r="P37" s="96">
        <f>M37</f>
        <v>0</v>
      </c>
      <c r="Q37" s="96">
        <f>Q22</f>
        <v>104</v>
      </c>
      <c r="R37" s="255"/>
      <c r="S37" s="557"/>
      <c r="T37" s="557"/>
      <c r="U37" s="151">
        <f t="shared" si="24"/>
        <v>0</v>
      </c>
      <c r="V37" s="151"/>
      <c r="W37" s="151"/>
      <c r="X37" s="151"/>
      <c r="Y37" s="329"/>
      <c r="Z37" s="151"/>
      <c r="AA37" s="151"/>
      <c r="AB37" s="151"/>
      <c r="AC37" s="151"/>
      <c r="AD37" s="151"/>
      <c r="AE37" s="147">
        <f t="shared" si="25"/>
        <v>0</v>
      </c>
      <c r="AF37" s="59"/>
      <c r="AG37" s="151"/>
      <c r="AH37" s="151"/>
      <c r="AI37" s="151"/>
      <c r="AJ37" s="151"/>
      <c r="AK37" s="151"/>
      <c r="AL37" s="151"/>
      <c r="AM37" s="151"/>
      <c r="AN37" s="405"/>
      <c r="AO37" s="557"/>
      <c r="AP37" s="557"/>
      <c r="AQ37" s="151">
        <f t="shared" si="26"/>
        <v>0</v>
      </c>
      <c r="AR37" s="151"/>
      <c r="AS37" s="151"/>
      <c r="AT37" s="151">
        <f>AT22</f>
        <v>104</v>
      </c>
      <c r="AU37" s="151"/>
      <c r="AV37" s="329"/>
      <c r="AW37" s="151"/>
      <c r="AX37" s="151"/>
      <c r="AY37" s="151"/>
      <c r="AZ37" s="151"/>
      <c r="BA37" s="151"/>
      <c r="BB37" s="147">
        <f t="shared" si="27"/>
        <v>104</v>
      </c>
      <c r="BC37" s="59"/>
      <c r="BD37" s="151"/>
      <c r="BE37" s="151"/>
      <c r="BF37" s="151"/>
      <c r="BG37" s="151"/>
      <c r="BH37" s="151"/>
      <c r="BI37" s="151"/>
      <c r="BJ37" s="151"/>
    </row>
    <row r="38" spans="1:62" s="25" customFormat="1" ht="12">
      <c r="A38" s="21"/>
      <c r="B38" s="31" t="s">
        <v>175</v>
      </c>
      <c r="C38" s="31"/>
      <c r="D38" s="31"/>
      <c r="E38" s="33">
        <v>34</v>
      </c>
      <c r="F38" s="119">
        <f t="shared" si="15"/>
        <v>0</v>
      </c>
      <c r="G38" s="499"/>
      <c r="H38" s="126"/>
      <c r="I38" s="95"/>
      <c r="J38" s="308"/>
      <c r="K38" s="95"/>
      <c r="L38" s="94"/>
      <c r="M38" s="96"/>
      <c r="N38" s="420"/>
      <c r="O38" s="414">
        <f aca="true" t="shared" si="30" ref="O38:O47">IF(F38=0,0,N38/F38)</f>
        <v>0</v>
      </c>
      <c r="P38" s="96">
        <f t="shared" si="29"/>
        <v>0</v>
      </c>
      <c r="Q38" s="96"/>
      <c r="R38" s="255"/>
      <c r="S38" s="557"/>
      <c r="T38" s="557"/>
      <c r="U38" s="151">
        <f t="shared" si="24"/>
        <v>0</v>
      </c>
      <c r="V38" s="151"/>
      <c r="W38" s="151"/>
      <c r="X38" s="151"/>
      <c r="Y38" s="151"/>
      <c r="Z38" s="151"/>
      <c r="AA38" s="151"/>
      <c r="AB38" s="151"/>
      <c r="AC38" s="151"/>
      <c r="AD38" s="151"/>
      <c r="AE38" s="147">
        <f t="shared" si="25"/>
        <v>0</v>
      </c>
      <c r="AF38" s="59"/>
      <c r="AG38" s="151"/>
      <c r="AH38" s="151"/>
      <c r="AI38" s="151"/>
      <c r="AJ38" s="151"/>
      <c r="AK38" s="151"/>
      <c r="AL38" s="151"/>
      <c r="AM38" s="151"/>
      <c r="AN38" s="405"/>
      <c r="AO38" s="557"/>
      <c r="AP38" s="557"/>
      <c r="AQ38" s="151">
        <f t="shared" si="26"/>
        <v>0</v>
      </c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47">
        <f t="shared" si="27"/>
        <v>0</v>
      </c>
      <c r="BC38" s="59"/>
      <c r="BD38" s="151"/>
      <c r="BE38" s="151"/>
      <c r="BF38" s="151"/>
      <c r="BG38" s="151"/>
      <c r="BH38" s="151"/>
      <c r="BI38" s="151"/>
      <c r="BJ38" s="151"/>
    </row>
    <row r="39" spans="1:62" s="25" customFormat="1" ht="12">
      <c r="A39" s="21"/>
      <c r="B39" s="31" t="s">
        <v>54</v>
      </c>
      <c r="C39" s="31"/>
      <c r="D39" s="31"/>
      <c r="E39" s="33">
        <v>35</v>
      </c>
      <c r="F39" s="119">
        <f t="shared" si="15"/>
        <v>0</v>
      </c>
      <c r="G39" s="499"/>
      <c r="H39" s="126"/>
      <c r="I39" s="95"/>
      <c r="J39" s="308"/>
      <c r="K39" s="95"/>
      <c r="L39" s="94"/>
      <c r="M39" s="96"/>
      <c r="N39" s="420"/>
      <c r="O39" s="414">
        <f t="shared" si="30"/>
        <v>0</v>
      </c>
      <c r="P39" s="96">
        <f t="shared" si="29"/>
        <v>0</v>
      </c>
      <c r="Q39" s="96"/>
      <c r="R39" s="255"/>
      <c r="S39" s="557"/>
      <c r="T39" s="557"/>
      <c r="U39" s="151">
        <f t="shared" si="24"/>
        <v>0</v>
      </c>
      <c r="V39" s="151"/>
      <c r="W39" s="151"/>
      <c r="X39" s="151"/>
      <c r="Y39" s="151"/>
      <c r="Z39" s="151"/>
      <c r="AA39" s="151"/>
      <c r="AB39" s="151"/>
      <c r="AC39" s="151"/>
      <c r="AD39" s="151"/>
      <c r="AE39" s="147">
        <f t="shared" si="25"/>
        <v>0</v>
      </c>
      <c r="AF39" s="59"/>
      <c r="AG39" s="151"/>
      <c r="AH39" s="151"/>
      <c r="AI39" s="151"/>
      <c r="AJ39" s="151"/>
      <c r="AK39" s="151"/>
      <c r="AL39" s="151"/>
      <c r="AM39" s="151"/>
      <c r="AN39" s="405"/>
      <c r="AO39" s="557"/>
      <c r="AP39" s="557"/>
      <c r="AQ39" s="151">
        <f t="shared" si="26"/>
        <v>0</v>
      </c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47">
        <f t="shared" si="27"/>
        <v>0</v>
      </c>
      <c r="BC39" s="59"/>
      <c r="BD39" s="151"/>
      <c r="BE39" s="151"/>
      <c r="BF39" s="151"/>
      <c r="BG39" s="151"/>
      <c r="BH39" s="151"/>
      <c r="BI39" s="151"/>
      <c r="BJ39" s="151"/>
    </row>
    <row r="40" spans="1:62" s="25" customFormat="1" ht="12">
      <c r="A40" s="21"/>
      <c r="B40" s="31" t="s">
        <v>170</v>
      </c>
      <c r="C40" s="31"/>
      <c r="D40" s="31"/>
      <c r="E40" s="33">
        <v>36</v>
      </c>
      <c r="F40" s="119">
        <f t="shared" si="15"/>
        <v>0</v>
      </c>
      <c r="G40" s="499"/>
      <c r="H40" s="126"/>
      <c r="I40" s="95"/>
      <c r="J40" s="308"/>
      <c r="K40" s="95"/>
      <c r="L40" s="94"/>
      <c r="M40" s="96"/>
      <c r="N40" s="420"/>
      <c r="O40" s="414">
        <f t="shared" si="30"/>
        <v>0</v>
      </c>
      <c r="P40" s="96">
        <f t="shared" si="29"/>
        <v>0</v>
      </c>
      <c r="Q40" s="96"/>
      <c r="R40" s="255"/>
      <c r="S40" s="557"/>
      <c r="T40" s="557"/>
      <c r="U40" s="151">
        <f t="shared" si="24"/>
        <v>0</v>
      </c>
      <c r="V40" s="151"/>
      <c r="W40" s="151"/>
      <c r="X40" s="151"/>
      <c r="Y40" s="151"/>
      <c r="Z40" s="151"/>
      <c r="AA40" s="151"/>
      <c r="AB40" s="151"/>
      <c r="AC40" s="151"/>
      <c r="AD40" s="151"/>
      <c r="AE40" s="147">
        <f t="shared" si="25"/>
        <v>0</v>
      </c>
      <c r="AF40" s="59"/>
      <c r="AG40" s="151"/>
      <c r="AH40" s="151"/>
      <c r="AI40" s="151"/>
      <c r="AJ40" s="151"/>
      <c r="AK40" s="151"/>
      <c r="AL40" s="151"/>
      <c r="AM40" s="151"/>
      <c r="AN40" s="405"/>
      <c r="AO40" s="557"/>
      <c r="AP40" s="557"/>
      <c r="AQ40" s="151">
        <f t="shared" si="26"/>
        <v>0</v>
      </c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47">
        <f t="shared" si="27"/>
        <v>0</v>
      </c>
      <c r="BC40" s="59"/>
      <c r="BD40" s="151"/>
      <c r="BE40" s="151"/>
      <c r="BF40" s="151"/>
      <c r="BG40" s="151"/>
      <c r="BH40" s="151"/>
      <c r="BI40" s="151"/>
      <c r="BJ40" s="151"/>
    </row>
    <row r="41" spans="1:62" s="640" customFormat="1" ht="12">
      <c r="A41" s="628"/>
      <c r="B41" s="629" t="s">
        <v>186</v>
      </c>
      <c r="C41" s="629"/>
      <c r="D41" s="629"/>
      <c r="E41" s="630">
        <v>37</v>
      </c>
      <c r="F41" s="631">
        <f t="shared" si="15"/>
        <v>0</v>
      </c>
      <c r="G41" s="649"/>
      <c r="H41" s="633"/>
      <c r="I41" s="634"/>
      <c r="J41" s="635"/>
      <c r="K41" s="634"/>
      <c r="L41" s="636"/>
      <c r="M41" s="632"/>
      <c r="N41" s="641"/>
      <c r="O41" s="734">
        <f t="shared" si="30"/>
        <v>0</v>
      </c>
      <c r="P41" s="632">
        <f t="shared" si="29"/>
        <v>0</v>
      </c>
      <c r="Q41" s="632"/>
      <c r="R41" s="252"/>
      <c r="S41" s="740"/>
      <c r="T41" s="740"/>
      <c r="U41" s="740">
        <f t="shared" si="24"/>
        <v>0</v>
      </c>
      <c r="V41" s="740"/>
      <c r="W41" s="740"/>
      <c r="X41" s="740"/>
      <c r="Y41" s="740"/>
      <c r="Z41" s="740"/>
      <c r="AA41" s="740"/>
      <c r="AB41" s="740"/>
      <c r="AC41" s="740"/>
      <c r="AD41" s="740"/>
      <c r="AE41" s="736">
        <f t="shared" si="25"/>
        <v>0</v>
      </c>
      <c r="AF41" s="51"/>
      <c r="AG41" s="740"/>
      <c r="AH41" s="740"/>
      <c r="AI41" s="740"/>
      <c r="AJ41" s="740"/>
      <c r="AK41" s="740"/>
      <c r="AL41" s="740"/>
      <c r="AM41" s="740"/>
      <c r="AN41" s="405"/>
      <c r="AO41" s="740"/>
      <c r="AP41" s="740"/>
      <c r="AQ41" s="740">
        <f t="shared" si="26"/>
        <v>0</v>
      </c>
      <c r="AR41" s="740"/>
      <c r="AS41" s="740"/>
      <c r="AT41" s="740"/>
      <c r="AU41" s="740"/>
      <c r="AV41" s="740"/>
      <c r="AW41" s="740"/>
      <c r="AX41" s="740"/>
      <c r="AY41" s="740"/>
      <c r="AZ41" s="740"/>
      <c r="BA41" s="740"/>
      <c r="BB41" s="736">
        <f t="shared" si="27"/>
        <v>0</v>
      </c>
      <c r="BC41" s="51"/>
      <c r="BD41" s="740"/>
      <c r="BE41" s="740"/>
      <c r="BF41" s="740"/>
      <c r="BG41" s="740"/>
      <c r="BH41" s="740"/>
      <c r="BI41" s="740"/>
      <c r="BJ41" s="740"/>
    </row>
    <row r="42" spans="1:62" s="25" customFormat="1" ht="12">
      <c r="A42" s="21"/>
      <c r="B42" s="31" t="s">
        <v>57</v>
      </c>
      <c r="C42" s="31"/>
      <c r="D42" s="31"/>
      <c r="E42" s="33">
        <v>38</v>
      </c>
      <c r="F42" s="119">
        <f t="shared" si="15"/>
        <v>0</v>
      </c>
      <c r="G42" s="499"/>
      <c r="H42" s="126"/>
      <c r="I42" s="95"/>
      <c r="J42" s="308"/>
      <c r="K42" s="95"/>
      <c r="L42" s="94"/>
      <c r="M42" s="96"/>
      <c r="N42" s="420"/>
      <c r="O42" s="414">
        <f t="shared" si="30"/>
        <v>0</v>
      </c>
      <c r="P42" s="96">
        <f t="shared" si="29"/>
        <v>0</v>
      </c>
      <c r="Q42" s="96"/>
      <c r="R42" s="255"/>
      <c r="S42" s="557"/>
      <c r="T42" s="557"/>
      <c r="U42" s="151">
        <f t="shared" si="24"/>
        <v>0</v>
      </c>
      <c r="V42" s="151"/>
      <c r="W42" s="151"/>
      <c r="X42" s="151"/>
      <c r="Y42" s="151"/>
      <c r="Z42" s="151"/>
      <c r="AA42" s="151"/>
      <c r="AB42" s="151"/>
      <c r="AC42" s="151"/>
      <c r="AD42" s="151"/>
      <c r="AE42" s="147">
        <f t="shared" si="25"/>
        <v>0</v>
      </c>
      <c r="AF42" s="59"/>
      <c r="AG42" s="151"/>
      <c r="AH42" s="151"/>
      <c r="AI42" s="151"/>
      <c r="AJ42" s="151"/>
      <c r="AK42" s="151"/>
      <c r="AL42" s="151"/>
      <c r="AM42" s="151"/>
      <c r="AN42" s="405"/>
      <c r="AO42" s="557"/>
      <c r="AP42" s="557"/>
      <c r="AQ42" s="151">
        <f t="shared" si="26"/>
        <v>0</v>
      </c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47">
        <f t="shared" si="27"/>
        <v>0</v>
      </c>
      <c r="BC42" s="59"/>
      <c r="BD42" s="151"/>
      <c r="BE42" s="151"/>
      <c r="BF42" s="151"/>
      <c r="BG42" s="151"/>
      <c r="BH42" s="151"/>
      <c r="BI42" s="151"/>
      <c r="BJ42" s="151"/>
    </row>
    <row r="43" spans="1:62" s="25" customFormat="1" ht="12">
      <c r="A43" s="21"/>
      <c r="B43" s="31" t="s">
        <v>44</v>
      </c>
      <c r="C43" s="31"/>
      <c r="D43" s="31"/>
      <c r="E43" s="33">
        <v>39</v>
      </c>
      <c r="F43" s="119">
        <f t="shared" si="15"/>
        <v>0</v>
      </c>
      <c r="G43" s="499"/>
      <c r="H43" s="126"/>
      <c r="I43" s="95"/>
      <c r="J43" s="308"/>
      <c r="K43" s="95"/>
      <c r="L43" s="94"/>
      <c r="M43" s="96"/>
      <c r="N43" s="420"/>
      <c r="O43" s="414">
        <f t="shared" si="30"/>
        <v>0</v>
      </c>
      <c r="P43" s="96" t="e">
        <f>N43/titl!H17*12</f>
        <v>#DIV/0!</v>
      </c>
      <c r="Q43" s="96"/>
      <c r="R43" s="255"/>
      <c r="S43" s="557"/>
      <c r="T43" s="557"/>
      <c r="U43" s="151">
        <f t="shared" si="24"/>
        <v>0</v>
      </c>
      <c r="V43" s="151"/>
      <c r="W43" s="151"/>
      <c r="X43" s="151"/>
      <c r="Y43" s="151"/>
      <c r="Z43" s="151"/>
      <c r="AA43" s="151"/>
      <c r="AB43" s="151"/>
      <c r="AC43" s="151"/>
      <c r="AD43" s="151"/>
      <c r="AE43" s="147">
        <f t="shared" si="25"/>
        <v>0</v>
      </c>
      <c r="AF43" s="59"/>
      <c r="AG43" s="151"/>
      <c r="AH43" s="151"/>
      <c r="AI43" s="151"/>
      <c r="AJ43" s="151"/>
      <c r="AK43" s="151"/>
      <c r="AL43" s="151"/>
      <c r="AM43" s="151"/>
      <c r="AN43" s="405"/>
      <c r="AO43" s="557"/>
      <c r="AP43" s="557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47">
        <f t="shared" si="27"/>
        <v>0</v>
      </c>
      <c r="BC43" s="59"/>
      <c r="BD43" s="151"/>
      <c r="BE43" s="151"/>
      <c r="BF43" s="151"/>
      <c r="BG43" s="151"/>
      <c r="BH43" s="151"/>
      <c r="BI43" s="151"/>
      <c r="BJ43" s="151"/>
    </row>
    <row r="44" spans="1:62" s="25" customFormat="1" ht="12">
      <c r="A44" s="21"/>
      <c r="B44" s="31" t="s">
        <v>58</v>
      </c>
      <c r="C44" s="31"/>
      <c r="D44" s="31"/>
      <c r="E44" s="33">
        <v>40</v>
      </c>
      <c r="F44" s="119">
        <f t="shared" si="15"/>
        <v>0</v>
      </c>
      <c r="G44" s="499"/>
      <c r="H44" s="126"/>
      <c r="I44" s="95"/>
      <c r="J44" s="308"/>
      <c r="K44" s="95"/>
      <c r="L44" s="94"/>
      <c r="M44" s="96"/>
      <c r="N44" s="420"/>
      <c r="O44" s="414">
        <f t="shared" si="30"/>
        <v>0</v>
      </c>
      <c r="P44" s="96">
        <f>N44</f>
        <v>0</v>
      </c>
      <c r="Q44" s="96"/>
      <c r="R44" s="255"/>
      <c r="S44" s="557"/>
      <c r="T44" s="557"/>
      <c r="U44" s="151">
        <f t="shared" si="24"/>
        <v>0</v>
      </c>
      <c r="V44" s="151"/>
      <c r="W44" s="151"/>
      <c r="X44" s="151"/>
      <c r="Y44" s="151"/>
      <c r="Z44" s="151"/>
      <c r="AA44" s="151"/>
      <c r="AB44" s="151"/>
      <c r="AC44" s="151"/>
      <c r="AD44" s="151"/>
      <c r="AE44" s="147">
        <f t="shared" si="25"/>
        <v>0</v>
      </c>
      <c r="AF44" s="59"/>
      <c r="AG44" s="151"/>
      <c r="AH44" s="151"/>
      <c r="AI44" s="151"/>
      <c r="AJ44" s="151"/>
      <c r="AK44" s="151"/>
      <c r="AL44" s="151"/>
      <c r="AM44" s="151"/>
      <c r="AN44" s="405"/>
      <c r="AO44" s="557"/>
      <c r="AP44" s="557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47">
        <f t="shared" si="27"/>
        <v>0</v>
      </c>
      <c r="BC44" s="59"/>
      <c r="BD44" s="151"/>
      <c r="BE44" s="151"/>
      <c r="BF44" s="151"/>
      <c r="BG44" s="151"/>
      <c r="BH44" s="151"/>
      <c r="BI44" s="151"/>
      <c r="BJ44" s="151"/>
    </row>
    <row r="45" spans="1:62" s="25" customFormat="1" ht="12">
      <c r="A45" s="21"/>
      <c r="B45" s="31" t="s">
        <v>59</v>
      </c>
      <c r="C45" s="31"/>
      <c r="D45" s="31"/>
      <c r="E45" s="33">
        <v>41</v>
      </c>
      <c r="F45" s="119">
        <f t="shared" si="15"/>
        <v>113958</v>
      </c>
      <c r="G45" s="886">
        <v>113958</v>
      </c>
      <c r="H45" s="126"/>
      <c r="I45" s="95"/>
      <c r="J45" s="308"/>
      <c r="K45" s="95"/>
      <c r="L45" s="94"/>
      <c r="M45" s="96"/>
      <c r="N45" s="420"/>
      <c r="O45" s="414">
        <f t="shared" si="30"/>
        <v>0</v>
      </c>
      <c r="P45" s="92">
        <f>N45</f>
        <v>0</v>
      </c>
      <c r="Q45" s="96">
        <v>78611</v>
      </c>
      <c r="R45" s="255"/>
      <c r="S45" s="557"/>
      <c r="T45" s="557"/>
      <c r="U45" s="151">
        <f>S45+T45</f>
        <v>0</v>
      </c>
      <c r="V45" s="587"/>
      <c r="W45" s="151"/>
      <c r="X45" s="151"/>
      <c r="Y45" s="151"/>
      <c r="Z45" s="152">
        <f>Z15</f>
        <v>113000</v>
      </c>
      <c r="AA45" s="152"/>
      <c r="AB45" s="329"/>
      <c r="AC45" s="329"/>
      <c r="AD45" s="151">
        <f>AD5</f>
        <v>958</v>
      </c>
      <c r="AE45" s="147">
        <f t="shared" si="25"/>
        <v>113958</v>
      </c>
      <c r="AF45" s="59"/>
      <c r="AG45" s="151"/>
      <c r="AH45" s="151"/>
      <c r="AI45" s="151"/>
      <c r="AJ45" s="151"/>
      <c r="AK45" s="151"/>
      <c r="AL45" s="151"/>
      <c r="AM45" s="151"/>
      <c r="AN45" s="405"/>
      <c r="AO45" s="557"/>
      <c r="AP45" s="557"/>
      <c r="AQ45" s="151">
        <f>AO45+AP45</f>
        <v>0</v>
      </c>
      <c r="AR45" s="587"/>
      <c r="AS45" s="151"/>
      <c r="AT45" s="151"/>
      <c r="AU45" s="151"/>
      <c r="AV45" s="151"/>
      <c r="AW45" s="152">
        <f>AW15</f>
        <v>76452</v>
      </c>
      <c r="AX45" s="152"/>
      <c r="AY45" s="329"/>
      <c r="AZ45" s="329"/>
      <c r="BA45" s="151">
        <v>856</v>
      </c>
      <c r="BB45" s="147">
        <f t="shared" si="27"/>
        <v>77308</v>
      </c>
      <c r="BC45" s="59"/>
      <c r="BD45" s="151"/>
      <c r="BE45" s="151"/>
      <c r="BF45" s="151"/>
      <c r="BG45" s="151"/>
      <c r="BH45" s="151"/>
      <c r="BI45" s="151"/>
      <c r="BJ45" s="151"/>
    </row>
    <row r="46" spans="1:62" s="25" customFormat="1" ht="12">
      <c r="A46" s="21"/>
      <c r="B46" s="31" t="s">
        <v>60</v>
      </c>
      <c r="C46" s="31"/>
      <c r="D46" s="31"/>
      <c r="E46" s="33">
        <v>42</v>
      </c>
      <c r="F46" s="119">
        <f t="shared" si="15"/>
        <v>0</v>
      </c>
      <c r="G46" s="612"/>
      <c r="H46" s="126"/>
      <c r="I46" s="159"/>
      <c r="J46" s="308"/>
      <c r="K46" s="95"/>
      <c r="L46" s="94"/>
      <c r="M46" s="96"/>
      <c r="N46" s="420"/>
      <c r="O46" s="414">
        <f t="shared" si="30"/>
        <v>0</v>
      </c>
      <c r="P46" s="96">
        <f>N46</f>
        <v>0</v>
      </c>
      <c r="Q46" s="96">
        <v>209</v>
      </c>
      <c r="R46" s="255"/>
      <c r="S46" s="557"/>
      <c r="T46" s="557"/>
      <c r="U46" s="151">
        <f>S46+T46</f>
        <v>0</v>
      </c>
      <c r="V46" s="151"/>
      <c r="W46" s="151"/>
      <c r="X46" s="151"/>
      <c r="Y46" s="151"/>
      <c r="Z46" s="151"/>
      <c r="AA46" s="151">
        <f>AA5</f>
        <v>0</v>
      </c>
      <c r="AB46" s="152">
        <f>AB5</f>
        <v>0</v>
      </c>
      <c r="AC46" s="152">
        <f>AC5</f>
        <v>250</v>
      </c>
      <c r="AD46" s="151"/>
      <c r="AE46" s="147">
        <f t="shared" si="25"/>
        <v>250</v>
      </c>
      <c r="AF46" s="59"/>
      <c r="AG46" s="151"/>
      <c r="AH46" s="151"/>
      <c r="AI46" s="151"/>
      <c r="AJ46" s="151"/>
      <c r="AK46" s="151"/>
      <c r="AL46" s="151"/>
      <c r="AM46" s="151"/>
      <c r="AN46" s="405"/>
      <c r="AO46" s="557"/>
      <c r="AP46" s="557"/>
      <c r="AQ46" s="151">
        <f>AO46+AP46</f>
        <v>0</v>
      </c>
      <c r="AR46" s="151"/>
      <c r="AS46" s="151"/>
      <c r="AT46" s="151"/>
      <c r="AU46" s="151"/>
      <c r="AV46" s="151"/>
      <c r="AW46" s="151"/>
      <c r="AX46" s="151">
        <f>AX5</f>
        <v>1302</v>
      </c>
      <c r="AY46" s="152">
        <f>AY5</f>
        <v>0</v>
      </c>
      <c r="AZ46" s="152">
        <f>AZ5</f>
        <v>209</v>
      </c>
      <c r="BA46" s="151"/>
      <c r="BB46" s="147">
        <f t="shared" si="27"/>
        <v>1511</v>
      </c>
      <c r="BC46" s="59"/>
      <c r="BD46" s="151"/>
      <c r="BE46" s="151"/>
      <c r="BF46" s="151"/>
      <c r="BG46" s="151"/>
      <c r="BH46" s="151"/>
      <c r="BI46" s="151"/>
      <c r="BJ46" s="151"/>
    </row>
    <row r="47" spans="1:62" s="25" customFormat="1" ht="12.75" thickBot="1">
      <c r="A47" s="40"/>
      <c r="B47" s="41" t="s">
        <v>47</v>
      </c>
      <c r="C47" s="41"/>
      <c r="D47" s="41"/>
      <c r="E47" s="42">
        <v>43</v>
      </c>
      <c r="F47" s="200">
        <f t="shared" si="15"/>
        <v>0</v>
      </c>
      <c r="G47" s="500"/>
      <c r="H47" s="174"/>
      <c r="I47" s="99"/>
      <c r="J47" s="309"/>
      <c r="K47" s="99"/>
      <c r="L47" s="98"/>
      <c r="M47" s="100"/>
      <c r="N47" s="542"/>
      <c r="O47" s="412">
        <f t="shared" si="30"/>
        <v>0</v>
      </c>
      <c r="P47" s="92" t="e">
        <f>N47/titl!$H$17*12</f>
        <v>#DIV/0!</v>
      </c>
      <c r="Q47" s="100"/>
      <c r="R47" s="255"/>
      <c r="S47" s="557"/>
      <c r="T47" s="557"/>
      <c r="U47" s="151">
        <f>S47+T47</f>
        <v>0</v>
      </c>
      <c r="V47" s="151"/>
      <c r="W47" s="151"/>
      <c r="X47" s="151"/>
      <c r="Y47" s="151"/>
      <c r="Z47" s="151"/>
      <c r="AA47" s="151"/>
      <c r="AB47" s="329"/>
      <c r="AC47" s="329"/>
      <c r="AD47" s="329"/>
      <c r="AE47" s="147">
        <f t="shared" si="25"/>
        <v>0</v>
      </c>
      <c r="AF47" s="59"/>
      <c r="AG47" s="151"/>
      <c r="AH47" s="151"/>
      <c r="AI47" s="151"/>
      <c r="AJ47" s="151"/>
      <c r="AK47" s="151"/>
      <c r="AL47" s="151"/>
      <c r="AM47" s="151"/>
      <c r="AN47" s="405"/>
      <c r="AO47" s="557"/>
      <c r="AP47" s="557"/>
      <c r="AQ47" s="151">
        <f>AO47+AP47</f>
        <v>0</v>
      </c>
      <c r="AR47" s="151"/>
      <c r="AS47" s="151"/>
      <c r="AT47" s="151"/>
      <c r="AU47" s="151"/>
      <c r="AV47" s="151"/>
      <c r="AW47" s="151"/>
      <c r="AX47" s="151"/>
      <c r="AY47" s="329"/>
      <c r="AZ47" s="329"/>
      <c r="BA47" s="329"/>
      <c r="BB47" s="147">
        <f t="shared" si="27"/>
        <v>0</v>
      </c>
      <c r="BC47" s="59"/>
      <c r="BD47" s="151"/>
      <c r="BE47" s="151"/>
      <c r="BF47" s="151"/>
      <c r="BG47" s="151"/>
      <c r="BH47" s="151"/>
      <c r="BI47" s="151"/>
      <c r="BJ47" s="151"/>
    </row>
    <row r="48" spans="1:62" s="25" customFormat="1" ht="12.75" hidden="1" thickBot="1">
      <c r="A48" s="44" t="s">
        <v>61</v>
      </c>
      <c r="B48" s="45"/>
      <c r="C48" s="45"/>
      <c r="D48" s="45"/>
      <c r="E48" s="28">
        <v>44</v>
      </c>
      <c r="F48" s="201">
        <f>F31+F36+F40+F45+F46+F47-F6-F29</f>
        <v>0</v>
      </c>
      <c r="G48" s="613">
        <f>G31+G36+G40+G45+G47-G6-G29</f>
        <v>0</v>
      </c>
      <c r="H48" s="102">
        <f>H31+H36+H40+H45+H46+H47-H6-H29</f>
        <v>0</v>
      </c>
      <c r="I48" s="102">
        <f>I31+I36+I40+I45+I46+I47-I6-I29</f>
        <v>0</v>
      </c>
      <c r="J48" s="102">
        <f>J31+J36+J40+J45+J46+J47-J6-J29</f>
        <v>0</v>
      </c>
      <c r="K48" s="320"/>
      <c r="L48" s="102">
        <f>L31+L36+L40+L45+L46+L47-L6-L29</f>
        <v>0</v>
      </c>
      <c r="M48" s="103"/>
      <c r="N48" s="422">
        <f>N31+N36+N40+N45+N46+N47-N6-N29</f>
        <v>0</v>
      </c>
      <c r="O48" s="416"/>
      <c r="P48" s="103" t="e">
        <f>P31+P36+P40+P45+P46+P47-P6-P29</f>
        <v>#DIV/0!</v>
      </c>
      <c r="Q48" s="103">
        <f>Q31+Q36+Q40+Q45+Q46+Q47-Q6-Q29</f>
        <v>1</v>
      </c>
      <c r="R48" s="255"/>
      <c r="S48" s="558"/>
      <c r="T48" s="558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7">
        <f t="shared" si="25"/>
        <v>0</v>
      </c>
      <c r="AF48" s="59"/>
      <c r="AG48" s="145"/>
      <c r="AH48" s="145"/>
      <c r="AI48" s="145"/>
      <c r="AJ48" s="145"/>
      <c r="AK48" s="145"/>
      <c r="AL48" s="145"/>
      <c r="AM48" s="145"/>
      <c r="AN48" s="405"/>
      <c r="AO48" s="558"/>
      <c r="AP48" s="558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7">
        <f t="shared" si="27"/>
        <v>0</v>
      </c>
      <c r="BC48" s="59"/>
      <c r="BD48" s="145"/>
      <c r="BE48" s="145"/>
      <c r="BF48" s="145"/>
      <c r="BG48" s="145"/>
      <c r="BH48" s="145"/>
      <c r="BI48" s="145"/>
      <c r="BJ48" s="145"/>
    </row>
    <row r="49" spans="1:62" ht="13.5" thickBot="1">
      <c r="A49" s="37" t="s">
        <v>62</v>
      </c>
      <c r="B49" s="38"/>
      <c r="C49" s="38"/>
      <c r="D49" s="38"/>
      <c r="E49" s="19">
        <v>45</v>
      </c>
      <c r="F49" s="197">
        <f>F30-F5</f>
        <v>0</v>
      </c>
      <c r="G49" s="597">
        <f aca="true" t="shared" si="31" ref="G49:N49">G30-G5</f>
        <v>0</v>
      </c>
      <c r="H49" s="125">
        <f t="shared" si="31"/>
        <v>0</v>
      </c>
      <c r="I49" s="77">
        <f t="shared" si="31"/>
        <v>0</v>
      </c>
      <c r="J49" s="304">
        <f t="shared" si="31"/>
        <v>0</v>
      </c>
      <c r="K49" s="77">
        <f t="shared" si="31"/>
        <v>0</v>
      </c>
      <c r="L49" s="76">
        <f t="shared" si="31"/>
        <v>0</v>
      </c>
      <c r="M49" s="471">
        <f t="shared" si="31"/>
        <v>0</v>
      </c>
      <c r="N49" s="471">
        <f t="shared" si="31"/>
        <v>0</v>
      </c>
      <c r="O49" s="78"/>
      <c r="P49" s="78" t="e">
        <f>P30-P5</f>
        <v>#DIV/0!</v>
      </c>
      <c r="Q49" s="78">
        <f>Q30-Q5</f>
        <v>1</v>
      </c>
      <c r="S49" s="553">
        <f>S30-S5</f>
        <v>-140455</v>
      </c>
      <c r="T49" s="553">
        <f>T30-T5</f>
        <v>140455</v>
      </c>
      <c r="U49" s="143">
        <f>U30-U5</f>
        <v>0</v>
      </c>
      <c r="V49" s="143"/>
      <c r="W49" s="143"/>
      <c r="X49" s="143"/>
      <c r="Y49" s="143"/>
      <c r="Z49" s="143">
        <f>Z30-Z5</f>
        <v>0</v>
      </c>
      <c r="AA49" s="143">
        <f>AA30-AA5</f>
        <v>0</v>
      </c>
      <c r="AB49" s="143">
        <f>AB30-AB5</f>
        <v>0</v>
      </c>
      <c r="AC49" s="143"/>
      <c r="AD49" s="143">
        <f>AD30-AD5</f>
        <v>0</v>
      </c>
      <c r="AE49" s="143">
        <f>AE30-AE5</f>
        <v>0</v>
      </c>
      <c r="AG49" s="143">
        <f aca="true" t="shared" si="32" ref="AG49:AM49">AG30-AG5</f>
        <v>-65798</v>
      </c>
      <c r="AH49" s="143">
        <f t="shared" si="32"/>
        <v>-44435</v>
      </c>
      <c r="AI49" s="143">
        <f t="shared" si="32"/>
        <v>-12698</v>
      </c>
      <c r="AJ49" s="143">
        <f t="shared" si="32"/>
        <v>-529</v>
      </c>
      <c r="AK49" s="143">
        <f t="shared" si="32"/>
        <v>-2212</v>
      </c>
      <c r="AL49" s="143">
        <f t="shared" si="32"/>
        <v>-361</v>
      </c>
      <c r="AM49" s="143">
        <f t="shared" si="32"/>
        <v>-14422</v>
      </c>
      <c r="AO49" s="553">
        <f aca="true" t="shared" si="33" ref="AO49:AV49">AO30-AO5</f>
        <v>-95517</v>
      </c>
      <c r="AP49" s="553">
        <f t="shared" si="33"/>
        <v>95517</v>
      </c>
      <c r="AQ49" s="143">
        <f t="shared" si="33"/>
        <v>0</v>
      </c>
      <c r="AR49" s="143">
        <f t="shared" si="33"/>
        <v>0</v>
      </c>
      <c r="AS49" s="143">
        <f t="shared" si="33"/>
        <v>0</v>
      </c>
      <c r="AT49" s="143">
        <f t="shared" si="33"/>
        <v>0</v>
      </c>
      <c r="AU49" s="143">
        <f t="shared" si="33"/>
        <v>0</v>
      </c>
      <c r="AV49" s="143">
        <f t="shared" si="33"/>
        <v>0</v>
      </c>
      <c r="AW49" s="143">
        <f aca="true" t="shared" si="34" ref="AW49:BB49">AW30-AW5</f>
        <v>0</v>
      </c>
      <c r="AX49" s="143">
        <f t="shared" si="34"/>
        <v>0</v>
      </c>
      <c r="AY49" s="143">
        <f t="shared" si="34"/>
        <v>0</v>
      </c>
      <c r="AZ49" s="143">
        <f t="shared" si="34"/>
        <v>0</v>
      </c>
      <c r="BA49" s="143">
        <f t="shared" si="34"/>
        <v>2</v>
      </c>
      <c r="BB49" s="143">
        <f t="shared" si="34"/>
        <v>2</v>
      </c>
      <c r="BD49" s="143">
        <f aca="true" t="shared" si="35" ref="BD49:BJ49">BD30-BD5</f>
        <v>-43675</v>
      </c>
      <c r="BE49" s="143">
        <f t="shared" si="35"/>
        <v>-39024</v>
      </c>
      <c r="BF49" s="143">
        <f t="shared" si="35"/>
        <v>-390</v>
      </c>
      <c r="BG49" s="143">
        <f t="shared" si="35"/>
        <v>-1529</v>
      </c>
      <c r="BH49" s="143">
        <f t="shared" si="35"/>
        <v>-316</v>
      </c>
      <c r="BI49" s="143">
        <f t="shared" si="35"/>
        <v>-10460</v>
      </c>
      <c r="BJ49" s="143">
        <f t="shared" si="35"/>
        <v>-122</v>
      </c>
    </row>
    <row r="50" spans="1:62" ht="12.75">
      <c r="A50" s="47"/>
      <c r="B50" s="47"/>
      <c r="C50" s="47"/>
      <c r="D50" s="47"/>
      <c r="E50" s="48"/>
      <c r="G50" s="59" t="s">
        <v>218</v>
      </c>
      <c r="AH50" s="239"/>
      <c r="AI50" s="239"/>
      <c r="AJ50" s="239"/>
      <c r="AK50" s="239"/>
      <c r="AL50" s="239" t="s">
        <v>134</v>
      </c>
      <c r="AM50" s="239">
        <f>SUM(AG49:AM49)</f>
        <v>-140455</v>
      </c>
      <c r="BE50" s="239"/>
      <c r="BF50" s="239"/>
      <c r="BG50" s="239"/>
      <c r="BH50" s="239" t="s">
        <v>134</v>
      </c>
      <c r="BI50" s="239"/>
      <c r="BJ50" s="239">
        <f>SUM(BD49:BJ49)</f>
        <v>-95516</v>
      </c>
    </row>
    <row r="51" spans="5:62" s="47" customFormat="1" ht="11.25">
      <c r="E51" s="48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255"/>
      <c r="S51" s="72"/>
      <c r="T51" s="72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405"/>
      <c r="AO51" s="72"/>
      <c r="AP51" s="72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</row>
    <row r="52" spans="1:62" s="47" customFormat="1" ht="11.25">
      <c r="A52" s="51" t="s">
        <v>90</v>
      </c>
      <c r="E52" s="48"/>
      <c r="F52" s="202"/>
      <c r="G52" s="59"/>
      <c r="I52" s="109"/>
      <c r="L52" s="59"/>
      <c r="M52" s="59"/>
      <c r="N52" s="59"/>
      <c r="O52" s="59"/>
      <c r="P52" s="59"/>
      <c r="Q52" s="59"/>
      <c r="R52" s="255"/>
      <c r="S52" s="72"/>
      <c r="T52" s="72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405"/>
      <c r="AO52" s="72"/>
      <c r="AP52" s="72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</row>
    <row r="53" spans="2:62" s="51" customFormat="1" ht="11.25">
      <c r="B53" s="51" t="s">
        <v>191</v>
      </c>
      <c r="E53" s="53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255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405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</row>
    <row r="54" spans="5:62" s="51" customFormat="1" ht="11.25">
      <c r="E54" s="53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255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405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</row>
    <row r="55" spans="5:62" s="51" customFormat="1" ht="11.25">
      <c r="E55" s="53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255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405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</row>
    <row r="56" spans="1:62" s="47" customFormat="1" ht="11.25">
      <c r="A56" s="51"/>
      <c r="B56" s="51"/>
      <c r="C56" s="51"/>
      <c r="D56" s="51"/>
      <c r="E56" s="48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255"/>
      <c r="S56" s="72"/>
      <c r="T56" s="72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405"/>
      <c r="AO56" s="72"/>
      <c r="AP56" s="72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</row>
    <row r="57" spans="1:42" s="59" customFormat="1" ht="11.25">
      <c r="A57" s="51"/>
      <c r="B57" s="51"/>
      <c r="C57" s="51"/>
      <c r="D57" s="51"/>
      <c r="E57" s="57"/>
      <c r="F57" s="47"/>
      <c r="R57" s="255"/>
      <c r="S57" s="72"/>
      <c r="T57" s="72"/>
      <c r="AN57" s="405"/>
      <c r="AO57" s="72"/>
      <c r="AP57" s="72"/>
    </row>
    <row r="58" spans="1:42" s="59" customFormat="1" ht="11.25">
      <c r="A58" s="51"/>
      <c r="B58" s="51"/>
      <c r="C58" s="51"/>
      <c r="D58" s="51"/>
      <c r="E58" s="57"/>
      <c r="F58" s="47"/>
      <c r="R58" s="255"/>
      <c r="S58" s="72"/>
      <c r="T58" s="72"/>
      <c r="AN58" s="405"/>
      <c r="AO58" s="72"/>
      <c r="AP58" s="72"/>
    </row>
    <row r="59" spans="1:42" s="59" customFormat="1" ht="11.25">
      <c r="A59" s="51"/>
      <c r="B59" s="51"/>
      <c r="C59" s="51"/>
      <c r="D59" s="51"/>
      <c r="E59" s="57"/>
      <c r="F59" s="47"/>
      <c r="R59" s="255"/>
      <c r="S59" s="72"/>
      <c r="T59" s="72"/>
      <c r="AN59" s="405"/>
      <c r="AO59" s="72"/>
      <c r="AP59" s="72"/>
    </row>
    <row r="60" spans="2:42" s="59" customFormat="1" ht="11.25" hidden="1">
      <c r="B60" s="767" t="s">
        <v>191</v>
      </c>
      <c r="C60" s="340"/>
      <c r="D60" s="340"/>
      <c r="E60" s="817"/>
      <c r="F60" s="782"/>
      <c r="G60" s="340"/>
      <c r="H60" s="340"/>
      <c r="I60" s="340"/>
      <c r="J60" s="340"/>
      <c r="K60" s="340"/>
      <c r="L60" s="340"/>
      <c r="M60" s="340"/>
      <c r="N60" s="811"/>
      <c r="O60" s="804"/>
      <c r="P60" s="787" t="e">
        <f>N60/titl!$H$17*12</f>
        <v>#DIV/0!</v>
      </c>
      <c r="R60" s="255"/>
      <c r="S60" s="72"/>
      <c r="T60" s="72"/>
      <c r="AN60" s="405"/>
      <c r="AO60" s="72"/>
      <c r="AP60" s="72"/>
    </row>
    <row r="61" spans="2:42" s="59" customFormat="1" ht="11.25" hidden="1">
      <c r="B61" s="818" t="s">
        <v>192</v>
      </c>
      <c r="C61" s="233"/>
      <c r="D61" s="233"/>
      <c r="E61" s="819"/>
      <c r="F61" s="783"/>
      <c r="G61" s="233"/>
      <c r="H61" s="233"/>
      <c r="I61" s="233"/>
      <c r="J61" s="233"/>
      <c r="K61" s="233"/>
      <c r="L61" s="233"/>
      <c r="M61" s="233"/>
      <c r="N61" s="537">
        <f>N43+N45-N60</f>
        <v>0</v>
      </c>
      <c r="O61" s="805"/>
      <c r="P61" s="789" t="e">
        <f>N61/titl!$H$17*12</f>
        <v>#DIV/0!</v>
      </c>
      <c r="R61" s="255"/>
      <c r="S61" s="72"/>
      <c r="T61" s="72"/>
      <c r="AN61" s="405"/>
      <c r="AO61" s="72"/>
      <c r="AP61" s="72"/>
    </row>
    <row r="62" spans="2:42" s="59" customFormat="1" ht="11.25" hidden="1">
      <c r="B62" s="818" t="s">
        <v>193</v>
      </c>
      <c r="C62" s="233"/>
      <c r="D62" s="233"/>
      <c r="E62" s="819"/>
      <c r="F62" s="783"/>
      <c r="G62" s="233"/>
      <c r="H62" s="233"/>
      <c r="I62" s="233"/>
      <c r="J62" s="233"/>
      <c r="K62" s="233"/>
      <c r="L62" s="233"/>
      <c r="M62" s="233"/>
      <c r="N62" s="109"/>
      <c r="O62" s="805"/>
      <c r="P62" s="789" t="e">
        <f>N62/titl!$H$17*12</f>
        <v>#DIV/0!</v>
      </c>
      <c r="R62" s="255"/>
      <c r="S62" s="72"/>
      <c r="T62" s="72"/>
      <c r="AN62" s="405"/>
      <c r="AO62" s="72"/>
      <c r="AP62" s="72"/>
    </row>
    <row r="63" spans="2:42" s="59" customFormat="1" ht="11.25" hidden="1">
      <c r="B63" s="818" t="s">
        <v>194</v>
      </c>
      <c r="C63" s="233"/>
      <c r="D63" s="233"/>
      <c r="E63" s="819"/>
      <c r="F63" s="783"/>
      <c r="G63" s="233"/>
      <c r="H63" s="233"/>
      <c r="I63" s="233"/>
      <c r="J63" s="233"/>
      <c r="K63" s="233"/>
      <c r="L63" s="233"/>
      <c r="M63" s="233"/>
      <c r="N63" s="537">
        <f>N61+N62</f>
        <v>0</v>
      </c>
      <c r="O63" s="805"/>
      <c r="P63" s="789" t="e">
        <f>N63/titl!$H$17*12</f>
        <v>#DIV/0!</v>
      </c>
      <c r="R63" s="255"/>
      <c r="S63" s="72"/>
      <c r="T63" s="72"/>
      <c r="AN63" s="405"/>
      <c r="AO63" s="72"/>
      <c r="AP63" s="72"/>
    </row>
    <row r="64" spans="2:42" s="59" customFormat="1" ht="12" hidden="1" thickBot="1">
      <c r="B64" s="820" t="s">
        <v>195</v>
      </c>
      <c r="C64" s="785"/>
      <c r="D64" s="785"/>
      <c r="E64" s="821"/>
      <c r="F64" s="784"/>
      <c r="G64" s="785"/>
      <c r="H64" s="785"/>
      <c r="I64" s="785"/>
      <c r="J64" s="785"/>
      <c r="K64" s="785"/>
      <c r="L64" s="785"/>
      <c r="M64" s="785"/>
      <c r="N64" s="810">
        <f>N63*4%</f>
        <v>0</v>
      </c>
      <c r="O64" s="808"/>
      <c r="P64" s="790" t="e">
        <f>N64/titl!$H$17*12</f>
        <v>#DIV/0!</v>
      </c>
      <c r="R64" s="255"/>
      <c r="S64" s="72"/>
      <c r="T64" s="72"/>
      <c r="AN64" s="405"/>
      <c r="AO64" s="72"/>
      <c r="AP64" s="72"/>
    </row>
  </sheetData>
  <mergeCells count="4">
    <mergeCell ref="A3:D3"/>
    <mergeCell ref="H3:L3"/>
    <mergeCell ref="C4:D4"/>
    <mergeCell ref="R1:R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57"/>
  <sheetViews>
    <sheetView workbookViewId="0" topLeftCell="A1">
      <pane ySplit="3" topLeftCell="BM4" activePane="bottomLeft" state="frozen"/>
      <selection pane="topLeft" activeCell="D38" sqref="D38"/>
      <selection pane="bottomLeft" activeCell="D38" sqref="D38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60" bestFit="1" customWidth="1"/>
    <col min="6" max="6" width="8.375" style="47" bestFit="1" customWidth="1"/>
    <col min="7" max="7" width="8.375" style="59" bestFit="1" customWidth="1"/>
    <col min="8" max="8" width="8.375" style="59" customWidth="1"/>
    <col min="9" max="11" width="8.00390625" style="59" customWidth="1"/>
    <col min="12" max="12" width="8.125" style="59" customWidth="1"/>
    <col min="13" max="13" width="8.125" style="59" hidden="1" customWidth="1"/>
    <col min="14" max="14" width="10.375" style="59" hidden="1" customWidth="1"/>
    <col min="15" max="15" width="7.75390625" style="253" hidden="1" customWidth="1"/>
    <col min="16" max="16" width="8.375" style="0" hidden="1" customWidth="1"/>
    <col min="17" max="17" width="8.75390625" style="0" bestFit="1" customWidth="1"/>
    <col min="18" max="18" width="7.25390625" style="255" customWidth="1"/>
    <col min="19" max="19" width="9.125" style="72" customWidth="1"/>
  </cols>
  <sheetData>
    <row r="1" spans="1:19" ht="15.75" customHeight="1">
      <c r="A1" s="1046" t="s">
        <v>236</v>
      </c>
      <c r="B1" s="1047"/>
      <c r="C1" s="1047"/>
      <c r="D1" s="1048"/>
      <c r="E1" s="1"/>
      <c r="F1" s="543" t="s">
        <v>0</v>
      </c>
      <c r="G1" s="606" t="s">
        <v>2</v>
      </c>
      <c r="H1" s="1050" t="s">
        <v>3</v>
      </c>
      <c r="I1" s="1050"/>
      <c r="J1" s="1050"/>
      <c r="K1" s="1050"/>
      <c r="L1" s="1051"/>
      <c r="M1" s="181" t="s">
        <v>1</v>
      </c>
      <c r="N1" s="538" t="s">
        <v>4</v>
      </c>
      <c r="O1" s="67" t="s">
        <v>144</v>
      </c>
      <c r="P1" s="67" t="s">
        <v>145</v>
      </c>
      <c r="Q1" s="947" t="s">
        <v>4</v>
      </c>
      <c r="R1" s="1056" t="s">
        <v>190</v>
      </c>
      <c r="S1" s="1057" t="s">
        <v>188</v>
      </c>
    </row>
    <row r="2" spans="1:19" s="16" customFormat="1" ht="13.5" thickBot="1">
      <c r="A2" s="298" t="s">
        <v>127</v>
      </c>
      <c r="B2" s="7"/>
      <c r="C2" s="1052" t="s">
        <v>84</v>
      </c>
      <c r="D2" s="1053"/>
      <c r="E2" s="9" t="s">
        <v>5</v>
      </c>
      <c r="F2" s="544">
        <v>2011</v>
      </c>
      <c r="G2" s="607" t="s">
        <v>8</v>
      </c>
      <c r="H2" s="69" t="s">
        <v>9</v>
      </c>
      <c r="I2" s="70" t="s">
        <v>10</v>
      </c>
      <c r="J2" s="303" t="s">
        <v>11</v>
      </c>
      <c r="K2" s="248" t="s">
        <v>126</v>
      </c>
      <c r="L2" s="68" t="s">
        <v>12</v>
      </c>
      <c r="M2" s="544" t="s">
        <v>7</v>
      </c>
      <c r="N2" s="539">
        <v>2011</v>
      </c>
      <c r="O2" s="71"/>
      <c r="P2" s="71"/>
      <c r="Q2" s="948">
        <v>2010</v>
      </c>
      <c r="R2" s="1056"/>
      <c r="S2" s="1057"/>
    </row>
    <row r="3" spans="1:17" ht="13.5" thickBot="1">
      <c r="A3" s="17" t="s">
        <v>13</v>
      </c>
      <c r="B3" s="18"/>
      <c r="C3" s="18"/>
      <c r="D3" s="18"/>
      <c r="E3" s="19">
        <v>1</v>
      </c>
      <c r="F3" s="197">
        <f>SUM(F5:F27)</f>
        <v>12352</v>
      </c>
      <c r="G3" s="597">
        <f aca="true" t="shared" si="0" ref="G3:L3">SUM(G5:G27)</f>
        <v>8817</v>
      </c>
      <c r="H3" s="125">
        <f t="shared" si="0"/>
        <v>3535</v>
      </c>
      <c r="I3" s="77">
        <f t="shared" si="0"/>
        <v>0</v>
      </c>
      <c r="J3" s="304">
        <f t="shared" si="0"/>
        <v>0</v>
      </c>
      <c r="K3" s="77">
        <f t="shared" si="0"/>
        <v>0</v>
      </c>
      <c r="L3" s="76">
        <f t="shared" si="0"/>
        <v>0</v>
      </c>
      <c r="M3" s="197">
        <f>SUM(M5:M27)</f>
        <v>0</v>
      </c>
      <c r="N3" s="471">
        <f>SUM(N5:N27)</f>
        <v>0</v>
      </c>
      <c r="O3" s="413">
        <f aca="true" t="shared" si="1" ref="O3:O28">IF(F3=0,0,N3/F3)</f>
        <v>0</v>
      </c>
      <c r="P3" s="78" t="e">
        <f>SUM(P5:P27)</f>
        <v>#DIV/0!</v>
      </c>
      <c r="Q3" s="588">
        <f>SUM(Q5:Q27)</f>
        <v>3344.45033</v>
      </c>
    </row>
    <row r="4" spans="1:19" s="25" customFormat="1" ht="12">
      <c r="A4" s="21" t="s">
        <v>14</v>
      </c>
      <c r="B4" s="22" t="s">
        <v>15</v>
      </c>
      <c r="C4" s="22"/>
      <c r="D4" s="22"/>
      <c r="E4" s="23">
        <v>2</v>
      </c>
      <c r="F4" s="198">
        <f aca="true" t="shared" si="2" ref="F4:N4">SUM(F5:F15)</f>
        <v>12352</v>
      </c>
      <c r="G4" s="608">
        <f t="shared" si="2"/>
        <v>8817</v>
      </c>
      <c r="H4" s="259">
        <f t="shared" si="2"/>
        <v>3535</v>
      </c>
      <c r="I4" s="259">
        <f t="shared" si="2"/>
        <v>0</v>
      </c>
      <c r="J4" s="259">
        <f t="shared" si="2"/>
        <v>0</v>
      </c>
      <c r="K4" s="259">
        <f t="shared" si="2"/>
        <v>0</v>
      </c>
      <c r="L4" s="259">
        <f t="shared" si="2"/>
        <v>0</v>
      </c>
      <c r="M4" s="198">
        <f>SUM(M5:M15)</f>
        <v>0</v>
      </c>
      <c r="N4" s="417">
        <f t="shared" si="2"/>
        <v>0</v>
      </c>
      <c r="O4" s="410">
        <f t="shared" si="1"/>
        <v>0</v>
      </c>
      <c r="P4" s="82" t="e">
        <f>SUM(P5:P15)</f>
        <v>#DIV/0!</v>
      </c>
      <c r="Q4" s="589">
        <f>SUM(Q5:Q15)</f>
        <v>3344.45033</v>
      </c>
      <c r="R4" s="255"/>
      <c r="S4" s="72"/>
    </row>
    <row r="5" spans="1:19" s="65" customFormat="1" ht="12">
      <c r="A5" s="61"/>
      <c r="B5" s="62"/>
      <c r="C5" s="62" t="s">
        <v>16</v>
      </c>
      <c r="D5" s="63" t="s">
        <v>17</v>
      </c>
      <c r="E5" s="64">
        <v>3</v>
      </c>
      <c r="F5" s="199">
        <f>SUM(G5:L5)</f>
        <v>2500</v>
      </c>
      <c r="G5" s="610">
        <v>2500</v>
      </c>
      <c r="H5" s="241"/>
      <c r="I5" s="242"/>
      <c r="J5" s="313"/>
      <c r="K5" s="242"/>
      <c r="L5" s="262"/>
      <c r="M5" s="199"/>
      <c r="N5" s="418"/>
      <c r="O5" s="428">
        <f t="shared" si="1"/>
        <v>0</v>
      </c>
      <c r="P5" s="850">
        <f>N5</f>
        <v>0</v>
      </c>
      <c r="Q5" s="590">
        <f>1221541/1000</f>
        <v>1221.541</v>
      </c>
      <c r="R5" s="546"/>
      <c r="S5" s="517"/>
    </row>
    <row r="6" spans="1:19" s="65" customFormat="1" ht="12">
      <c r="A6" s="61"/>
      <c r="B6" s="62"/>
      <c r="C6" s="62"/>
      <c r="D6" s="63" t="s">
        <v>18</v>
      </c>
      <c r="E6" s="64">
        <v>4</v>
      </c>
      <c r="F6" s="199">
        <f aca="true" t="shared" si="3" ref="F6:F45">SUM(G6:L6)</f>
        <v>250</v>
      </c>
      <c r="G6" s="610">
        <v>250</v>
      </c>
      <c r="H6" s="241"/>
      <c r="I6" s="242"/>
      <c r="J6" s="313"/>
      <c r="K6" s="242"/>
      <c r="L6" s="262"/>
      <c r="M6" s="199"/>
      <c r="N6" s="418"/>
      <c r="O6" s="428">
        <f t="shared" si="1"/>
        <v>0</v>
      </c>
      <c r="P6" s="850">
        <f>N6</f>
        <v>0</v>
      </c>
      <c r="Q6" s="590">
        <f>114080/1000</f>
        <v>114.08</v>
      </c>
      <c r="R6" s="546"/>
      <c r="S6" s="517"/>
    </row>
    <row r="7" spans="1:19" s="65" customFormat="1" ht="12">
      <c r="A7" s="61"/>
      <c r="B7" s="62"/>
      <c r="C7" s="62"/>
      <c r="D7" s="63" t="s">
        <v>19</v>
      </c>
      <c r="E7" s="64">
        <v>5</v>
      </c>
      <c r="F7" s="199">
        <f t="shared" si="3"/>
        <v>909</v>
      </c>
      <c r="G7" s="610">
        <v>909</v>
      </c>
      <c r="H7" s="241"/>
      <c r="I7" s="242"/>
      <c r="J7" s="313"/>
      <c r="K7" s="242"/>
      <c r="L7" s="262"/>
      <c r="M7" s="199"/>
      <c r="N7" s="418"/>
      <c r="O7" s="428">
        <f t="shared" si="1"/>
        <v>0</v>
      </c>
      <c r="P7" s="850">
        <f>N7</f>
        <v>0</v>
      </c>
      <c r="Q7" s="590">
        <f>464196.57/1000</f>
        <v>464.19657</v>
      </c>
      <c r="R7" s="546"/>
      <c r="S7" s="517"/>
    </row>
    <row r="8" spans="1:19" s="65" customFormat="1" ht="12">
      <c r="A8" s="61"/>
      <c r="B8" s="62"/>
      <c r="C8" s="62"/>
      <c r="D8" s="63" t="s">
        <v>20</v>
      </c>
      <c r="E8" s="64">
        <v>6</v>
      </c>
      <c r="F8" s="199">
        <f t="shared" si="3"/>
        <v>3200</v>
      </c>
      <c r="G8" s="610">
        <v>3000</v>
      </c>
      <c r="H8" s="241">
        <v>200</v>
      </c>
      <c r="I8" s="242"/>
      <c r="J8" s="313"/>
      <c r="K8" s="242"/>
      <c r="L8" s="262"/>
      <c r="M8" s="199"/>
      <c r="N8" s="418"/>
      <c r="O8" s="428">
        <f t="shared" si="1"/>
        <v>0</v>
      </c>
      <c r="P8" s="87" t="e">
        <f>N8/titl!$H$17*12</f>
        <v>#DIV/0!</v>
      </c>
      <c r="Q8" s="590">
        <f>577635.74/1000</f>
        <v>577.6357399999999</v>
      </c>
      <c r="R8" s="546"/>
      <c r="S8" s="517"/>
    </row>
    <row r="9" spans="1:19" s="65" customFormat="1" ht="12">
      <c r="A9" s="61"/>
      <c r="B9" s="62"/>
      <c r="C9" s="62"/>
      <c r="D9" s="63" t="s">
        <v>21</v>
      </c>
      <c r="E9" s="64">
        <v>7</v>
      </c>
      <c r="F9" s="199">
        <f t="shared" si="3"/>
        <v>1300</v>
      </c>
      <c r="G9" s="610">
        <v>300</v>
      </c>
      <c r="H9" s="241">
        <v>1000</v>
      </c>
      <c r="I9" s="242"/>
      <c r="J9" s="313"/>
      <c r="K9" s="242"/>
      <c r="L9" s="262"/>
      <c r="M9" s="199"/>
      <c r="N9" s="418"/>
      <c r="O9" s="428">
        <f t="shared" si="1"/>
        <v>0</v>
      </c>
      <c r="P9" s="87" t="e">
        <f>N9/titl!$H$17*12</f>
        <v>#DIV/0!</v>
      </c>
      <c r="Q9" s="590">
        <f>22734/1000</f>
        <v>22.734</v>
      </c>
      <c r="R9" s="546"/>
      <c r="S9" s="517"/>
    </row>
    <row r="10" spans="1:19" s="65" customFormat="1" ht="12">
      <c r="A10" s="61"/>
      <c r="B10" s="62"/>
      <c r="C10" s="62"/>
      <c r="D10" s="63" t="s">
        <v>22</v>
      </c>
      <c r="E10" s="64">
        <v>8</v>
      </c>
      <c r="F10" s="199">
        <f t="shared" si="3"/>
        <v>2217</v>
      </c>
      <c r="G10" s="610">
        <v>217</v>
      </c>
      <c r="H10" s="241">
        <v>2000</v>
      </c>
      <c r="I10" s="242"/>
      <c r="J10" s="313"/>
      <c r="K10" s="242"/>
      <c r="L10" s="262"/>
      <c r="M10" s="199"/>
      <c r="N10" s="418"/>
      <c r="O10" s="428">
        <f t="shared" si="1"/>
        <v>0</v>
      </c>
      <c r="P10" s="87" t="e">
        <f>N10/titl!$H$17*12</f>
        <v>#DIV/0!</v>
      </c>
      <c r="Q10" s="590">
        <f>25820.36/1000</f>
        <v>25.82036</v>
      </c>
      <c r="R10" s="546"/>
      <c r="S10" s="517"/>
    </row>
    <row r="11" spans="1:19" s="65" customFormat="1" ht="12">
      <c r="A11" s="61"/>
      <c r="B11" s="62"/>
      <c r="C11" s="62"/>
      <c r="D11" s="63" t="s">
        <v>23</v>
      </c>
      <c r="E11" s="64">
        <v>9</v>
      </c>
      <c r="F11" s="199">
        <f t="shared" si="3"/>
        <v>1000</v>
      </c>
      <c r="G11" s="610">
        <v>1000</v>
      </c>
      <c r="H11" s="241"/>
      <c r="I11" s="242"/>
      <c r="J11" s="313"/>
      <c r="K11" s="242"/>
      <c r="L11" s="262"/>
      <c r="M11" s="199"/>
      <c r="N11" s="418"/>
      <c r="O11" s="428">
        <f t="shared" si="1"/>
        <v>0</v>
      </c>
      <c r="P11" s="87" t="e">
        <f>N11/titl!$H$17*12</f>
        <v>#DIV/0!</v>
      </c>
      <c r="Q11" s="590">
        <f>141772.18/1000</f>
        <v>141.77218</v>
      </c>
      <c r="R11" s="546"/>
      <c r="S11" s="517"/>
    </row>
    <row r="12" spans="1:19" s="65" customFormat="1" ht="12">
      <c r="A12" s="61"/>
      <c r="B12" s="62"/>
      <c r="C12" s="62"/>
      <c r="D12" s="63" t="s">
        <v>24</v>
      </c>
      <c r="E12" s="64">
        <v>10</v>
      </c>
      <c r="F12" s="199">
        <f t="shared" si="3"/>
        <v>115</v>
      </c>
      <c r="G12" s="610">
        <v>80</v>
      </c>
      <c r="H12" s="241">
        <v>35</v>
      </c>
      <c r="I12" s="242"/>
      <c r="J12" s="313"/>
      <c r="K12" s="242"/>
      <c r="L12" s="262"/>
      <c r="M12" s="199"/>
      <c r="N12" s="418"/>
      <c r="O12" s="428">
        <f t="shared" si="1"/>
        <v>0</v>
      </c>
      <c r="P12" s="87" t="e">
        <f>N12/titl!$H$17*12</f>
        <v>#DIV/0!</v>
      </c>
      <c r="Q12" s="590">
        <f>26338.81/1000</f>
        <v>26.338810000000002</v>
      </c>
      <c r="R12" s="546"/>
      <c r="S12" s="517"/>
    </row>
    <row r="13" spans="1:19" s="65" customFormat="1" ht="12">
      <c r="A13" s="61"/>
      <c r="B13" s="62"/>
      <c r="C13" s="62"/>
      <c r="D13" s="63" t="s">
        <v>25</v>
      </c>
      <c r="E13" s="64">
        <v>11</v>
      </c>
      <c r="F13" s="199">
        <f t="shared" si="3"/>
        <v>261</v>
      </c>
      <c r="G13" s="610">
        <v>261</v>
      </c>
      <c r="H13" s="241"/>
      <c r="I13" s="242"/>
      <c r="J13" s="313"/>
      <c r="K13" s="242"/>
      <c r="L13" s="262"/>
      <c r="M13" s="199"/>
      <c r="N13" s="418"/>
      <c r="O13" s="428">
        <f t="shared" si="1"/>
        <v>0</v>
      </c>
      <c r="P13" s="850">
        <f>N13</f>
        <v>0</v>
      </c>
      <c r="Q13" s="590">
        <f>264339/1000</f>
        <v>264.339</v>
      </c>
      <c r="R13" s="546"/>
      <c r="S13" s="517"/>
    </row>
    <row r="14" spans="1:19" s="65" customFormat="1" ht="12">
      <c r="A14" s="61"/>
      <c r="B14" s="62"/>
      <c r="C14" s="62"/>
      <c r="D14" s="63" t="s">
        <v>26</v>
      </c>
      <c r="E14" s="64">
        <v>12</v>
      </c>
      <c r="F14" s="199">
        <f t="shared" si="3"/>
        <v>0</v>
      </c>
      <c r="G14" s="610"/>
      <c r="H14" s="241"/>
      <c r="I14" s="242"/>
      <c r="J14" s="313"/>
      <c r="K14" s="242"/>
      <c r="L14" s="262"/>
      <c r="M14" s="199"/>
      <c r="N14" s="418"/>
      <c r="O14" s="428">
        <f t="shared" si="1"/>
        <v>0</v>
      </c>
      <c r="P14" s="87" t="e">
        <f>N14/titl!$H$17*12</f>
        <v>#DIV/0!</v>
      </c>
      <c r="Q14" s="590"/>
      <c r="R14" s="546"/>
      <c r="S14" s="517"/>
    </row>
    <row r="15" spans="1:19" s="65" customFormat="1" ht="12">
      <c r="A15" s="61"/>
      <c r="B15" s="62"/>
      <c r="C15" s="63"/>
      <c r="D15" s="63" t="s">
        <v>27</v>
      </c>
      <c r="E15" s="64">
        <v>13</v>
      </c>
      <c r="F15" s="199">
        <f t="shared" si="3"/>
        <v>600</v>
      </c>
      <c r="G15" s="610">
        <v>300</v>
      </c>
      <c r="H15" s="241">
        <v>300</v>
      </c>
      <c r="I15" s="242"/>
      <c r="J15" s="313"/>
      <c r="K15" s="242"/>
      <c r="L15" s="262"/>
      <c r="M15" s="199"/>
      <c r="N15" s="418"/>
      <c r="O15" s="428">
        <f t="shared" si="1"/>
        <v>0</v>
      </c>
      <c r="P15" s="87" t="e">
        <f>N15/titl!$H$17*12</f>
        <v>#DIV/0!</v>
      </c>
      <c r="Q15" s="590">
        <f>485992.67/1000</f>
        <v>485.99267</v>
      </c>
      <c r="R15" s="546"/>
      <c r="S15" s="517"/>
    </row>
    <row r="16" spans="1:19" s="25" customFormat="1" ht="12">
      <c r="A16" s="21"/>
      <c r="B16" s="30" t="s">
        <v>28</v>
      </c>
      <c r="C16" s="27"/>
      <c r="D16" s="27"/>
      <c r="E16" s="28">
        <v>14</v>
      </c>
      <c r="F16" s="119">
        <f t="shared" si="3"/>
        <v>0</v>
      </c>
      <c r="G16" s="611"/>
      <c r="H16" s="328"/>
      <c r="I16" s="160"/>
      <c r="J16" s="315"/>
      <c r="K16" s="160"/>
      <c r="L16" s="156"/>
      <c r="M16" s="119"/>
      <c r="N16" s="419"/>
      <c r="O16" s="412">
        <f t="shared" si="1"/>
        <v>0</v>
      </c>
      <c r="P16" s="92">
        <f>P30</f>
        <v>0</v>
      </c>
      <c r="Q16" s="591"/>
      <c r="R16" s="255"/>
      <c r="S16" s="72"/>
    </row>
    <row r="17" spans="1:19" s="25" customFormat="1" ht="12">
      <c r="A17" s="21"/>
      <c r="B17" s="30" t="s">
        <v>30</v>
      </c>
      <c r="C17" s="27"/>
      <c r="D17" s="27"/>
      <c r="E17" s="28">
        <v>15</v>
      </c>
      <c r="F17" s="119">
        <f t="shared" si="3"/>
        <v>0</v>
      </c>
      <c r="G17" s="611"/>
      <c r="H17" s="328"/>
      <c r="I17" s="160"/>
      <c r="J17" s="315"/>
      <c r="K17" s="160"/>
      <c r="L17" s="156"/>
      <c r="M17" s="119"/>
      <c r="N17" s="419"/>
      <c r="O17" s="412">
        <f t="shared" si="1"/>
        <v>0</v>
      </c>
      <c r="P17" s="92">
        <f>P31</f>
        <v>0</v>
      </c>
      <c r="Q17" s="591"/>
      <c r="R17" s="255"/>
      <c r="S17" s="72"/>
    </row>
    <row r="18" spans="1:19" s="25" customFormat="1" ht="12">
      <c r="A18" s="21"/>
      <c r="B18" s="31" t="s">
        <v>32</v>
      </c>
      <c r="C18" s="32"/>
      <c r="D18" s="32"/>
      <c r="E18" s="33">
        <v>16</v>
      </c>
      <c r="F18" s="119">
        <f t="shared" si="3"/>
        <v>0</v>
      </c>
      <c r="G18" s="611"/>
      <c r="H18" s="328"/>
      <c r="I18" s="160"/>
      <c r="J18" s="315"/>
      <c r="K18" s="160"/>
      <c r="L18" s="156"/>
      <c r="M18" s="119"/>
      <c r="N18" s="419"/>
      <c r="O18" s="412">
        <f t="shared" si="1"/>
        <v>0</v>
      </c>
      <c r="P18" s="92">
        <f>P32</f>
        <v>0</v>
      </c>
      <c r="Q18" s="591"/>
      <c r="R18" s="255"/>
      <c r="S18" s="72"/>
    </row>
    <row r="19" spans="1:19" s="25" customFormat="1" ht="12">
      <c r="A19" s="21"/>
      <c r="B19" s="31" t="s">
        <v>34</v>
      </c>
      <c r="C19" s="32"/>
      <c r="D19" s="32"/>
      <c r="E19" s="33">
        <v>17</v>
      </c>
      <c r="F19" s="119">
        <f t="shared" si="3"/>
        <v>0</v>
      </c>
      <c r="G19" s="611"/>
      <c r="H19" s="328"/>
      <c r="I19" s="160"/>
      <c r="J19" s="315"/>
      <c r="K19" s="160"/>
      <c r="L19" s="156"/>
      <c r="M19" s="119"/>
      <c r="N19" s="419"/>
      <c r="O19" s="412">
        <f t="shared" si="1"/>
        <v>0</v>
      </c>
      <c r="P19" s="92">
        <f>P33</f>
        <v>0</v>
      </c>
      <c r="Q19" s="591"/>
      <c r="R19" s="255"/>
      <c r="S19" s="72"/>
    </row>
    <row r="20" spans="1:19" s="25" customFormat="1" ht="12">
      <c r="A20" s="21"/>
      <c r="B20" s="31" t="s">
        <v>36</v>
      </c>
      <c r="C20" s="31"/>
      <c r="D20" s="31"/>
      <c r="E20" s="33">
        <v>18</v>
      </c>
      <c r="F20" s="119">
        <f t="shared" si="3"/>
        <v>0</v>
      </c>
      <c r="G20" s="611"/>
      <c r="H20" s="328"/>
      <c r="I20" s="160"/>
      <c r="J20" s="315"/>
      <c r="K20" s="160"/>
      <c r="L20" s="156"/>
      <c r="M20" s="119"/>
      <c r="N20" s="419"/>
      <c r="O20" s="412">
        <f t="shared" si="1"/>
        <v>0</v>
      </c>
      <c r="P20" s="92">
        <f>P35</f>
        <v>0</v>
      </c>
      <c r="Q20" s="591"/>
      <c r="R20" s="255"/>
      <c r="S20" s="72"/>
    </row>
    <row r="21" spans="1:19" s="640" customFormat="1" ht="12">
      <c r="A21" s="628"/>
      <c r="B21" s="629" t="s">
        <v>175</v>
      </c>
      <c r="C21" s="629"/>
      <c r="D21" s="629"/>
      <c r="E21" s="630">
        <v>19</v>
      </c>
      <c r="F21" s="631">
        <f t="shared" si="3"/>
        <v>0</v>
      </c>
      <c r="G21" s="890"/>
      <c r="H21" s="724"/>
      <c r="I21" s="730"/>
      <c r="J21" s="731"/>
      <c r="K21" s="730"/>
      <c r="L21" s="732"/>
      <c r="M21" s="631"/>
      <c r="N21" s="637"/>
      <c r="O21" s="638">
        <f t="shared" si="1"/>
        <v>0</v>
      </c>
      <c r="P21" s="631">
        <f>P36</f>
        <v>0</v>
      </c>
      <c r="Q21" s="591"/>
      <c r="R21" s="252"/>
      <c r="S21" s="51"/>
    </row>
    <row r="22" spans="1:19" s="25" customFormat="1" ht="12">
      <c r="A22" s="21"/>
      <c r="B22" s="31" t="s">
        <v>40</v>
      </c>
      <c r="C22" s="31"/>
      <c r="D22" s="31"/>
      <c r="E22" s="33">
        <v>20</v>
      </c>
      <c r="F22" s="119">
        <f t="shared" si="3"/>
        <v>0</v>
      </c>
      <c r="G22" s="611"/>
      <c r="H22" s="328"/>
      <c r="I22" s="160"/>
      <c r="J22" s="315"/>
      <c r="K22" s="160"/>
      <c r="L22" s="156"/>
      <c r="M22" s="119"/>
      <c r="N22" s="419"/>
      <c r="O22" s="412">
        <f t="shared" si="1"/>
        <v>0</v>
      </c>
      <c r="P22" s="92">
        <f>P37</f>
        <v>0</v>
      </c>
      <c r="Q22" s="591"/>
      <c r="R22" s="255"/>
      <c r="S22" s="72"/>
    </row>
    <row r="23" spans="1:19" s="25" customFormat="1" ht="12">
      <c r="A23" s="21"/>
      <c r="B23" s="31" t="s">
        <v>42</v>
      </c>
      <c r="C23" s="31"/>
      <c r="D23" s="31"/>
      <c r="E23" s="33">
        <v>21</v>
      </c>
      <c r="F23" s="119">
        <f t="shared" si="3"/>
        <v>0</v>
      </c>
      <c r="G23" s="611"/>
      <c r="H23" s="328"/>
      <c r="I23" s="160"/>
      <c r="J23" s="315"/>
      <c r="K23" s="160"/>
      <c r="L23" s="156"/>
      <c r="M23" s="119"/>
      <c r="N23" s="419"/>
      <c r="O23" s="412">
        <f t="shared" si="1"/>
        <v>0</v>
      </c>
      <c r="P23" s="92">
        <f>P39</f>
        <v>0</v>
      </c>
      <c r="Q23" s="591"/>
      <c r="R23" s="255"/>
      <c r="S23" s="72"/>
    </row>
    <row r="24" spans="1:19" s="25" customFormat="1" ht="12">
      <c r="A24" s="21"/>
      <c r="B24" s="31" t="s">
        <v>43</v>
      </c>
      <c r="C24" s="31"/>
      <c r="D24" s="31"/>
      <c r="E24" s="33">
        <v>22</v>
      </c>
      <c r="F24" s="119">
        <f t="shared" si="3"/>
        <v>0</v>
      </c>
      <c r="G24" s="611"/>
      <c r="H24" s="328"/>
      <c r="I24" s="160"/>
      <c r="J24" s="315"/>
      <c r="K24" s="160"/>
      <c r="L24" s="156"/>
      <c r="M24" s="119"/>
      <c r="N24" s="419"/>
      <c r="O24" s="412">
        <f t="shared" si="1"/>
        <v>0</v>
      </c>
      <c r="P24" s="92">
        <f>P40</f>
        <v>0</v>
      </c>
      <c r="Q24" s="591"/>
      <c r="R24" s="255"/>
      <c r="S24" s="72"/>
    </row>
    <row r="25" spans="1:19" s="640" customFormat="1" ht="12">
      <c r="A25" s="628"/>
      <c r="B25" s="629" t="s">
        <v>186</v>
      </c>
      <c r="C25" s="629"/>
      <c r="D25" s="629"/>
      <c r="E25" s="630">
        <v>23</v>
      </c>
      <c r="F25" s="631">
        <f t="shared" si="3"/>
        <v>0</v>
      </c>
      <c r="G25" s="890"/>
      <c r="H25" s="724"/>
      <c r="I25" s="730"/>
      <c r="J25" s="731"/>
      <c r="K25" s="730"/>
      <c r="L25" s="732"/>
      <c r="M25" s="631"/>
      <c r="N25" s="637"/>
      <c r="O25" s="638">
        <f t="shared" si="1"/>
        <v>0</v>
      </c>
      <c r="P25" s="631">
        <f>P41</f>
        <v>0</v>
      </c>
      <c r="Q25" s="591"/>
      <c r="R25" s="252"/>
      <c r="S25" s="51"/>
    </row>
    <row r="26" spans="1:19" s="25" customFormat="1" ht="12">
      <c r="A26" s="21"/>
      <c r="B26" s="31" t="s">
        <v>45</v>
      </c>
      <c r="C26" s="31"/>
      <c r="D26" s="31"/>
      <c r="E26" s="33">
        <v>24</v>
      </c>
      <c r="F26" s="119">
        <f t="shared" si="3"/>
        <v>0</v>
      </c>
      <c r="G26" s="611"/>
      <c r="H26" s="328"/>
      <c r="I26" s="160"/>
      <c r="J26" s="315"/>
      <c r="K26" s="160"/>
      <c r="L26" s="156"/>
      <c r="M26" s="119"/>
      <c r="N26" s="419"/>
      <c r="O26" s="412">
        <f t="shared" si="1"/>
        <v>0</v>
      </c>
      <c r="P26" s="92">
        <f>P42</f>
        <v>0</v>
      </c>
      <c r="Q26" s="591"/>
      <c r="R26" s="255"/>
      <c r="S26" s="72"/>
    </row>
    <row r="27" spans="1:19" s="25" customFormat="1" ht="12.75" thickBot="1">
      <c r="A27" s="21"/>
      <c r="B27" s="30" t="s">
        <v>47</v>
      </c>
      <c r="C27" s="30"/>
      <c r="D27" s="30"/>
      <c r="E27" s="28">
        <v>25</v>
      </c>
      <c r="F27" s="119">
        <f t="shared" si="3"/>
        <v>0</v>
      </c>
      <c r="G27" s="611"/>
      <c r="H27" s="328"/>
      <c r="I27" s="160"/>
      <c r="J27" s="315"/>
      <c r="K27" s="160"/>
      <c r="L27" s="156"/>
      <c r="M27" s="119"/>
      <c r="N27" s="419"/>
      <c r="O27" s="412">
        <f t="shared" si="1"/>
        <v>0</v>
      </c>
      <c r="P27" s="92" t="e">
        <f>N27/titl!$H$17*12</f>
        <v>#DIV/0!</v>
      </c>
      <c r="Q27" s="591"/>
      <c r="R27" s="255"/>
      <c r="S27" s="72"/>
    </row>
    <row r="28" spans="1:17" ht="13.5" thickBot="1">
      <c r="A28" s="37" t="s">
        <v>49</v>
      </c>
      <c r="B28" s="38"/>
      <c r="C28" s="38"/>
      <c r="D28" s="38"/>
      <c r="E28" s="19">
        <v>26</v>
      </c>
      <c r="F28" s="197">
        <f>SUM(F29:F45)</f>
        <v>12552</v>
      </c>
      <c r="G28" s="597">
        <f aca="true" t="shared" si="4" ref="G28:N28">SUM(G29:G45)</f>
        <v>9017</v>
      </c>
      <c r="H28" s="125">
        <f t="shared" si="4"/>
        <v>3535</v>
      </c>
      <c r="I28" s="77">
        <f t="shared" si="4"/>
        <v>0</v>
      </c>
      <c r="J28" s="304">
        <f t="shared" si="4"/>
        <v>0</v>
      </c>
      <c r="K28" s="77">
        <f t="shared" si="4"/>
        <v>0</v>
      </c>
      <c r="L28" s="76">
        <f t="shared" si="4"/>
        <v>0</v>
      </c>
      <c r="M28" s="197">
        <f>SUM(M29:M45)</f>
        <v>0</v>
      </c>
      <c r="N28" s="471">
        <f t="shared" si="4"/>
        <v>0</v>
      </c>
      <c r="O28" s="413">
        <f t="shared" si="1"/>
        <v>0</v>
      </c>
      <c r="P28" s="78" t="e">
        <f>SUM(P29:P45)</f>
        <v>#DIV/0!</v>
      </c>
      <c r="Q28" s="588">
        <f>SUM(Q29:Q45)</f>
        <v>3356.47368</v>
      </c>
    </row>
    <row r="29" spans="1:19" s="25" customFormat="1" ht="12">
      <c r="A29" s="21" t="s">
        <v>14</v>
      </c>
      <c r="B29" s="27" t="s">
        <v>50</v>
      </c>
      <c r="C29" s="27"/>
      <c r="D29" s="27"/>
      <c r="E29" s="28">
        <v>27</v>
      </c>
      <c r="F29" s="119">
        <f t="shared" si="3"/>
        <v>8417</v>
      </c>
      <c r="G29" s="608">
        <v>8417</v>
      </c>
      <c r="H29" s="887"/>
      <c r="I29" s="567"/>
      <c r="J29" s="568"/>
      <c r="K29" s="567"/>
      <c r="L29" s="259"/>
      <c r="M29" s="198"/>
      <c r="N29" s="417"/>
      <c r="O29" s="414">
        <f aca="true" t="shared" si="5" ref="O29:O45">IF(F29=0,0,N29/F29)</f>
        <v>0</v>
      </c>
      <c r="P29" s="82">
        <f>F29</f>
        <v>8417</v>
      </c>
      <c r="Q29" s="589">
        <f>3161000/1000</f>
        <v>3161</v>
      </c>
      <c r="R29" s="255">
        <v>3535</v>
      </c>
      <c r="S29" s="72"/>
    </row>
    <row r="30" spans="1:19" s="25" customFormat="1" ht="12">
      <c r="A30" s="21"/>
      <c r="B30" s="30" t="s">
        <v>28</v>
      </c>
      <c r="C30" s="30"/>
      <c r="D30" s="30"/>
      <c r="E30" s="28">
        <v>28</v>
      </c>
      <c r="F30" s="119">
        <f t="shared" si="3"/>
        <v>0</v>
      </c>
      <c r="G30" s="886"/>
      <c r="H30" s="470"/>
      <c r="I30" s="159"/>
      <c r="J30" s="314"/>
      <c r="K30" s="159"/>
      <c r="L30" s="229"/>
      <c r="M30" s="472"/>
      <c r="N30" s="420"/>
      <c r="O30" s="414">
        <f t="shared" si="5"/>
        <v>0</v>
      </c>
      <c r="P30" s="96">
        <f aca="true" t="shared" si="6" ref="P30:P42">F30</f>
        <v>0</v>
      </c>
      <c r="Q30" s="519"/>
      <c r="R30" s="255"/>
      <c r="S30" s="72"/>
    </row>
    <row r="31" spans="1:19" s="25" customFormat="1" ht="12">
      <c r="A31" s="21"/>
      <c r="B31" s="30" t="s">
        <v>30</v>
      </c>
      <c r="C31" s="30"/>
      <c r="D31" s="30"/>
      <c r="E31" s="28">
        <v>29</v>
      </c>
      <c r="F31" s="119">
        <f t="shared" si="3"/>
        <v>0</v>
      </c>
      <c r="G31" s="886"/>
      <c r="H31" s="470"/>
      <c r="I31" s="159"/>
      <c r="J31" s="314"/>
      <c r="K31" s="159"/>
      <c r="L31" s="229"/>
      <c r="M31" s="472"/>
      <c r="N31" s="420"/>
      <c r="O31" s="414">
        <f t="shared" si="5"/>
        <v>0</v>
      </c>
      <c r="P31" s="96">
        <f t="shared" si="6"/>
        <v>0</v>
      </c>
      <c r="Q31" s="519"/>
      <c r="R31" s="255"/>
      <c r="S31" s="72"/>
    </row>
    <row r="32" spans="1:19" s="25" customFormat="1" ht="12">
      <c r="A32" s="21"/>
      <c r="B32" s="31" t="s">
        <v>32</v>
      </c>
      <c r="C32" s="32"/>
      <c r="D32" s="32"/>
      <c r="E32" s="33">
        <v>30</v>
      </c>
      <c r="F32" s="119">
        <f t="shared" si="3"/>
        <v>0</v>
      </c>
      <c r="G32" s="886"/>
      <c r="H32" s="470"/>
      <c r="I32" s="159"/>
      <c r="J32" s="314"/>
      <c r="K32" s="159"/>
      <c r="L32" s="229"/>
      <c r="M32" s="472"/>
      <c r="N32" s="420"/>
      <c r="O32" s="414">
        <f t="shared" si="5"/>
        <v>0</v>
      </c>
      <c r="P32" s="96">
        <f t="shared" si="6"/>
        <v>0</v>
      </c>
      <c r="Q32" s="519"/>
      <c r="R32" s="255"/>
      <c r="S32" s="72"/>
    </row>
    <row r="33" spans="1:19" s="25" customFormat="1" ht="12">
      <c r="A33" s="21"/>
      <c r="B33" s="31" t="s">
        <v>34</v>
      </c>
      <c r="C33" s="31"/>
      <c r="D33" s="31"/>
      <c r="E33" s="33">
        <v>31</v>
      </c>
      <c r="F33" s="119">
        <f t="shared" si="3"/>
        <v>0</v>
      </c>
      <c r="G33" s="886"/>
      <c r="H33" s="470"/>
      <c r="I33" s="159"/>
      <c r="J33" s="314"/>
      <c r="K33" s="159"/>
      <c r="L33" s="229"/>
      <c r="M33" s="472"/>
      <c r="N33" s="420"/>
      <c r="O33" s="414">
        <f t="shared" si="5"/>
        <v>0</v>
      </c>
      <c r="P33" s="96">
        <f t="shared" si="6"/>
        <v>0</v>
      </c>
      <c r="Q33" s="519"/>
      <c r="R33" s="255"/>
      <c r="S33" s="72"/>
    </row>
    <row r="34" spans="1:19" s="25" customFormat="1" ht="12">
      <c r="A34" s="21"/>
      <c r="B34" s="31" t="s">
        <v>52</v>
      </c>
      <c r="C34" s="31"/>
      <c r="D34" s="31"/>
      <c r="E34" s="33">
        <v>32</v>
      </c>
      <c r="F34" s="119">
        <f t="shared" si="3"/>
        <v>0</v>
      </c>
      <c r="G34" s="886"/>
      <c r="H34" s="470"/>
      <c r="I34" s="159"/>
      <c r="J34" s="314"/>
      <c r="K34" s="159"/>
      <c r="L34" s="229"/>
      <c r="M34" s="472"/>
      <c r="N34" s="420"/>
      <c r="O34" s="414">
        <f t="shared" si="5"/>
        <v>0</v>
      </c>
      <c r="P34" s="96">
        <f t="shared" si="6"/>
        <v>0</v>
      </c>
      <c r="Q34" s="519"/>
      <c r="R34" s="255"/>
      <c r="S34" s="72"/>
    </row>
    <row r="35" spans="1:19" s="25" customFormat="1" ht="12">
      <c r="A35" s="21"/>
      <c r="B35" s="31" t="s">
        <v>36</v>
      </c>
      <c r="C35" s="31"/>
      <c r="D35" s="31"/>
      <c r="E35" s="33">
        <v>33</v>
      </c>
      <c r="F35" s="119">
        <f t="shared" si="3"/>
        <v>0</v>
      </c>
      <c r="G35" s="886"/>
      <c r="H35" s="470"/>
      <c r="I35" s="159"/>
      <c r="J35" s="314"/>
      <c r="K35" s="159"/>
      <c r="L35" s="229"/>
      <c r="M35" s="472"/>
      <c r="N35" s="420"/>
      <c r="O35" s="414">
        <f t="shared" si="5"/>
        <v>0</v>
      </c>
      <c r="P35" s="96">
        <f t="shared" si="6"/>
        <v>0</v>
      </c>
      <c r="Q35" s="519"/>
      <c r="R35" s="255"/>
      <c r="S35" s="72"/>
    </row>
    <row r="36" spans="1:19" s="640" customFormat="1" ht="12">
      <c r="A36" s="628"/>
      <c r="B36" s="629" t="s">
        <v>175</v>
      </c>
      <c r="C36" s="629"/>
      <c r="D36" s="629"/>
      <c r="E36" s="630">
        <v>34</v>
      </c>
      <c r="F36" s="631">
        <f t="shared" si="3"/>
        <v>0</v>
      </c>
      <c r="G36" s="891"/>
      <c r="H36" s="888"/>
      <c r="I36" s="738"/>
      <c r="J36" s="739"/>
      <c r="K36" s="738"/>
      <c r="L36" s="737"/>
      <c r="M36" s="632"/>
      <c r="N36" s="641"/>
      <c r="O36" s="734">
        <f t="shared" si="5"/>
        <v>0</v>
      </c>
      <c r="P36" s="632">
        <f t="shared" si="6"/>
        <v>0</v>
      </c>
      <c r="Q36" s="519"/>
      <c r="R36" s="252"/>
      <c r="S36" s="51"/>
    </row>
    <row r="37" spans="1:19" s="25" customFormat="1" ht="12">
      <c r="A37" s="21"/>
      <c r="B37" s="31" t="s">
        <v>54</v>
      </c>
      <c r="C37" s="31"/>
      <c r="D37" s="31"/>
      <c r="E37" s="33">
        <v>35</v>
      </c>
      <c r="F37" s="119">
        <f t="shared" si="3"/>
        <v>0</v>
      </c>
      <c r="G37" s="886"/>
      <c r="H37" s="470"/>
      <c r="I37" s="159"/>
      <c r="J37" s="314"/>
      <c r="K37" s="159"/>
      <c r="L37" s="229"/>
      <c r="M37" s="472"/>
      <c r="N37" s="420"/>
      <c r="O37" s="414">
        <f t="shared" si="5"/>
        <v>0</v>
      </c>
      <c r="P37" s="96">
        <f t="shared" si="6"/>
        <v>0</v>
      </c>
      <c r="Q37" s="519"/>
      <c r="R37" s="255"/>
      <c r="S37" s="72"/>
    </row>
    <row r="38" spans="1:19" s="25" customFormat="1" ht="12">
      <c r="A38" s="21"/>
      <c r="B38" s="31" t="s">
        <v>170</v>
      </c>
      <c r="C38" s="31"/>
      <c r="D38" s="31"/>
      <c r="E38" s="33">
        <v>36</v>
      </c>
      <c r="F38" s="119">
        <f t="shared" si="3"/>
        <v>0</v>
      </c>
      <c r="G38" s="886"/>
      <c r="H38" s="470"/>
      <c r="I38" s="159"/>
      <c r="J38" s="314"/>
      <c r="K38" s="159"/>
      <c r="L38" s="229"/>
      <c r="M38" s="472"/>
      <c r="N38" s="420"/>
      <c r="O38" s="414">
        <f t="shared" si="5"/>
        <v>0</v>
      </c>
      <c r="P38" s="96">
        <f t="shared" si="6"/>
        <v>0</v>
      </c>
      <c r="Q38" s="519"/>
      <c r="R38" s="255"/>
      <c r="S38" s="72"/>
    </row>
    <row r="39" spans="1:19" s="25" customFormat="1" ht="12">
      <c r="A39" s="21"/>
      <c r="B39" s="31" t="s">
        <v>56</v>
      </c>
      <c r="C39" s="31"/>
      <c r="D39" s="31"/>
      <c r="E39" s="33">
        <v>37</v>
      </c>
      <c r="F39" s="119">
        <f t="shared" si="3"/>
        <v>0</v>
      </c>
      <c r="G39" s="886"/>
      <c r="H39" s="470"/>
      <c r="I39" s="159"/>
      <c r="J39" s="314"/>
      <c r="K39" s="159"/>
      <c r="L39" s="229"/>
      <c r="M39" s="472"/>
      <c r="N39" s="420"/>
      <c r="O39" s="414">
        <f t="shared" si="5"/>
        <v>0</v>
      </c>
      <c r="P39" s="96">
        <f t="shared" si="6"/>
        <v>0</v>
      </c>
      <c r="Q39" s="519"/>
      <c r="R39" s="255"/>
      <c r="S39" s="72"/>
    </row>
    <row r="40" spans="1:19" s="25" customFormat="1" ht="12">
      <c r="A40" s="21"/>
      <c r="B40" s="31" t="s">
        <v>57</v>
      </c>
      <c r="C40" s="31"/>
      <c r="D40" s="31"/>
      <c r="E40" s="33">
        <v>38</v>
      </c>
      <c r="F40" s="119">
        <f t="shared" si="3"/>
        <v>0</v>
      </c>
      <c r="G40" s="886"/>
      <c r="H40" s="470"/>
      <c r="I40" s="159"/>
      <c r="J40" s="314"/>
      <c r="K40" s="159"/>
      <c r="L40" s="229"/>
      <c r="M40" s="472"/>
      <c r="N40" s="420"/>
      <c r="O40" s="414">
        <f t="shared" si="5"/>
        <v>0</v>
      </c>
      <c r="P40" s="96">
        <f t="shared" si="6"/>
        <v>0</v>
      </c>
      <c r="Q40" s="519"/>
      <c r="R40" s="255"/>
      <c r="S40" s="72"/>
    </row>
    <row r="41" spans="1:19" s="640" customFormat="1" ht="12">
      <c r="A41" s="628"/>
      <c r="B41" s="629" t="s">
        <v>186</v>
      </c>
      <c r="C41" s="629"/>
      <c r="D41" s="629"/>
      <c r="E41" s="630">
        <v>39</v>
      </c>
      <c r="F41" s="631">
        <f t="shared" si="3"/>
        <v>0</v>
      </c>
      <c r="G41" s="891"/>
      <c r="H41" s="888"/>
      <c r="I41" s="738"/>
      <c r="J41" s="739"/>
      <c r="K41" s="738"/>
      <c r="L41" s="737"/>
      <c r="M41" s="632"/>
      <c r="N41" s="641"/>
      <c r="O41" s="734">
        <f t="shared" si="5"/>
        <v>0</v>
      </c>
      <c r="P41" s="632">
        <f t="shared" si="6"/>
        <v>0</v>
      </c>
      <c r="Q41" s="519"/>
      <c r="R41" s="252"/>
      <c r="S41" s="51"/>
    </row>
    <row r="42" spans="1:19" s="25" customFormat="1" ht="12">
      <c r="A42" s="21"/>
      <c r="B42" s="31" t="s">
        <v>58</v>
      </c>
      <c r="C42" s="31"/>
      <c r="D42" s="31"/>
      <c r="E42" s="33">
        <v>40</v>
      </c>
      <c r="F42" s="119">
        <f t="shared" si="3"/>
        <v>0</v>
      </c>
      <c r="G42" s="886"/>
      <c r="H42" s="470"/>
      <c r="I42" s="159"/>
      <c r="J42" s="314"/>
      <c r="K42" s="159"/>
      <c r="L42" s="229"/>
      <c r="M42" s="472"/>
      <c r="N42" s="420"/>
      <c r="O42" s="414">
        <f t="shared" si="5"/>
        <v>0</v>
      </c>
      <c r="P42" s="96">
        <f t="shared" si="6"/>
        <v>0</v>
      </c>
      <c r="Q42" s="519"/>
      <c r="R42" s="255"/>
      <c r="S42" s="72"/>
    </row>
    <row r="43" spans="1:19" s="25" customFormat="1" ht="12">
      <c r="A43" s="21"/>
      <c r="B43" s="31" t="s">
        <v>59</v>
      </c>
      <c r="C43" s="31"/>
      <c r="D43" s="31"/>
      <c r="E43" s="33">
        <v>41</v>
      </c>
      <c r="F43" s="119">
        <f t="shared" si="3"/>
        <v>600</v>
      </c>
      <c r="G43" s="886">
        <v>600</v>
      </c>
      <c r="H43" s="470"/>
      <c r="I43" s="159"/>
      <c r="J43" s="314"/>
      <c r="K43" s="159"/>
      <c r="L43" s="229"/>
      <c r="M43" s="472"/>
      <c r="N43" s="420"/>
      <c r="O43" s="414">
        <f t="shared" si="5"/>
        <v>0</v>
      </c>
      <c r="P43" s="96" t="e">
        <f>N43/titl!H17*12</f>
        <v>#DIV/0!</v>
      </c>
      <c r="Q43" s="519">
        <f>171118.85/1000</f>
        <v>171.11885</v>
      </c>
      <c r="R43" s="255"/>
      <c r="S43" s="72"/>
    </row>
    <row r="44" spans="1:19" s="25" customFormat="1" ht="12">
      <c r="A44" s="21"/>
      <c r="B44" s="31" t="s">
        <v>60</v>
      </c>
      <c r="C44" s="31"/>
      <c r="D44" s="31"/>
      <c r="E44" s="33">
        <v>42</v>
      </c>
      <c r="F44" s="119">
        <f t="shared" si="3"/>
        <v>3535</v>
      </c>
      <c r="G44" s="885"/>
      <c r="H44" s="470">
        <v>3535</v>
      </c>
      <c r="I44" s="159"/>
      <c r="J44" s="314"/>
      <c r="K44" s="159"/>
      <c r="L44" s="229"/>
      <c r="M44" s="472"/>
      <c r="N44" s="420"/>
      <c r="O44" s="414">
        <f t="shared" si="5"/>
        <v>0</v>
      </c>
      <c r="P44" s="92">
        <f>N44</f>
        <v>0</v>
      </c>
      <c r="Q44" s="519">
        <f>24354.83/1000</f>
        <v>24.354830000000003</v>
      </c>
      <c r="R44" s="255"/>
      <c r="S44" s="72"/>
    </row>
    <row r="45" spans="1:19" s="25" customFormat="1" ht="12.75" thickBot="1">
      <c r="A45" s="40"/>
      <c r="B45" s="41" t="s">
        <v>47</v>
      </c>
      <c r="C45" s="41"/>
      <c r="D45" s="41"/>
      <c r="E45" s="42">
        <v>43</v>
      </c>
      <c r="F45" s="200">
        <f t="shared" si="3"/>
        <v>0</v>
      </c>
      <c r="G45" s="892"/>
      <c r="H45" s="889"/>
      <c r="I45" s="570"/>
      <c r="J45" s="571"/>
      <c r="K45" s="570"/>
      <c r="L45" s="569"/>
      <c r="M45" s="200"/>
      <c r="N45" s="421"/>
      <c r="O45" s="415">
        <f t="shared" si="5"/>
        <v>0</v>
      </c>
      <c r="P45" s="92" t="e">
        <f>N45/titl!$H$17*12</f>
        <v>#DIV/0!</v>
      </c>
      <c r="Q45" s="592"/>
      <c r="R45" s="255"/>
      <c r="S45" s="72"/>
    </row>
    <row r="46" spans="1:19" s="25" customFormat="1" ht="12.75" hidden="1" thickBot="1">
      <c r="A46" s="44" t="s">
        <v>61</v>
      </c>
      <c r="B46" s="45"/>
      <c r="C46" s="45"/>
      <c r="D46" s="45"/>
      <c r="E46" s="28">
        <v>44</v>
      </c>
      <c r="F46" s="201">
        <f>F29+F34+F38+F43+F44+F45-F4-F27</f>
        <v>200</v>
      </c>
      <c r="G46" s="613">
        <f>G29+G34+G38+G43+G45-G4-G27</f>
        <v>200</v>
      </c>
      <c r="H46" s="102">
        <f>H29+H34+H38+H43+H44+H45-H4-H27</f>
        <v>0</v>
      </c>
      <c r="I46" s="102">
        <f>I29+I34+I38+I43+I44+I45-I4-I27</f>
        <v>0</v>
      </c>
      <c r="J46" s="102">
        <f>J29+J34+J38+J43+J44+J45-J4-J27</f>
        <v>0</v>
      </c>
      <c r="K46" s="320"/>
      <c r="L46" s="102">
        <f>L29+L34+L38+L43+L44+L45-L4-L27</f>
        <v>0</v>
      </c>
      <c r="M46" s="201">
        <f>M29+M34+M38+M43+M44+M45+-M4-M27</f>
        <v>0</v>
      </c>
      <c r="N46" s="422">
        <f>N29+N34+N38+N43+N44+N45-N4-N27</f>
        <v>0</v>
      </c>
      <c r="O46" s="416"/>
      <c r="P46" s="103" t="e">
        <f>P29+P34+P38+P43+P44+P45-P4-P27</f>
        <v>#DIV/0!</v>
      </c>
      <c r="Q46" s="593">
        <f>Q29+Q34+Q38+Q43+Q44+Q45-Q4-Q27</f>
        <v>12.023349999999937</v>
      </c>
      <c r="R46" s="255"/>
      <c r="S46" s="72"/>
    </row>
    <row r="47" spans="1:17" ht="13.5" thickBot="1">
      <c r="A47" s="37" t="s">
        <v>62</v>
      </c>
      <c r="B47" s="38"/>
      <c r="C47" s="38"/>
      <c r="D47" s="38"/>
      <c r="E47" s="19">
        <v>45</v>
      </c>
      <c r="F47" s="197">
        <f>F28-F3</f>
        <v>200</v>
      </c>
      <c r="G47" s="597">
        <f aca="true" t="shared" si="7" ref="G47:N47">G28-G3</f>
        <v>200</v>
      </c>
      <c r="H47" s="125">
        <f t="shared" si="7"/>
        <v>0</v>
      </c>
      <c r="I47" s="77">
        <f t="shared" si="7"/>
        <v>0</v>
      </c>
      <c r="J47" s="304">
        <f t="shared" si="7"/>
        <v>0</v>
      </c>
      <c r="K47" s="77">
        <f t="shared" si="7"/>
        <v>0</v>
      </c>
      <c r="L47" s="76">
        <f t="shared" si="7"/>
        <v>0</v>
      </c>
      <c r="M47" s="197">
        <f>M28-M3</f>
        <v>0</v>
      </c>
      <c r="N47" s="471">
        <f t="shared" si="7"/>
        <v>0</v>
      </c>
      <c r="O47" s="413"/>
      <c r="P47" s="78" t="e">
        <f>P28-P3</f>
        <v>#DIV/0!</v>
      </c>
      <c r="Q47" s="588">
        <f>Q28-Q3</f>
        <v>12.023349999999937</v>
      </c>
    </row>
    <row r="48" spans="1:5" ht="12.75">
      <c r="A48" s="47"/>
      <c r="B48" s="47"/>
      <c r="C48" s="47"/>
      <c r="D48" s="47"/>
      <c r="E48" s="48"/>
    </row>
    <row r="49" spans="5:19" s="47" customFormat="1" ht="11.25">
      <c r="E49" s="48"/>
      <c r="G49" s="59"/>
      <c r="H49" s="59"/>
      <c r="I49" s="59"/>
      <c r="J49" s="59"/>
      <c r="K49" s="59"/>
      <c r="L49" s="59"/>
      <c r="M49" s="59"/>
      <c r="N49" s="59"/>
      <c r="O49" s="253"/>
      <c r="R49" s="255"/>
      <c r="S49" s="72"/>
    </row>
    <row r="50" spans="1:19" s="47" customFormat="1" ht="11.25">
      <c r="A50" s="51" t="s">
        <v>166</v>
      </c>
      <c r="E50" s="48"/>
      <c r="F50" s="202"/>
      <c r="G50" s="59"/>
      <c r="H50" s="59"/>
      <c r="I50" s="109"/>
      <c r="J50" s="59"/>
      <c r="K50" s="59"/>
      <c r="L50" s="59"/>
      <c r="M50" s="59"/>
      <c r="N50" s="59"/>
      <c r="O50" s="253"/>
      <c r="R50" s="255"/>
      <c r="S50" s="72"/>
    </row>
    <row r="51" spans="5:19" s="51" customFormat="1" ht="11.25">
      <c r="E51" s="53"/>
      <c r="G51" s="72"/>
      <c r="H51" s="72"/>
      <c r="I51" s="72"/>
      <c r="J51" s="72"/>
      <c r="K51" s="72"/>
      <c r="L51" s="72"/>
      <c r="M51" s="72"/>
      <c r="N51" s="72"/>
      <c r="O51" s="253"/>
      <c r="R51" s="255"/>
      <c r="S51" s="72"/>
    </row>
    <row r="53" spans="2:19" s="59" customFormat="1" ht="11.25" hidden="1">
      <c r="B53" s="767" t="s">
        <v>191</v>
      </c>
      <c r="C53" s="340"/>
      <c r="D53" s="340"/>
      <c r="E53" s="817"/>
      <c r="F53" s="782"/>
      <c r="G53" s="340"/>
      <c r="H53" s="340"/>
      <c r="I53" s="340"/>
      <c r="J53" s="340"/>
      <c r="K53" s="340"/>
      <c r="L53" s="340"/>
      <c r="M53" s="340"/>
      <c r="N53" s="811"/>
      <c r="O53" s="804"/>
      <c r="P53" s="787" t="e">
        <f>N53/titl!$H$17*12</f>
        <v>#DIV/0!</v>
      </c>
      <c r="R53" s="255"/>
      <c r="S53" s="72"/>
    </row>
    <row r="54" spans="2:19" s="59" customFormat="1" ht="11.25" hidden="1">
      <c r="B54" s="818" t="s">
        <v>192</v>
      </c>
      <c r="C54" s="233"/>
      <c r="D54" s="233"/>
      <c r="E54" s="819"/>
      <c r="F54" s="783"/>
      <c r="G54" s="233"/>
      <c r="H54" s="233"/>
      <c r="I54" s="233"/>
      <c r="J54" s="233"/>
      <c r="K54" s="233"/>
      <c r="L54" s="233"/>
      <c r="M54" s="233"/>
      <c r="N54" s="537">
        <f>N43+N45-N53</f>
        <v>0</v>
      </c>
      <c r="O54" s="805"/>
      <c r="P54" s="789" t="e">
        <f>N54/titl!$H$17*12</f>
        <v>#DIV/0!</v>
      </c>
      <c r="R54" s="255"/>
      <c r="S54" s="72"/>
    </row>
    <row r="55" spans="2:19" s="59" customFormat="1" ht="11.25" hidden="1">
      <c r="B55" s="818" t="s">
        <v>193</v>
      </c>
      <c r="C55" s="233"/>
      <c r="D55" s="233"/>
      <c r="E55" s="819"/>
      <c r="F55" s="783"/>
      <c r="G55" s="233"/>
      <c r="H55" s="233"/>
      <c r="I55" s="233"/>
      <c r="J55" s="233"/>
      <c r="K55" s="233"/>
      <c r="L55" s="233"/>
      <c r="M55" s="233"/>
      <c r="N55" s="109"/>
      <c r="O55" s="805"/>
      <c r="P55" s="789" t="e">
        <f>N55/titl!$H$17*12</f>
        <v>#DIV/0!</v>
      </c>
      <c r="R55" s="255"/>
      <c r="S55" s="72"/>
    </row>
    <row r="56" spans="2:19" s="59" customFormat="1" ht="11.25" hidden="1">
      <c r="B56" s="818" t="s">
        <v>194</v>
      </c>
      <c r="C56" s="233"/>
      <c r="D56" s="233"/>
      <c r="E56" s="819"/>
      <c r="F56" s="783"/>
      <c r="G56" s="233"/>
      <c r="H56" s="233"/>
      <c r="I56" s="233"/>
      <c r="J56" s="233"/>
      <c r="K56" s="233"/>
      <c r="L56" s="233"/>
      <c r="M56" s="233"/>
      <c r="N56" s="537">
        <f>N54+N55</f>
        <v>0</v>
      </c>
      <c r="O56" s="805"/>
      <c r="P56" s="789" t="e">
        <f>N56/titl!$H$17*12</f>
        <v>#DIV/0!</v>
      </c>
      <c r="R56" s="255"/>
      <c r="S56" s="72"/>
    </row>
    <row r="57" spans="2:19" s="59" customFormat="1" ht="12" hidden="1" thickBot="1">
      <c r="B57" s="820" t="s">
        <v>195</v>
      </c>
      <c r="C57" s="785"/>
      <c r="D57" s="785"/>
      <c r="E57" s="821"/>
      <c r="F57" s="784"/>
      <c r="G57" s="785"/>
      <c r="H57" s="785"/>
      <c r="I57" s="785"/>
      <c r="J57" s="785"/>
      <c r="K57" s="785"/>
      <c r="L57" s="785"/>
      <c r="M57" s="785"/>
      <c r="N57" s="810">
        <f>N56*4%</f>
        <v>0</v>
      </c>
      <c r="O57" s="801"/>
      <c r="P57" s="790" t="e">
        <f>N57/titl!$H$17*12</f>
        <v>#DIV/0!</v>
      </c>
      <c r="R57" s="255"/>
      <c r="S57" s="72"/>
    </row>
  </sheetData>
  <mergeCells count="5">
    <mergeCell ref="S1:S2"/>
    <mergeCell ref="A1:D1"/>
    <mergeCell ref="H1:L1"/>
    <mergeCell ref="C2:D2"/>
    <mergeCell ref="R1:R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V50"/>
  <sheetViews>
    <sheetView workbookViewId="0" topLeftCell="A9">
      <selection activeCell="C54" sqref="C54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60" bestFit="1" customWidth="1"/>
    <col min="6" max="6" width="11.375" style="25" customWidth="1"/>
    <col min="7" max="7" width="11.125" style="25" customWidth="1"/>
    <col min="8" max="8" width="11.625" style="228" customWidth="1"/>
    <col min="9" max="9" width="5.125" style="0" hidden="1" customWidth="1"/>
    <col min="10" max="10" width="10.625" style="59" customWidth="1"/>
    <col min="11" max="11" width="7.375" style="59" customWidth="1"/>
    <col min="12" max="15" width="6.375" style="59" customWidth="1"/>
    <col min="16" max="16" width="10.625" style="59" hidden="1" customWidth="1"/>
    <col min="17" max="17" width="10.00390625" style="401" customWidth="1"/>
    <col min="18" max="18" width="7.25390625" style="401" customWidth="1"/>
  </cols>
  <sheetData>
    <row r="1" spans="1:17" ht="15.75" customHeight="1">
      <c r="A1" s="1046" t="s">
        <v>200</v>
      </c>
      <c r="B1" s="1047"/>
      <c r="C1" s="1047"/>
      <c r="D1" s="1048"/>
      <c r="E1" s="203"/>
      <c r="F1" s="211"/>
      <c r="G1" s="206"/>
      <c r="H1" s="221" t="s">
        <v>0</v>
      </c>
      <c r="I1" s="4" t="s">
        <v>1</v>
      </c>
      <c r="J1" s="66" t="s">
        <v>2</v>
      </c>
      <c r="K1" s="1049" t="s">
        <v>3</v>
      </c>
      <c r="L1" s="1050"/>
      <c r="M1" s="1050"/>
      <c r="N1" s="1050"/>
      <c r="O1" s="1051"/>
      <c r="P1" s="67" t="s">
        <v>4</v>
      </c>
      <c r="Q1" s="67" t="s">
        <v>189</v>
      </c>
    </row>
    <row r="2" spans="1:18" s="16" customFormat="1" ht="13.5" thickBot="1">
      <c r="A2" s="6" t="s">
        <v>127</v>
      </c>
      <c r="B2" s="7"/>
      <c r="C2" s="1052" t="s">
        <v>116</v>
      </c>
      <c r="D2" s="1053"/>
      <c r="E2" s="204" t="s">
        <v>5</v>
      </c>
      <c r="F2" s="217" t="s">
        <v>117</v>
      </c>
      <c r="G2" s="218" t="s">
        <v>27</v>
      </c>
      <c r="H2" s="222">
        <v>2011</v>
      </c>
      <c r="I2" s="12" t="s">
        <v>7</v>
      </c>
      <c r="J2" s="68" t="s">
        <v>8</v>
      </c>
      <c r="K2" s="69" t="s">
        <v>9</v>
      </c>
      <c r="L2" s="70" t="s">
        <v>10</v>
      </c>
      <c r="M2" s="70" t="s">
        <v>11</v>
      </c>
      <c r="N2" s="70" t="s">
        <v>126</v>
      </c>
      <c r="O2" s="70" t="s">
        <v>12</v>
      </c>
      <c r="P2" s="71">
        <v>2011</v>
      </c>
      <c r="Q2" s="71">
        <v>2010</v>
      </c>
      <c r="R2" s="401"/>
    </row>
    <row r="3" spans="1:17" ht="13.5" thickBot="1">
      <c r="A3" s="17" t="s">
        <v>13</v>
      </c>
      <c r="B3" s="18"/>
      <c r="C3" s="18"/>
      <c r="D3" s="18"/>
      <c r="E3" s="171">
        <v>1</v>
      </c>
      <c r="F3" s="212">
        <f>SUM(F5:F27)</f>
        <v>3472716</v>
      </c>
      <c r="G3" s="207">
        <f>SUM(G5:G27)</f>
        <v>1377501</v>
      </c>
      <c r="H3" s="172">
        <f>SUM(H5:H27)</f>
        <v>4850217</v>
      </c>
      <c r="I3" s="75">
        <f aca="true" t="shared" si="0" ref="I3:P3">SUM(I5:I27)</f>
        <v>0</v>
      </c>
      <c r="J3" s="76">
        <f t="shared" si="0"/>
        <v>4483124</v>
      </c>
      <c r="K3" s="77">
        <f t="shared" si="0"/>
        <v>190943</v>
      </c>
      <c r="L3" s="77">
        <f t="shared" si="0"/>
        <v>104466</v>
      </c>
      <c r="M3" s="77">
        <f t="shared" si="0"/>
        <v>2037</v>
      </c>
      <c r="N3" s="77">
        <f>SUM(N5:N27)</f>
        <v>23567</v>
      </c>
      <c r="O3" s="76">
        <f t="shared" si="0"/>
        <v>46080</v>
      </c>
      <c r="P3" s="78">
        <f t="shared" si="0"/>
        <v>1377501</v>
      </c>
      <c r="Q3" s="78">
        <f>SUM(Q5:Q27)</f>
        <v>4569672.97683</v>
      </c>
    </row>
    <row r="4" spans="1:18" s="25" customFormat="1" ht="12">
      <c r="A4" s="21" t="s">
        <v>14</v>
      </c>
      <c r="B4" s="22" t="s">
        <v>15</v>
      </c>
      <c r="C4" s="22"/>
      <c r="D4" s="22"/>
      <c r="E4" s="205">
        <v>2</v>
      </c>
      <c r="F4" s="213">
        <f>SUM(F5:F15)</f>
        <v>2195323</v>
      </c>
      <c r="G4" s="79">
        <f>SUM(G5:G15)</f>
        <v>886271</v>
      </c>
      <c r="H4" s="223">
        <f>SUM(H5:H15)</f>
        <v>3081594</v>
      </c>
      <c r="I4" s="79">
        <f aca="true" t="shared" si="1" ref="I4:O4">SUM(I5:I15)</f>
        <v>0</v>
      </c>
      <c r="J4" s="80">
        <f t="shared" si="1"/>
        <v>2777691</v>
      </c>
      <c r="K4" s="81">
        <f t="shared" si="1"/>
        <v>190502</v>
      </c>
      <c r="L4" s="81">
        <f t="shared" si="1"/>
        <v>41800</v>
      </c>
      <c r="M4" s="81">
        <f t="shared" si="1"/>
        <v>2037</v>
      </c>
      <c r="N4" s="81">
        <f>SUM(N5:N15)</f>
        <v>23484</v>
      </c>
      <c r="O4" s="80">
        <f t="shared" si="1"/>
        <v>46080</v>
      </c>
      <c r="P4" s="82">
        <f>'fak plan'!W5+'ostatni plan'!Z5</f>
        <v>203099</v>
      </c>
      <c r="Q4" s="82">
        <f>'fak plan'!X5+'ostatni plan'!AA5</f>
        <v>1054751.7979000001</v>
      </c>
      <c r="R4" s="401"/>
    </row>
    <row r="5" spans="1:18" s="25" customFormat="1" ht="12">
      <c r="A5" s="21"/>
      <c r="B5" s="26"/>
      <c r="C5" s="26" t="s">
        <v>16</v>
      </c>
      <c r="D5" s="27" t="s">
        <v>17</v>
      </c>
      <c r="E5" s="168">
        <v>3</v>
      </c>
      <c r="F5" s="214">
        <f>'fak plan'!O5</f>
        <v>967331</v>
      </c>
      <c r="G5" s="208">
        <f>'ostatni plan'!R5</f>
        <v>203099</v>
      </c>
      <c r="H5" s="224">
        <f>SUM(F5:G5)</f>
        <v>1170430</v>
      </c>
      <c r="I5" s="83"/>
      <c r="J5" s="163">
        <f>'fak plan'!Q5+'ostatni plan'!T5</f>
        <v>1122259</v>
      </c>
      <c r="K5" s="163">
        <f>'fak plan'!R5+'ostatni plan'!U5</f>
        <v>36809</v>
      </c>
      <c r="L5" s="121">
        <f>'fak plan'!S5+'ostatni plan'!V5</f>
        <v>9325</v>
      </c>
      <c r="M5" s="121">
        <f>'fak plan'!T5+'ostatni plan'!W5</f>
        <v>2037</v>
      </c>
      <c r="N5" s="121">
        <f>'fak plan'!U5+'ostatni plan'!X5</f>
        <v>0</v>
      </c>
      <c r="O5" s="220">
        <f>'fak plan'!V5+'ostatni plan'!Y5</f>
        <v>0</v>
      </c>
      <c r="P5" s="164">
        <f>'fak plan'!W5+'ostatni plan'!Z5</f>
        <v>203099</v>
      </c>
      <c r="Q5" s="164">
        <f>'fak plan'!X5+'ostatni plan'!AA5</f>
        <v>1054751.7979000001</v>
      </c>
      <c r="R5" s="401"/>
    </row>
    <row r="6" spans="1:18" s="25" customFormat="1" ht="12">
      <c r="A6" s="21"/>
      <c r="B6" s="26"/>
      <c r="C6" s="26"/>
      <c r="D6" s="27" t="s">
        <v>18</v>
      </c>
      <c r="E6" s="168">
        <v>4</v>
      </c>
      <c r="F6" s="215">
        <f>'fak plan'!O6</f>
        <v>33259</v>
      </c>
      <c r="G6" s="209">
        <f>'ostatni plan'!R6</f>
        <v>22564</v>
      </c>
      <c r="H6" s="225">
        <f aca="true" t="shared" si="2" ref="H6:H45">SUM(F6:G6)</f>
        <v>55823</v>
      </c>
      <c r="I6" s="83"/>
      <c r="J6" s="84">
        <f>'fak plan'!Q6+'ostatni plan'!T6</f>
        <v>43663</v>
      </c>
      <c r="K6" s="84">
        <f>'fak plan'!R6+'ostatni plan'!U6</f>
        <v>60</v>
      </c>
      <c r="L6" s="85">
        <f>'fak plan'!S6+'ostatni plan'!V6</f>
        <v>12100</v>
      </c>
      <c r="M6" s="85">
        <f>'fak plan'!T6+'ostatni plan'!W6</f>
        <v>0</v>
      </c>
      <c r="N6" s="85">
        <f>'fak plan'!U6+'ostatni plan'!X6</f>
        <v>0</v>
      </c>
      <c r="O6" s="86">
        <f>'fak plan'!V6+'ostatni plan'!Y6</f>
        <v>0</v>
      </c>
      <c r="P6" s="164">
        <f>'fak plan'!W6+'ostatni plan'!Z6</f>
        <v>22564</v>
      </c>
      <c r="Q6" s="164">
        <f>'fak plan'!X6+'ostatni plan'!AA6</f>
        <v>52591.3815</v>
      </c>
      <c r="R6" s="401"/>
    </row>
    <row r="7" spans="1:18" s="25" customFormat="1" ht="12">
      <c r="A7" s="21"/>
      <c r="B7" s="26"/>
      <c r="C7" s="26"/>
      <c r="D7" s="27" t="s">
        <v>19</v>
      </c>
      <c r="E7" s="168">
        <v>5</v>
      </c>
      <c r="F7" s="215">
        <f>'fak plan'!O7</f>
        <v>338372</v>
      </c>
      <c r="G7" s="209">
        <f>'ostatni plan'!R7</f>
        <v>72122</v>
      </c>
      <c r="H7" s="225">
        <f t="shared" si="2"/>
        <v>410494</v>
      </c>
      <c r="I7" s="83"/>
      <c r="J7" s="84">
        <f>'fak plan'!Q7+'ostatni plan'!T7</f>
        <v>401630</v>
      </c>
      <c r="K7" s="84">
        <f>'fak plan'!R7+'ostatni plan'!U7</f>
        <v>5600</v>
      </c>
      <c r="L7" s="85">
        <f>'fak plan'!S7+'ostatni plan'!V7</f>
        <v>3264</v>
      </c>
      <c r="M7" s="85">
        <f>'fak plan'!T7+'ostatni plan'!W7</f>
        <v>0</v>
      </c>
      <c r="N7" s="85">
        <f>'fak plan'!U7+'ostatni plan'!X7</f>
        <v>0</v>
      </c>
      <c r="O7" s="86">
        <f>'fak plan'!V7+'ostatni plan'!Y7</f>
        <v>0</v>
      </c>
      <c r="P7" s="164">
        <f>'fak plan'!W7+'ostatni plan'!Z7</f>
        <v>72122</v>
      </c>
      <c r="Q7" s="164">
        <f>'fak plan'!X7+'ostatni plan'!AA7</f>
        <v>379689.28333</v>
      </c>
      <c r="R7" s="401"/>
    </row>
    <row r="8" spans="1:18" s="25" customFormat="1" ht="12">
      <c r="A8" s="21"/>
      <c r="B8" s="26"/>
      <c r="C8" s="26"/>
      <c r="D8" s="27" t="s">
        <v>20</v>
      </c>
      <c r="E8" s="168">
        <v>6</v>
      </c>
      <c r="F8" s="215">
        <f>'fak plan'!O8</f>
        <v>114384</v>
      </c>
      <c r="G8" s="209">
        <f>'ostatni plan'!R8</f>
        <v>50454</v>
      </c>
      <c r="H8" s="225">
        <f t="shared" si="2"/>
        <v>164838</v>
      </c>
      <c r="I8" s="83"/>
      <c r="J8" s="84">
        <f>'fak plan'!Q8+'ostatni plan'!T8</f>
        <v>113766</v>
      </c>
      <c r="K8" s="84">
        <f>'fak plan'!R8+'ostatni plan'!U8</f>
        <v>51072</v>
      </c>
      <c r="L8" s="85">
        <f>'fak plan'!S8+'ostatni plan'!V8</f>
        <v>0</v>
      </c>
      <c r="M8" s="85">
        <f>'fak plan'!T8+'ostatni plan'!W8</f>
        <v>0</v>
      </c>
      <c r="N8" s="85">
        <f>'fak plan'!U8+'ostatni plan'!X8</f>
        <v>0</v>
      </c>
      <c r="O8" s="86">
        <f>'fak plan'!V8+'ostatni plan'!Y8</f>
        <v>0</v>
      </c>
      <c r="P8" s="164">
        <f>'fak plan'!W8+'ostatni plan'!Z8</f>
        <v>50454</v>
      </c>
      <c r="Q8" s="164">
        <f>'fak plan'!X8+'ostatni plan'!AA8</f>
        <v>134982.64689</v>
      </c>
      <c r="R8" s="401"/>
    </row>
    <row r="9" spans="1:18" s="25" customFormat="1" ht="12">
      <c r="A9" s="21"/>
      <c r="B9" s="26"/>
      <c r="C9" s="26"/>
      <c r="D9" s="27" t="s">
        <v>21</v>
      </c>
      <c r="E9" s="168">
        <v>7</v>
      </c>
      <c r="F9" s="215">
        <f>'fak plan'!O9</f>
        <v>37817</v>
      </c>
      <c r="G9" s="209">
        <f>'ostatni plan'!R9</f>
        <v>35166</v>
      </c>
      <c r="H9" s="225">
        <f t="shared" si="2"/>
        <v>72983</v>
      </c>
      <c r="I9" s="83"/>
      <c r="J9" s="84">
        <f>'fak plan'!Q9+'ostatni plan'!T9</f>
        <v>60749</v>
      </c>
      <c r="K9" s="84">
        <f>'fak plan'!R9+'ostatni plan'!U9</f>
        <v>12234</v>
      </c>
      <c r="L9" s="85">
        <f>'fak plan'!S9+'ostatni plan'!V9</f>
        <v>0</v>
      </c>
      <c r="M9" s="85">
        <f>'fak plan'!T9+'ostatni plan'!W9</f>
        <v>0</v>
      </c>
      <c r="N9" s="85">
        <f>'fak plan'!U9+'ostatni plan'!X9</f>
        <v>0</v>
      </c>
      <c r="O9" s="86">
        <f>'fak plan'!V9+'ostatni plan'!Y9</f>
        <v>0</v>
      </c>
      <c r="P9" s="164">
        <f>'fak plan'!W9+'ostatni plan'!Z9</f>
        <v>35166</v>
      </c>
      <c r="Q9" s="164">
        <f>'fak plan'!X9+'ostatni plan'!AA9</f>
        <v>70992.73300000001</v>
      </c>
      <c r="R9" s="401"/>
    </row>
    <row r="10" spans="1:18" s="25" customFormat="1" ht="12">
      <c r="A10" s="21"/>
      <c r="B10" s="26"/>
      <c r="C10" s="26"/>
      <c r="D10" s="27" t="s">
        <v>22</v>
      </c>
      <c r="E10" s="168">
        <v>8</v>
      </c>
      <c r="F10" s="215">
        <f>'fak plan'!O10</f>
        <v>76724</v>
      </c>
      <c r="G10" s="209">
        <f>'ostatni plan'!R10</f>
        <v>56535</v>
      </c>
      <c r="H10" s="225">
        <f t="shared" si="2"/>
        <v>133259</v>
      </c>
      <c r="I10" s="83"/>
      <c r="J10" s="84">
        <f>'fak plan'!Q10+'ostatni plan'!T10</f>
        <v>121331</v>
      </c>
      <c r="K10" s="84">
        <f>'fak plan'!R10+'ostatni plan'!U10</f>
        <v>11001</v>
      </c>
      <c r="L10" s="85">
        <f>'fak plan'!S10+'ostatni plan'!V10</f>
        <v>927</v>
      </c>
      <c r="M10" s="85">
        <f>'fak plan'!T10+'ostatni plan'!W10</f>
        <v>0</v>
      </c>
      <c r="N10" s="85">
        <f>'fak plan'!U10+'ostatni plan'!X10</f>
        <v>0</v>
      </c>
      <c r="O10" s="86">
        <f>'fak plan'!V10+'ostatni plan'!Y10</f>
        <v>0</v>
      </c>
      <c r="P10" s="164">
        <f>'fak plan'!W10+'ostatni plan'!Z10</f>
        <v>56535</v>
      </c>
      <c r="Q10" s="164">
        <f>'fak plan'!X10+'ostatni plan'!AA10</f>
        <v>175523.56855999999</v>
      </c>
      <c r="R10" s="401"/>
    </row>
    <row r="11" spans="1:18" s="25" customFormat="1" ht="12">
      <c r="A11" s="21"/>
      <c r="B11" s="26"/>
      <c r="C11" s="26"/>
      <c r="D11" s="27" t="s">
        <v>23</v>
      </c>
      <c r="E11" s="168">
        <v>9</v>
      </c>
      <c r="F11" s="215">
        <f>'fak plan'!O11</f>
        <v>130071</v>
      </c>
      <c r="G11" s="209">
        <f>'ostatni plan'!R11</f>
        <v>102577</v>
      </c>
      <c r="H11" s="225">
        <f t="shared" si="2"/>
        <v>232648</v>
      </c>
      <c r="I11" s="83"/>
      <c r="J11" s="84">
        <f>'fak plan'!Q11+'ostatni plan'!T11</f>
        <v>185726</v>
      </c>
      <c r="K11" s="84">
        <f>'fak plan'!R11+'ostatni plan'!U11</f>
        <v>38437</v>
      </c>
      <c r="L11" s="85">
        <f>'fak plan'!S11+'ostatni plan'!V11</f>
        <v>8485</v>
      </c>
      <c r="M11" s="85">
        <f>'fak plan'!T11+'ostatni plan'!W11</f>
        <v>0</v>
      </c>
      <c r="N11" s="85">
        <f>'fak plan'!U11+'ostatni plan'!X11</f>
        <v>0</v>
      </c>
      <c r="O11" s="86">
        <f>'fak plan'!V11+'ostatni plan'!Y11</f>
        <v>0</v>
      </c>
      <c r="P11" s="164">
        <f>'fak plan'!W11+'ostatni plan'!Z11</f>
        <v>102577</v>
      </c>
      <c r="Q11" s="164">
        <f>'fak plan'!X11+'ostatni plan'!AA11</f>
        <v>224902.33318</v>
      </c>
      <c r="R11" s="401"/>
    </row>
    <row r="12" spans="1:18" s="25" customFormat="1" ht="12">
      <c r="A12" s="21"/>
      <c r="B12" s="26"/>
      <c r="C12" s="26"/>
      <c r="D12" s="27" t="s">
        <v>24</v>
      </c>
      <c r="E12" s="168">
        <v>10</v>
      </c>
      <c r="F12" s="215">
        <f>'fak plan'!O12</f>
        <v>11516</v>
      </c>
      <c r="G12" s="209">
        <f>'ostatni plan'!R12</f>
        <v>4014</v>
      </c>
      <c r="H12" s="225">
        <f t="shared" si="2"/>
        <v>15530</v>
      </c>
      <c r="I12" s="83"/>
      <c r="J12" s="84">
        <f>'fak plan'!Q12+'ostatni plan'!T12</f>
        <v>14748</v>
      </c>
      <c r="K12" s="84">
        <f>'fak plan'!R12+'ostatni plan'!U12</f>
        <v>35</v>
      </c>
      <c r="L12" s="85">
        <f>'fak plan'!S12+'ostatni plan'!V12</f>
        <v>747</v>
      </c>
      <c r="M12" s="85">
        <f>'fak plan'!T12+'ostatni plan'!W12</f>
        <v>0</v>
      </c>
      <c r="N12" s="85">
        <f>'fak plan'!U12+'ostatni plan'!X12</f>
        <v>0</v>
      </c>
      <c r="O12" s="86">
        <f>'fak plan'!V12+'ostatni plan'!Y12</f>
        <v>0</v>
      </c>
      <c r="P12" s="164">
        <f>'fak plan'!W12+'ostatni plan'!Z12</f>
        <v>4014</v>
      </c>
      <c r="Q12" s="164">
        <f>'fak plan'!X12+'ostatni plan'!AA12</f>
        <v>13991.73557</v>
      </c>
      <c r="R12" s="401"/>
    </row>
    <row r="13" spans="1:18" s="25" customFormat="1" ht="12">
      <c r="A13" s="21"/>
      <c r="B13" s="26"/>
      <c r="C13" s="26"/>
      <c r="D13" s="27" t="s">
        <v>25</v>
      </c>
      <c r="E13" s="168">
        <v>11</v>
      </c>
      <c r="F13" s="215">
        <f>'fak plan'!O13</f>
        <v>209642</v>
      </c>
      <c r="G13" s="209">
        <f>'ostatni plan'!R13</f>
        <v>181153</v>
      </c>
      <c r="H13" s="225">
        <f t="shared" si="2"/>
        <v>390795</v>
      </c>
      <c r="I13" s="83"/>
      <c r="J13" s="84">
        <f>'fak plan'!Q13+'ostatni plan'!T13</f>
        <v>384312</v>
      </c>
      <c r="K13" s="84">
        <f>'fak plan'!R13+'ostatni plan'!U13</f>
        <v>6483</v>
      </c>
      <c r="L13" s="85">
        <f>'fak plan'!S13+'ostatni plan'!V13</f>
        <v>0</v>
      </c>
      <c r="M13" s="85">
        <f>'fak plan'!T13+'ostatni plan'!W13</f>
        <v>0</v>
      </c>
      <c r="N13" s="85">
        <f>'fak plan'!U13+'ostatni plan'!X13</f>
        <v>0</v>
      </c>
      <c r="O13" s="86">
        <f>'fak plan'!V13+'ostatni plan'!Y13</f>
        <v>0</v>
      </c>
      <c r="P13" s="164">
        <f>'fak plan'!W13+'ostatni plan'!Z13</f>
        <v>181153</v>
      </c>
      <c r="Q13" s="164">
        <f>'fak plan'!X13+'ostatni plan'!AA13</f>
        <v>350379.74141</v>
      </c>
      <c r="R13" s="401"/>
    </row>
    <row r="14" spans="1:18" s="25" customFormat="1" ht="12">
      <c r="A14" s="21"/>
      <c r="B14" s="26"/>
      <c r="C14" s="26"/>
      <c r="D14" s="27" t="s">
        <v>26</v>
      </c>
      <c r="E14" s="168">
        <v>12</v>
      </c>
      <c r="F14" s="215">
        <f>'fak plan'!O14</f>
        <v>51267</v>
      </c>
      <c r="G14" s="209">
        <f>'ostatni plan'!R14</f>
        <v>115039</v>
      </c>
      <c r="H14" s="225">
        <f t="shared" si="2"/>
        <v>166306</v>
      </c>
      <c r="I14" s="83"/>
      <c r="J14" s="84">
        <f>'fak plan'!Q14+'ostatni plan'!T14</f>
        <v>118755</v>
      </c>
      <c r="K14" s="84">
        <f>'fak plan'!R14+'ostatni plan'!U14</f>
        <v>688</v>
      </c>
      <c r="L14" s="85">
        <f>'fak plan'!S14+'ostatni plan'!V14</f>
        <v>783</v>
      </c>
      <c r="M14" s="85">
        <f>'fak plan'!T14+'ostatni plan'!W14</f>
        <v>0</v>
      </c>
      <c r="N14" s="85">
        <f>'fak plan'!U14+'ostatni plan'!X14</f>
        <v>0</v>
      </c>
      <c r="O14" s="86">
        <f>'fak plan'!V14+'ostatni plan'!Y14</f>
        <v>46080</v>
      </c>
      <c r="P14" s="164">
        <f>'fak plan'!W14+'ostatni plan'!Z14</f>
        <v>115039</v>
      </c>
      <c r="Q14" s="164">
        <f>'fak plan'!X14+'ostatni plan'!AA14</f>
        <v>165059</v>
      </c>
      <c r="R14" s="401"/>
    </row>
    <row r="15" spans="1:18" s="25" customFormat="1" ht="12">
      <c r="A15" s="21"/>
      <c r="B15" s="26"/>
      <c r="C15" s="27"/>
      <c r="D15" s="27" t="s">
        <v>27</v>
      </c>
      <c r="E15" s="168">
        <v>13</v>
      </c>
      <c r="F15" s="215">
        <f>'fak plan'!O15</f>
        <v>224940</v>
      </c>
      <c r="G15" s="209">
        <f>'ostatni plan'!R15</f>
        <v>43548</v>
      </c>
      <c r="H15" s="225">
        <f t="shared" si="2"/>
        <v>268488</v>
      </c>
      <c r="I15" s="83"/>
      <c r="J15" s="84">
        <f>'fak plan'!Q15+'ostatni plan'!T15</f>
        <v>210752</v>
      </c>
      <c r="K15" s="84">
        <f>'fak plan'!R15+'ostatni plan'!U15</f>
        <v>28083</v>
      </c>
      <c r="L15" s="85">
        <f>'fak plan'!S15+'ostatni plan'!V15</f>
        <v>6169</v>
      </c>
      <c r="M15" s="85">
        <f>'fak plan'!T15+'ostatni plan'!W15</f>
        <v>0</v>
      </c>
      <c r="N15" s="85">
        <f>'fak plan'!U15+'ostatni plan'!X15</f>
        <v>23484</v>
      </c>
      <c r="O15" s="86">
        <f>'fak plan'!V15+'ostatni plan'!Y15</f>
        <v>0</v>
      </c>
      <c r="P15" s="164">
        <f>'fak plan'!W15+'ostatni plan'!Z15</f>
        <v>43548</v>
      </c>
      <c r="Q15" s="164">
        <f>'fak plan'!X15+'ostatni plan'!AA15</f>
        <v>364005.91961</v>
      </c>
      <c r="R15" s="401"/>
    </row>
    <row r="16" spans="1:18" s="25" customFormat="1" ht="12">
      <c r="A16" s="21"/>
      <c r="B16" s="30" t="s">
        <v>28</v>
      </c>
      <c r="C16" s="27"/>
      <c r="D16" s="27"/>
      <c r="E16" s="168">
        <v>14</v>
      </c>
      <c r="F16" s="507">
        <f>'fak plan'!O16</f>
        <v>152087</v>
      </c>
      <c r="G16" s="139">
        <f>'ostatni plan'!R16</f>
        <v>0</v>
      </c>
      <c r="H16" s="508">
        <f t="shared" si="2"/>
        <v>152087</v>
      </c>
      <c r="I16" s="139"/>
      <c r="J16" s="89">
        <f>'fak plan'!Q16+'ostatni plan'!T16</f>
        <v>151646</v>
      </c>
      <c r="K16" s="89">
        <f>'fak plan'!R16+'ostatni plan'!U16</f>
        <v>441</v>
      </c>
      <c r="L16" s="90">
        <f>'fak plan'!S16+'ostatni plan'!V16</f>
        <v>0</v>
      </c>
      <c r="M16" s="90">
        <f>'fak plan'!T16+'ostatni plan'!W16</f>
        <v>0</v>
      </c>
      <c r="N16" s="90">
        <f>'fak plan'!U16+'ostatni plan'!X16</f>
        <v>0</v>
      </c>
      <c r="O16" s="91">
        <f>'fak plan'!V16+'ostatni plan'!Y16</f>
        <v>0</v>
      </c>
      <c r="P16" s="96">
        <f>'fak plan'!W16+'ostatni plan'!Z16</f>
        <v>0</v>
      </c>
      <c r="Q16" s="96">
        <f>'fak plan'!X16+'ostatni plan'!AA16</f>
        <v>146629</v>
      </c>
      <c r="R16" s="401"/>
    </row>
    <row r="17" spans="1:18" s="25" customFormat="1" ht="12">
      <c r="A17" s="21"/>
      <c r="B17" s="30" t="s">
        <v>30</v>
      </c>
      <c r="C17" s="27"/>
      <c r="D17" s="27"/>
      <c r="E17" s="168">
        <v>15</v>
      </c>
      <c r="F17" s="507">
        <f>'fak plan'!O17</f>
        <v>7925</v>
      </c>
      <c r="G17" s="139">
        <f>'ostatni plan'!R17</f>
        <v>37000</v>
      </c>
      <c r="H17" s="508">
        <f t="shared" si="2"/>
        <v>44925</v>
      </c>
      <c r="I17" s="139"/>
      <c r="J17" s="89">
        <f>'fak plan'!Q17+'ostatni plan'!T17</f>
        <v>43386</v>
      </c>
      <c r="K17" s="89">
        <f>'fak plan'!R17+'ostatni plan'!U17</f>
        <v>0</v>
      </c>
      <c r="L17" s="90">
        <f>'fak plan'!S17+'ostatni plan'!V17</f>
        <v>1539</v>
      </c>
      <c r="M17" s="90">
        <f>'fak plan'!T17+'ostatni plan'!W17</f>
        <v>0</v>
      </c>
      <c r="N17" s="90">
        <f>'fak plan'!U17+'ostatni plan'!X17</f>
        <v>0</v>
      </c>
      <c r="O17" s="91">
        <f>'fak plan'!V17+'ostatni plan'!Y17</f>
        <v>0</v>
      </c>
      <c r="P17" s="96">
        <f>'fak plan'!W17+'ostatni plan'!Z17</f>
        <v>37000</v>
      </c>
      <c r="Q17" s="96">
        <f>'fak plan'!X17+'ostatni plan'!AA17</f>
        <v>48317.036</v>
      </c>
      <c r="R17" s="401"/>
    </row>
    <row r="18" spans="1:18" s="25" customFormat="1" ht="12">
      <c r="A18" s="21"/>
      <c r="B18" s="31" t="s">
        <v>32</v>
      </c>
      <c r="C18" s="32"/>
      <c r="D18" s="32"/>
      <c r="E18" s="169">
        <v>16</v>
      </c>
      <c r="F18" s="507">
        <f>'fak plan'!O18</f>
        <v>22219</v>
      </c>
      <c r="G18" s="139">
        <f>'ostatni plan'!R18</f>
        <v>90954</v>
      </c>
      <c r="H18" s="508">
        <f t="shared" si="2"/>
        <v>113173</v>
      </c>
      <c r="I18" s="139"/>
      <c r="J18" s="89">
        <f>'fak plan'!Q18+'ostatni plan'!T18</f>
        <v>113173</v>
      </c>
      <c r="K18" s="89">
        <f>'fak plan'!R18+'ostatni plan'!U18</f>
        <v>0</v>
      </c>
      <c r="L18" s="90">
        <f>'fak plan'!S18+'ostatni plan'!V18</f>
        <v>0</v>
      </c>
      <c r="M18" s="90">
        <f>'fak plan'!T18+'ostatni plan'!W18</f>
        <v>0</v>
      </c>
      <c r="N18" s="90">
        <f>'fak plan'!U18+'ostatni plan'!X18</f>
        <v>0</v>
      </c>
      <c r="O18" s="91">
        <f>'fak plan'!V18+'ostatni plan'!Y18</f>
        <v>0</v>
      </c>
      <c r="P18" s="96">
        <f>'fak plan'!W18+'ostatni plan'!Z18</f>
        <v>90954</v>
      </c>
      <c r="Q18" s="96">
        <f>'fak plan'!X18+'ostatni plan'!AA18</f>
        <v>114953</v>
      </c>
      <c r="R18" s="401"/>
    </row>
    <row r="19" spans="1:18" s="25" customFormat="1" ht="12">
      <c r="A19" s="21"/>
      <c r="B19" s="31" t="s">
        <v>34</v>
      </c>
      <c r="C19" s="32"/>
      <c r="D19" s="32"/>
      <c r="E19" s="169">
        <v>17</v>
      </c>
      <c r="F19" s="507">
        <f>'fak plan'!O19</f>
        <v>7314</v>
      </c>
      <c r="G19" s="139">
        <f>'ostatni plan'!R19</f>
        <v>0</v>
      </c>
      <c r="H19" s="508">
        <f t="shared" si="2"/>
        <v>7314</v>
      </c>
      <c r="I19" s="139"/>
      <c r="J19" s="89">
        <f>'fak plan'!Q19+'ostatni plan'!T19</f>
        <v>7314</v>
      </c>
      <c r="K19" s="89">
        <f>'fak plan'!R19+'ostatni plan'!U19</f>
        <v>0</v>
      </c>
      <c r="L19" s="90">
        <f>'fak plan'!S19+'ostatni plan'!V19</f>
        <v>0</v>
      </c>
      <c r="M19" s="90">
        <f>'fak plan'!T19+'ostatni plan'!W19</f>
        <v>0</v>
      </c>
      <c r="N19" s="90">
        <f>'fak plan'!U19+'ostatni plan'!X19</f>
        <v>0</v>
      </c>
      <c r="O19" s="91">
        <f>'fak plan'!V19+'ostatni plan'!Y19</f>
        <v>0</v>
      </c>
      <c r="P19" s="96">
        <f>'fak plan'!W19+'ostatni plan'!Z19</f>
        <v>0</v>
      </c>
      <c r="Q19" s="96">
        <f>'fak plan'!X19+'ostatni plan'!AA19</f>
        <v>7303</v>
      </c>
      <c r="R19" s="401"/>
    </row>
    <row r="20" spans="1:18" s="25" customFormat="1" ht="12">
      <c r="A20" s="21"/>
      <c r="B20" s="31" t="s">
        <v>36</v>
      </c>
      <c r="C20" s="31"/>
      <c r="D20" s="31"/>
      <c r="E20" s="169">
        <v>18</v>
      </c>
      <c r="F20" s="507">
        <f>'fak plan'!O20</f>
        <v>19350</v>
      </c>
      <c r="G20" s="139">
        <f>'ostatni plan'!R20</f>
        <v>10080</v>
      </c>
      <c r="H20" s="508">
        <f t="shared" si="2"/>
        <v>29430</v>
      </c>
      <c r="I20" s="139"/>
      <c r="J20" s="89">
        <f>'fak plan'!Q20+'ostatni plan'!T20</f>
        <v>29430</v>
      </c>
      <c r="K20" s="89">
        <f>'fak plan'!R20+'ostatni plan'!U20</f>
        <v>0</v>
      </c>
      <c r="L20" s="90">
        <f>'fak plan'!S20+'ostatni plan'!V20</f>
        <v>0</v>
      </c>
      <c r="M20" s="90">
        <f>'fak plan'!T20+'ostatni plan'!W20</f>
        <v>0</v>
      </c>
      <c r="N20" s="90">
        <f>'fak plan'!U20+'ostatni plan'!X20</f>
        <v>0</v>
      </c>
      <c r="O20" s="91">
        <f>'fak plan'!V20+'ostatni plan'!Y20</f>
        <v>0</v>
      </c>
      <c r="P20" s="96">
        <f>'fak plan'!W20+'ostatni plan'!Z20</f>
        <v>10080</v>
      </c>
      <c r="Q20" s="96">
        <f>'fak plan'!X20+'ostatni plan'!AA20</f>
        <v>30021.25454</v>
      </c>
      <c r="R20" s="401"/>
    </row>
    <row r="21" spans="1:18" s="25" customFormat="1" ht="12">
      <c r="A21" s="21"/>
      <c r="B21" s="31" t="s">
        <v>175</v>
      </c>
      <c r="C21" s="31"/>
      <c r="D21" s="31"/>
      <c r="E21" s="169">
        <v>19</v>
      </c>
      <c r="F21" s="507">
        <f>'fak plan'!O21</f>
        <v>230157</v>
      </c>
      <c r="G21" s="139">
        <f>'ostatni plan'!R21</f>
        <v>53249</v>
      </c>
      <c r="H21" s="508">
        <f t="shared" si="2"/>
        <v>283406</v>
      </c>
      <c r="I21" s="139"/>
      <c r="J21" s="89">
        <f>'fak plan'!Q21+'ostatni plan'!T21</f>
        <v>283406</v>
      </c>
      <c r="K21" s="89">
        <f>'fak plan'!R21+'ostatni plan'!U21</f>
        <v>0</v>
      </c>
      <c r="L21" s="90">
        <f>'fak plan'!S21+'ostatni plan'!V21</f>
        <v>0</v>
      </c>
      <c r="M21" s="90">
        <f>'fak plan'!T21+'ostatni plan'!W21</f>
        <v>0</v>
      </c>
      <c r="N21" s="90">
        <f>'fak plan'!U21+'ostatni plan'!X21</f>
        <v>0</v>
      </c>
      <c r="O21" s="91">
        <f>'fak plan'!V21+'ostatni plan'!Y21</f>
        <v>0</v>
      </c>
      <c r="P21" s="96">
        <f>'fak plan'!W21+'ostatni plan'!Z21</f>
        <v>53249</v>
      </c>
      <c r="Q21" s="96">
        <f>'fak plan'!X21+'ostatni plan'!AA21</f>
        <v>164800.73845</v>
      </c>
      <c r="R21" s="401"/>
    </row>
    <row r="22" spans="1:18" s="25" customFormat="1" ht="12">
      <c r="A22" s="21"/>
      <c r="B22" s="31" t="s">
        <v>40</v>
      </c>
      <c r="C22" s="31"/>
      <c r="D22" s="31"/>
      <c r="E22" s="169">
        <v>20</v>
      </c>
      <c r="F22" s="507">
        <f>'fak plan'!O22</f>
        <v>23613</v>
      </c>
      <c r="G22" s="139">
        <f>'ostatni plan'!R22</f>
        <v>53660</v>
      </c>
      <c r="H22" s="508">
        <f t="shared" si="2"/>
        <v>77273</v>
      </c>
      <c r="I22" s="139"/>
      <c r="J22" s="89">
        <f>'fak plan'!Q22+'ostatni plan'!T22</f>
        <v>45811</v>
      </c>
      <c r="K22" s="89">
        <f>'fak plan'!R22+'ostatni plan'!U22</f>
        <v>0</v>
      </c>
      <c r="L22" s="90">
        <f>'fak plan'!S22+'ostatni plan'!V22</f>
        <v>31462</v>
      </c>
      <c r="M22" s="90">
        <f>'fak plan'!T22+'ostatni plan'!W22</f>
        <v>0</v>
      </c>
      <c r="N22" s="90">
        <f>'fak plan'!U22+'ostatni plan'!X22</f>
        <v>0</v>
      </c>
      <c r="O22" s="91">
        <f>'fak plan'!V22+'ostatni plan'!Y22</f>
        <v>0</v>
      </c>
      <c r="P22" s="96">
        <f>'fak plan'!W22+'ostatni plan'!Z22</f>
        <v>53660</v>
      </c>
      <c r="Q22" s="96">
        <f>'fak plan'!X22+'ostatni plan'!AA22</f>
        <v>92735.174</v>
      </c>
      <c r="R22" s="401"/>
    </row>
    <row r="23" spans="1:18" s="25" customFormat="1" ht="12">
      <c r="A23" s="21"/>
      <c r="B23" s="31" t="s">
        <v>42</v>
      </c>
      <c r="C23" s="31"/>
      <c r="D23" s="31"/>
      <c r="E23" s="169">
        <v>21</v>
      </c>
      <c r="F23" s="507">
        <f>'fak plan'!O23</f>
        <v>129065</v>
      </c>
      <c r="G23" s="139">
        <f>'ostatni plan'!R23</f>
        <v>30358</v>
      </c>
      <c r="H23" s="508">
        <f t="shared" si="2"/>
        <v>159423</v>
      </c>
      <c r="I23" s="139"/>
      <c r="J23" s="89">
        <f>'fak plan'!Q23+'ostatni plan'!T23</f>
        <v>157587</v>
      </c>
      <c r="K23" s="89">
        <f>'fak plan'!R23+'ostatni plan'!U23</f>
        <v>0</v>
      </c>
      <c r="L23" s="90">
        <f>'fak plan'!S23+'ostatni plan'!V23</f>
        <v>1836</v>
      </c>
      <c r="M23" s="90">
        <f>'fak plan'!T23+'ostatni plan'!W23</f>
        <v>0</v>
      </c>
      <c r="N23" s="90">
        <f>'fak plan'!U23+'ostatni plan'!X23</f>
        <v>0</v>
      </c>
      <c r="O23" s="91">
        <f>'fak plan'!V23+'ostatni plan'!Y23</f>
        <v>0</v>
      </c>
      <c r="P23" s="96">
        <f>'fak plan'!W23+'ostatni plan'!Z23</f>
        <v>30358</v>
      </c>
      <c r="Q23" s="96">
        <f>'fak plan'!X23+'ostatni plan'!AA23</f>
        <v>243456.95</v>
      </c>
      <c r="R23" s="401"/>
    </row>
    <row r="24" spans="1:18" s="25" customFormat="1" ht="12">
      <c r="A24" s="21"/>
      <c r="B24" s="31" t="s">
        <v>43</v>
      </c>
      <c r="C24" s="31"/>
      <c r="D24" s="31"/>
      <c r="E24" s="169">
        <v>22</v>
      </c>
      <c r="F24" s="507">
        <f>'fak plan'!O24</f>
        <v>506844</v>
      </c>
      <c r="G24" s="139">
        <f>'ostatni plan'!R24</f>
        <v>42636</v>
      </c>
      <c r="H24" s="508">
        <f t="shared" si="2"/>
        <v>549480</v>
      </c>
      <c r="I24" s="139"/>
      <c r="J24" s="89">
        <f>'fak plan'!Q24+'ostatni plan'!T24</f>
        <v>537052</v>
      </c>
      <c r="K24" s="89">
        <f>'fak plan'!R24+'ostatni plan'!U24</f>
        <v>0</v>
      </c>
      <c r="L24" s="90">
        <f>'fak plan'!S24+'ostatni plan'!V24</f>
        <v>12428</v>
      </c>
      <c r="M24" s="90">
        <f>'fak plan'!T24+'ostatni plan'!W24</f>
        <v>0</v>
      </c>
      <c r="N24" s="90">
        <f>'fak plan'!U24+'ostatni plan'!X24</f>
        <v>0</v>
      </c>
      <c r="O24" s="91">
        <f>'fak plan'!V24+'ostatni plan'!Y24</f>
        <v>0</v>
      </c>
      <c r="P24" s="96">
        <f>'fak plan'!W24+'ostatni plan'!Z24</f>
        <v>42636</v>
      </c>
      <c r="Q24" s="96">
        <f>'fak plan'!X24+'ostatni plan'!AA24</f>
        <v>472285</v>
      </c>
      <c r="R24" s="401"/>
    </row>
    <row r="25" spans="1:18" s="25" customFormat="1" ht="12">
      <c r="A25" s="21"/>
      <c r="B25" s="31" t="s">
        <v>186</v>
      </c>
      <c r="C25" s="31"/>
      <c r="D25" s="31"/>
      <c r="E25" s="169">
        <v>23</v>
      </c>
      <c r="F25" s="507">
        <f>'fak plan'!O25</f>
        <v>85975</v>
      </c>
      <c r="G25" s="139">
        <f>'ostatni plan'!R25</f>
        <v>94889</v>
      </c>
      <c r="H25" s="508">
        <f t="shared" si="2"/>
        <v>180864</v>
      </c>
      <c r="I25" s="139"/>
      <c r="J25" s="89">
        <f>'fak plan'!Q25+'ostatni plan'!T25</f>
        <v>166210</v>
      </c>
      <c r="K25" s="89">
        <f>'fak plan'!R25+'ostatni plan'!U25</f>
        <v>0</v>
      </c>
      <c r="L25" s="90">
        <f>'fak plan'!S25+'ostatni plan'!V25</f>
        <v>14654</v>
      </c>
      <c r="M25" s="90">
        <f>'fak plan'!T25+'ostatni plan'!W25</f>
        <v>0</v>
      </c>
      <c r="N25" s="90">
        <f>'fak plan'!U25+'ostatni plan'!X25</f>
        <v>0</v>
      </c>
      <c r="O25" s="91">
        <f>'fak plan'!V25+'ostatni plan'!Y25</f>
        <v>0</v>
      </c>
      <c r="P25" s="96">
        <f>'fak plan'!W25+'ostatni plan'!Z25</f>
        <v>94889</v>
      </c>
      <c r="Q25" s="96">
        <f>'fak plan'!X25+'ostatni plan'!AA25</f>
        <v>78784</v>
      </c>
      <c r="R25" s="401"/>
    </row>
    <row r="26" spans="1:18" s="25" customFormat="1" ht="12">
      <c r="A26" s="21"/>
      <c r="B26" s="31" t="s">
        <v>45</v>
      </c>
      <c r="C26" s="31"/>
      <c r="D26" s="31"/>
      <c r="E26" s="169">
        <v>24</v>
      </c>
      <c r="F26" s="507">
        <f>'fak plan'!O26</f>
        <v>57033</v>
      </c>
      <c r="G26" s="139">
        <f>'ostatni plan'!R26</f>
        <v>5553</v>
      </c>
      <c r="H26" s="508">
        <f t="shared" si="2"/>
        <v>62586</v>
      </c>
      <c r="I26" s="139"/>
      <c r="J26" s="89">
        <f>'fak plan'!Q26+'ostatni plan'!T26</f>
        <v>61839</v>
      </c>
      <c r="K26" s="89">
        <f>'fak plan'!R26+'ostatni plan'!U26</f>
        <v>0</v>
      </c>
      <c r="L26" s="90">
        <f>'fak plan'!S26+'ostatni plan'!V26</f>
        <v>747</v>
      </c>
      <c r="M26" s="90">
        <f>'fak plan'!T26+'ostatni plan'!W26</f>
        <v>0</v>
      </c>
      <c r="N26" s="90">
        <f>'fak plan'!U26+'ostatni plan'!X26</f>
        <v>0</v>
      </c>
      <c r="O26" s="91">
        <f>'fak plan'!V26+'ostatni plan'!Y26</f>
        <v>0</v>
      </c>
      <c r="P26" s="96">
        <f>'fak plan'!W26+'ostatni plan'!Z26</f>
        <v>5553</v>
      </c>
      <c r="Q26" s="96">
        <f>'fak plan'!X26+'ostatni plan'!AA26</f>
        <v>62510</v>
      </c>
      <c r="R26" s="401"/>
    </row>
    <row r="27" spans="1:18" s="25" customFormat="1" ht="12.75" thickBot="1">
      <c r="A27" s="21"/>
      <c r="B27" s="30" t="s">
        <v>47</v>
      </c>
      <c r="C27" s="30"/>
      <c r="D27" s="30"/>
      <c r="E27" s="168">
        <v>25</v>
      </c>
      <c r="F27" s="507">
        <f>'fak plan'!O27</f>
        <v>35811</v>
      </c>
      <c r="G27" s="139">
        <f>'ostatni plan'!R27</f>
        <v>72851</v>
      </c>
      <c r="H27" s="508">
        <f t="shared" si="2"/>
        <v>108662</v>
      </c>
      <c r="I27" s="139"/>
      <c r="J27" s="89">
        <f>'fak plan'!Q27+'ostatni plan'!T27</f>
        <v>108579</v>
      </c>
      <c r="K27" s="89">
        <f>'fak plan'!R27+'ostatni plan'!U27</f>
        <v>0</v>
      </c>
      <c r="L27" s="90">
        <f>'fak plan'!S27+'ostatni plan'!V27</f>
        <v>0</v>
      </c>
      <c r="M27" s="90">
        <f>'fak plan'!T27+'ostatni plan'!W27</f>
        <v>0</v>
      </c>
      <c r="N27" s="90">
        <f>'fak plan'!U27+'ostatni plan'!X27</f>
        <v>83</v>
      </c>
      <c r="O27" s="91">
        <f>'fak plan'!V27+'ostatni plan'!Y27</f>
        <v>0</v>
      </c>
      <c r="P27" s="96">
        <f>'fak plan'!W27+'ostatni plan'!Z27</f>
        <v>72851</v>
      </c>
      <c r="Q27" s="96">
        <f>'fak plan'!X27+'ostatni plan'!AA27</f>
        <v>121007.68289</v>
      </c>
      <c r="R27" s="401"/>
    </row>
    <row r="28" spans="1:17" ht="13.5" thickBot="1">
      <c r="A28" s="37" t="s">
        <v>49</v>
      </c>
      <c r="B28" s="38"/>
      <c r="C28" s="38"/>
      <c r="D28" s="38"/>
      <c r="E28" s="171">
        <v>26</v>
      </c>
      <c r="F28" s="212">
        <f aca="true" t="shared" si="3" ref="F28:P28">SUM(F29:F45)</f>
        <v>3489422</v>
      </c>
      <c r="G28" s="207">
        <f t="shared" si="3"/>
        <v>1392244</v>
      </c>
      <c r="H28" s="172">
        <f t="shared" si="3"/>
        <v>4881666</v>
      </c>
      <c r="I28" s="110">
        <f t="shared" si="3"/>
        <v>0</v>
      </c>
      <c r="J28" s="76">
        <f t="shared" si="3"/>
        <v>4514573</v>
      </c>
      <c r="K28" s="77">
        <f t="shared" si="3"/>
        <v>190943</v>
      </c>
      <c r="L28" s="77">
        <f t="shared" si="3"/>
        <v>104466</v>
      </c>
      <c r="M28" s="77">
        <f t="shared" si="3"/>
        <v>2037</v>
      </c>
      <c r="N28" s="77">
        <f>SUM(N29:N45)</f>
        <v>23567</v>
      </c>
      <c r="O28" s="76">
        <f t="shared" si="3"/>
        <v>46080</v>
      </c>
      <c r="P28" s="78">
        <f t="shared" si="3"/>
        <v>1392244</v>
      </c>
      <c r="Q28" s="78">
        <f>SUM(Q29:Q45)</f>
        <v>4640794.62989</v>
      </c>
    </row>
    <row r="29" spans="1:18" s="25" customFormat="1" ht="12">
      <c r="A29" s="21" t="s">
        <v>14</v>
      </c>
      <c r="B29" s="27" t="s">
        <v>50</v>
      </c>
      <c r="C29" s="27"/>
      <c r="D29" s="27"/>
      <c r="E29" s="168">
        <v>27</v>
      </c>
      <c r="F29" s="507">
        <f>'fak plan'!O29</f>
        <v>1253473</v>
      </c>
      <c r="G29" s="139">
        <f>'ostatni plan'!R29</f>
        <v>359984</v>
      </c>
      <c r="H29" s="508">
        <f t="shared" si="2"/>
        <v>1613457</v>
      </c>
      <c r="I29" s="282"/>
      <c r="J29" s="89">
        <f>'fak plan'!Q29+'ostatni plan'!T29</f>
        <v>1613457</v>
      </c>
      <c r="K29" s="89">
        <f>'fak plan'!R29+'ostatni plan'!U29</f>
        <v>0</v>
      </c>
      <c r="L29" s="90">
        <f>'fak plan'!S29+'ostatni plan'!V29</f>
        <v>0</v>
      </c>
      <c r="M29" s="90">
        <f>'fak plan'!T29+'ostatni plan'!W29</f>
        <v>0</v>
      </c>
      <c r="N29" s="90">
        <f>'fak plan'!U29+'ostatni plan'!X29</f>
        <v>0</v>
      </c>
      <c r="O29" s="91">
        <f>'fak plan'!V29+'ostatni plan'!Y29</f>
        <v>0</v>
      </c>
      <c r="P29" s="96">
        <f>'fak plan'!W29+'ostatni plan'!Z29</f>
        <v>359984</v>
      </c>
      <c r="Q29" s="96">
        <f>'fak plan'!X29+'ostatni plan'!AA29</f>
        <v>1783707</v>
      </c>
      <c r="R29" s="401">
        <f>J29-Q29</f>
        <v>-170250</v>
      </c>
    </row>
    <row r="30" spans="1:18" s="25" customFormat="1" ht="12">
      <c r="A30" s="21"/>
      <c r="B30" s="30" t="s">
        <v>28</v>
      </c>
      <c r="C30" s="30"/>
      <c r="D30" s="30"/>
      <c r="E30" s="168">
        <v>28</v>
      </c>
      <c r="F30" s="507">
        <f>'fak plan'!O30</f>
        <v>151646</v>
      </c>
      <c r="G30" s="139">
        <f>'ostatni plan'!R30</f>
        <v>0</v>
      </c>
      <c r="H30" s="508">
        <f t="shared" si="2"/>
        <v>151646</v>
      </c>
      <c r="I30" s="290"/>
      <c r="J30" s="89">
        <f>'fak plan'!Q30+'ostatni plan'!T30</f>
        <v>151646</v>
      </c>
      <c r="K30" s="89">
        <f>'fak plan'!R30+'ostatni plan'!U30</f>
        <v>0</v>
      </c>
      <c r="L30" s="90">
        <f>'fak plan'!S30+'ostatni plan'!V30</f>
        <v>0</v>
      </c>
      <c r="M30" s="90">
        <f>'fak plan'!T30+'ostatni plan'!W30</f>
        <v>0</v>
      </c>
      <c r="N30" s="90">
        <f>'fak plan'!U30+'ostatni plan'!X30</f>
        <v>0</v>
      </c>
      <c r="O30" s="91">
        <f>'fak plan'!V30+'ostatni plan'!Y30</f>
        <v>0</v>
      </c>
      <c r="P30" s="96">
        <f>'fak plan'!W30+'ostatni plan'!Z30</f>
        <v>0</v>
      </c>
      <c r="Q30" s="96">
        <f>'fak plan'!X30+'ostatni plan'!AA30</f>
        <v>146629</v>
      </c>
      <c r="R30" s="401"/>
    </row>
    <row r="31" spans="1:18" s="25" customFormat="1" ht="12">
      <c r="A31" s="21"/>
      <c r="B31" s="30" t="s">
        <v>30</v>
      </c>
      <c r="C31" s="30"/>
      <c r="D31" s="30"/>
      <c r="E31" s="168">
        <v>29</v>
      </c>
      <c r="F31" s="507">
        <f>'fak plan'!O31</f>
        <v>7925</v>
      </c>
      <c r="G31" s="139">
        <f>'ostatni plan'!R31</f>
        <v>37000</v>
      </c>
      <c r="H31" s="508">
        <f t="shared" si="2"/>
        <v>44925</v>
      </c>
      <c r="I31" s="290"/>
      <c r="J31" s="89">
        <f>'fak plan'!Q31+'ostatni plan'!T31</f>
        <v>43386</v>
      </c>
      <c r="K31" s="89">
        <f>'fak plan'!R31+'ostatni plan'!U31</f>
        <v>0</v>
      </c>
      <c r="L31" s="90">
        <f>'fak plan'!S31+'ostatni plan'!V31</f>
        <v>1539</v>
      </c>
      <c r="M31" s="90">
        <f>'fak plan'!T31+'ostatni plan'!W31</f>
        <v>0</v>
      </c>
      <c r="N31" s="90">
        <f>'fak plan'!U31+'ostatni plan'!X31</f>
        <v>0</v>
      </c>
      <c r="O31" s="91">
        <f>'fak plan'!V31+'ostatni plan'!Y31</f>
        <v>0</v>
      </c>
      <c r="P31" s="96">
        <f>'fak plan'!W31+'ostatni plan'!Z31</f>
        <v>37000</v>
      </c>
      <c r="Q31" s="96">
        <f>'fak plan'!X31+'ostatni plan'!AA31</f>
        <v>48317.036</v>
      </c>
      <c r="R31" s="401"/>
    </row>
    <row r="32" spans="1:18" s="25" customFormat="1" ht="12">
      <c r="A32" s="21"/>
      <c r="B32" s="31" t="s">
        <v>32</v>
      </c>
      <c r="C32" s="32"/>
      <c r="D32" s="32"/>
      <c r="E32" s="169">
        <v>30</v>
      </c>
      <c r="F32" s="507">
        <f>'fak plan'!O32</f>
        <v>22219</v>
      </c>
      <c r="G32" s="139">
        <f>'ostatni plan'!R32</f>
        <v>90954</v>
      </c>
      <c r="H32" s="508">
        <f t="shared" si="2"/>
        <v>113173</v>
      </c>
      <c r="I32" s="290"/>
      <c r="J32" s="89">
        <f>'fak plan'!Q32+'ostatni plan'!T32</f>
        <v>113173</v>
      </c>
      <c r="K32" s="89">
        <f>'fak plan'!R32+'ostatni plan'!U32</f>
        <v>0</v>
      </c>
      <c r="L32" s="90">
        <f>'fak plan'!S32+'ostatni plan'!V32</f>
        <v>0</v>
      </c>
      <c r="M32" s="90">
        <f>'fak plan'!T32+'ostatni plan'!W32</f>
        <v>0</v>
      </c>
      <c r="N32" s="90">
        <f>'fak plan'!U32+'ostatni plan'!X32</f>
        <v>0</v>
      </c>
      <c r="O32" s="91">
        <f>'fak plan'!V32+'ostatni plan'!Y32</f>
        <v>0</v>
      </c>
      <c r="P32" s="96">
        <f>'fak plan'!W32+'ostatni plan'!Z32</f>
        <v>90954</v>
      </c>
      <c r="Q32" s="96">
        <f>'fak plan'!X32+'ostatni plan'!AA32</f>
        <v>114953</v>
      </c>
      <c r="R32" s="401">
        <f>J32-Q32</f>
        <v>-1780</v>
      </c>
    </row>
    <row r="33" spans="1:18" s="25" customFormat="1" ht="12">
      <c r="A33" s="21"/>
      <c r="B33" s="31" t="s">
        <v>34</v>
      </c>
      <c r="C33" s="31"/>
      <c r="D33" s="31"/>
      <c r="E33" s="169">
        <v>31</v>
      </c>
      <c r="F33" s="507">
        <f>'fak plan'!O33</f>
        <v>7314</v>
      </c>
      <c r="G33" s="139">
        <f>'ostatni plan'!R33</f>
        <v>0</v>
      </c>
      <c r="H33" s="508">
        <f t="shared" si="2"/>
        <v>7314</v>
      </c>
      <c r="I33" s="290"/>
      <c r="J33" s="89">
        <f>'fak plan'!Q33+'ostatni plan'!T33</f>
        <v>7314</v>
      </c>
      <c r="K33" s="89">
        <f>'fak plan'!R33+'ostatni plan'!U33</f>
        <v>0</v>
      </c>
      <c r="L33" s="90">
        <f>'fak plan'!S33+'ostatni plan'!V33</f>
        <v>0</v>
      </c>
      <c r="M33" s="90">
        <f>'fak plan'!T33+'ostatni plan'!W33</f>
        <v>0</v>
      </c>
      <c r="N33" s="90">
        <f>'fak plan'!U33+'ostatni plan'!X33</f>
        <v>0</v>
      </c>
      <c r="O33" s="91">
        <f>'fak plan'!V33+'ostatni plan'!Y33</f>
        <v>0</v>
      </c>
      <c r="P33" s="96">
        <f>'fak plan'!W33+'ostatni plan'!Z33</f>
        <v>0</v>
      </c>
      <c r="Q33" s="96">
        <f>'fak plan'!X33+'ostatni plan'!AA33</f>
        <v>7303</v>
      </c>
      <c r="R33" s="401">
        <f>J33-Q33</f>
        <v>11</v>
      </c>
    </row>
    <row r="34" spans="1:18" s="25" customFormat="1" ht="12">
      <c r="A34" s="21"/>
      <c r="B34" s="31" t="s">
        <v>52</v>
      </c>
      <c r="C34" s="31"/>
      <c r="D34" s="31"/>
      <c r="E34" s="169">
        <v>32</v>
      </c>
      <c r="F34" s="507">
        <f>'fak plan'!O34</f>
        <v>0</v>
      </c>
      <c r="G34" s="139">
        <f>'ostatni plan'!R34</f>
        <v>140467</v>
      </c>
      <c r="H34" s="508">
        <f t="shared" si="2"/>
        <v>140467</v>
      </c>
      <c r="I34" s="290"/>
      <c r="J34" s="89">
        <f>'fak plan'!Q34+'ostatni plan'!T34</f>
        <v>140467</v>
      </c>
      <c r="K34" s="89">
        <f>'fak plan'!R34+'ostatni plan'!U34</f>
        <v>0</v>
      </c>
      <c r="L34" s="90">
        <f>'fak plan'!S34+'ostatni plan'!V34</f>
        <v>0</v>
      </c>
      <c r="M34" s="90">
        <f>'fak plan'!T34+'ostatni plan'!W34</f>
        <v>0</v>
      </c>
      <c r="N34" s="90">
        <f>'fak plan'!U34+'ostatni plan'!X34</f>
        <v>0</v>
      </c>
      <c r="O34" s="91">
        <f>'fak plan'!V34+'ostatni plan'!Y34</f>
        <v>0</v>
      </c>
      <c r="P34" s="96">
        <f>'fak plan'!W34+'ostatni plan'!Z34</f>
        <v>140467</v>
      </c>
      <c r="Q34" s="96">
        <f>'fak plan'!X34+'ostatni plan'!AA34</f>
        <v>152660.173</v>
      </c>
      <c r="R34" s="401"/>
    </row>
    <row r="35" spans="1:18" s="25" customFormat="1" ht="12">
      <c r="A35" s="21"/>
      <c r="B35" s="31" t="s">
        <v>36</v>
      </c>
      <c r="C35" s="31"/>
      <c r="D35" s="31"/>
      <c r="E35" s="169">
        <v>33</v>
      </c>
      <c r="F35" s="507">
        <f>'fak plan'!O35</f>
        <v>19350</v>
      </c>
      <c r="G35" s="139">
        <f>'ostatni plan'!R35</f>
        <v>10080</v>
      </c>
      <c r="H35" s="508">
        <f t="shared" si="2"/>
        <v>29430</v>
      </c>
      <c r="I35" s="290"/>
      <c r="J35" s="89">
        <f>'fak plan'!Q35+'ostatni plan'!T35</f>
        <v>29430</v>
      </c>
      <c r="K35" s="89">
        <f>'fak plan'!R35+'ostatni plan'!U35</f>
        <v>0</v>
      </c>
      <c r="L35" s="90">
        <f>'fak plan'!S35+'ostatni plan'!V35</f>
        <v>0</v>
      </c>
      <c r="M35" s="90">
        <f>'fak plan'!T35+'ostatni plan'!W35</f>
        <v>0</v>
      </c>
      <c r="N35" s="90">
        <f>'fak plan'!U35+'ostatni plan'!X35</f>
        <v>0</v>
      </c>
      <c r="O35" s="91">
        <f>'fak plan'!V35+'ostatni plan'!Y35</f>
        <v>0</v>
      </c>
      <c r="P35" s="96">
        <f>'fak plan'!W35+'ostatni plan'!Z35</f>
        <v>10080</v>
      </c>
      <c r="Q35" s="96">
        <f>'fak plan'!X35+'ostatni plan'!AA35</f>
        <v>30021.25454</v>
      </c>
      <c r="R35" s="401"/>
    </row>
    <row r="36" spans="1:18" s="25" customFormat="1" ht="12">
      <c r="A36" s="21"/>
      <c r="B36" s="31" t="s">
        <v>175</v>
      </c>
      <c r="C36" s="31"/>
      <c r="D36" s="31"/>
      <c r="E36" s="169">
        <v>34</v>
      </c>
      <c r="F36" s="507">
        <f>'fak plan'!O36</f>
        <v>230157</v>
      </c>
      <c r="G36" s="139">
        <f>'ostatni plan'!R36</f>
        <v>53249</v>
      </c>
      <c r="H36" s="508">
        <f t="shared" si="2"/>
        <v>283406</v>
      </c>
      <c r="I36" s="290"/>
      <c r="J36" s="89">
        <f>'fak plan'!Q36+'ostatni plan'!T36</f>
        <v>283406</v>
      </c>
      <c r="K36" s="89">
        <f>'fak plan'!R36+'ostatni plan'!U36</f>
        <v>0</v>
      </c>
      <c r="L36" s="90">
        <f>'fak plan'!S36+'ostatni plan'!V36</f>
        <v>0</v>
      </c>
      <c r="M36" s="90">
        <f>'fak plan'!T36+'ostatni plan'!W36</f>
        <v>0</v>
      </c>
      <c r="N36" s="90">
        <f>'fak plan'!U36+'ostatni plan'!X36</f>
        <v>0</v>
      </c>
      <c r="O36" s="91">
        <f>'fak plan'!V36+'ostatni plan'!Y36</f>
        <v>0</v>
      </c>
      <c r="P36" s="96">
        <f>'fak plan'!W36+'ostatni plan'!Z36</f>
        <v>53249</v>
      </c>
      <c r="Q36" s="96">
        <f>'fak plan'!X36+'ostatni plan'!AA36</f>
        <v>164800.73845</v>
      </c>
      <c r="R36" s="401"/>
    </row>
    <row r="37" spans="1:18" s="25" customFormat="1" ht="12">
      <c r="A37" s="21"/>
      <c r="B37" s="31" t="s">
        <v>54</v>
      </c>
      <c r="C37" s="31"/>
      <c r="D37" s="31"/>
      <c r="E37" s="169">
        <v>35</v>
      </c>
      <c r="F37" s="507">
        <f>'fak plan'!O37</f>
        <v>23613</v>
      </c>
      <c r="G37" s="139">
        <f>'ostatni plan'!R37</f>
        <v>53660</v>
      </c>
      <c r="H37" s="508">
        <f t="shared" si="2"/>
        <v>77273</v>
      </c>
      <c r="I37" s="290"/>
      <c r="J37" s="89">
        <f>'fak plan'!Q37+'ostatni plan'!T37</f>
        <v>45811</v>
      </c>
      <c r="K37" s="89">
        <f>'fak plan'!R37+'ostatni plan'!U37</f>
        <v>0</v>
      </c>
      <c r="L37" s="90">
        <f>'fak plan'!S37+'ostatni plan'!V37</f>
        <v>31462</v>
      </c>
      <c r="M37" s="90">
        <f>'fak plan'!T37+'ostatni plan'!W37</f>
        <v>0</v>
      </c>
      <c r="N37" s="90">
        <f>'fak plan'!U37+'ostatni plan'!X37</f>
        <v>0</v>
      </c>
      <c r="O37" s="91">
        <f>'fak plan'!V37+'ostatni plan'!Y37</f>
        <v>0</v>
      </c>
      <c r="P37" s="96">
        <f>'fak plan'!W37+'ostatni plan'!Z37</f>
        <v>53660</v>
      </c>
      <c r="Q37" s="96">
        <f>'fak plan'!X37+'ostatni plan'!AA37</f>
        <v>92644.174</v>
      </c>
      <c r="R37" s="401"/>
    </row>
    <row r="38" spans="1:21" s="25" customFormat="1" ht="12">
      <c r="A38" s="21"/>
      <c r="B38" s="31" t="s">
        <v>170</v>
      </c>
      <c r="C38" s="31"/>
      <c r="D38" s="31"/>
      <c r="E38" s="169">
        <v>36</v>
      </c>
      <c r="F38" s="507">
        <f>'fak plan'!O38</f>
        <v>284667</v>
      </c>
      <c r="G38" s="139">
        <f>'ostatni plan'!R38</f>
        <v>512</v>
      </c>
      <c r="H38" s="508">
        <f t="shared" si="2"/>
        <v>285179</v>
      </c>
      <c r="I38" s="290"/>
      <c r="J38" s="89">
        <f>'fak plan'!Q38+'ostatni plan'!T38</f>
        <v>284817</v>
      </c>
      <c r="K38" s="89">
        <f>'fak plan'!R38+'ostatni plan'!U38</f>
        <v>0</v>
      </c>
      <c r="L38" s="90">
        <f>'fak plan'!S38+'ostatni plan'!V38</f>
        <v>362</v>
      </c>
      <c r="M38" s="90">
        <f>'fak plan'!T38+'ostatni plan'!W38</f>
        <v>0</v>
      </c>
      <c r="N38" s="90">
        <f>'fak plan'!U38+'ostatni plan'!X38</f>
        <v>0</v>
      </c>
      <c r="O38" s="91">
        <f>'fak plan'!V38+'ostatni plan'!Y38</f>
        <v>0</v>
      </c>
      <c r="P38" s="96">
        <f>'fak plan'!W38+'ostatni plan'!Z38</f>
        <v>512</v>
      </c>
      <c r="Q38" s="96">
        <f>'fak plan'!X38+'ostatni plan'!AA38</f>
        <v>139352</v>
      </c>
      <c r="R38" s="253"/>
      <c r="S38" s="254"/>
      <c r="T38" s="254"/>
      <c r="U38" s="254"/>
    </row>
    <row r="39" spans="1:20" s="25" customFormat="1" ht="12">
      <c r="A39" s="21"/>
      <c r="B39" s="31" t="s">
        <v>56</v>
      </c>
      <c r="C39" s="31"/>
      <c r="D39" s="31"/>
      <c r="E39" s="169">
        <v>37</v>
      </c>
      <c r="F39" s="507">
        <f>'fak plan'!O39</f>
        <v>129065</v>
      </c>
      <c r="G39" s="139">
        <f>'ostatni plan'!R39</f>
        <v>30315</v>
      </c>
      <c r="H39" s="508">
        <f t="shared" si="2"/>
        <v>159380</v>
      </c>
      <c r="I39" s="290"/>
      <c r="J39" s="89">
        <f>'fak plan'!Q39+'ostatni plan'!T39</f>
        <v>157587</v>
      </c>
      <c r="K39" s="89">
        <f>'fak plan'!R39+'ostatni plan'!U39</f>
        <v>0</v>
      </c>
      <c r="L39" s="90">
        <f>'fak plan'!S39+'ostatni plan'!V39</f>
        <v>1793</v>
      </c>
      <c r="M39" s="90">
        <f>'fak plan'!T39+'ostatni plan'!W39</f>
        <v>0</v>
      </c>
      <c r="N39" s="90">
        <f>'fak plan'!U39+'ostatni plan'!X39</f>
        <v>0</v>
      </c>
      <c r="O39" s="91">
        <f>'fak plan'!V39+'ostatni plan'!Y39</f>
        <v>0</v>
      </c>
      <c r="P39" s="96">
        <f>'fak plan'!W39+'ostatni plan'!Z39</f>
        <v>30315</v>
      </c>
      <c r="Q39" s="96">
        <f>'fak plan'!X39+'ostatni plan'!AA39</f>
        <v>243456.95</v>
      </c>
      <c r="R39" s="401"/>
      <c r="T39" s="1034"/>
    </row>
    <row r="40" spans="1:18" s="25" customFormat="1" ht="12">
      <c r="A40" s="21"/>
      <c r="B40" s="31" t="s">
        <v>57</v>
      </c>
      <c r="C40" s="31"/>
      <c r="D40" s="31"/>
      <c r="E40" s="169">
        <v>38</v>
      </c>
      <c r="F40" s="507">
        <f>'fak plan'!O40</f>
        <v>506844</v>
      </c>
      <c r="G40" s="139">
        <f>'ostatni plan'!R40</f>
        <v>42636</v>
      </c>
      <c r="H40" s="508">
        <f t="shared" si="2"/>
        <v>549480</v>
      </c>
      <c r="I40" s="290"/>
      <c r="J40" s="89">
        <f>'fak plan'!Q40+'ostatni plan'!T40</f>
        <v>537052</v>
      </c>
      <c r="K40" s="89">
        <f>'fak plan'!R40+'ostatni plan'!U40</f>
        <v>0</v>
      </c>
      <c r="L40" s="90">
        <f>'fak plan'!S40+'ostatni plan'!V40</f>
        <v>12428</v>
      </c>
      <c r="M40" s="90">
        <f>'fak plan'!T40+'ostatni plan'!W40</f>
        <v>0</v>
      </c>
      <c r="N40" s="90">
        <f>'fak plan'!U40+'ostatni plan'!X40</f>
        <v>0</v>
      </c>
      <c r="O40" s="91">
        <f>'fak plan'!V40+'ostatni plan'!Y40</f>
        <v>0</v>
      </c>
      <c r="P40" s="96">
        <f>'fak plan'!W40+'ostatni plan'!Z40</f>
        <v>42636</v>
      </c>
      <c r="Q40" s="96">
        <f>'fak plan'!X40+'ostatni plan'!AA40</f>
        <v>472285</v>
      </c>
      <c r="R40" s="401"/>
    </row>
    <row r="41" spans="1:18" s="25" customFormat="1" ht="12">
      <c r="A41" s="21"/>
      <c r="B41" s="31" t="s">
        <v>186</v>
      </c>
      <c r="C41" s="31"/>
      <c r="D41" s="31"/>
      <c r="E41" s="169">
        <v>39</v>
      </c>
      <c r="F41" s="507">
        <f>'fak plan'!O41</f>
        <v>85975</v>
      </c>
      <c r="G41" s="139">
        <f>'ostatni plan'!R41</f>
        <v>94889</v>
      </c>
      <c r="H41" s="508">
        <f t="shared" si="2"/>
        <v>180864</v>
      </c>
      <c r="I41" s="290"/>
      <c r="J41" s="89">
        <f>'fak plan'!Q41+'ostatni plan'!T41</f>
        <v>166210</v>
      </c>
      <c r="K41" s="89">
        <f>'fak plan'!R41+'ostatni plan'!U41</f>
        <v>0</v>
      </c>
      <c r="L41" s="90">
        <f>'fak plan'!S41+'ostatni plan'!V41</f>
        <v>14654</v>
      </c>
      <c r="M41" s="90">
        <f>'fak plan'!T41+'ostatni plan'!W41</f>
        <v>0</v>
      </c>
      <c r="N41" s="90">
        <f>'fak plan'!U41+'ostatni plan'!X41</f>
        <v>0</v>
      </c>
      <c r="O41" s="91">
        <f>'fak plan'!V41+'ostatni plan'!Y41</f>
        <v>0</v>
      </c>
      <c r="P41" s="96">
        <f>'fak plan'!W41+'ostatni plan'!Z41</f>
        <v>94889</v>
      </c>
      <c r="Q41" s="96">
        <f>'fak plan'!X41+'ostatni plan'!AA41</f>
        <v>78784</v>
      </c>
      <c r="R41" s="401"/>
    </row>
    <row r="42" spans="1:18" s="25" customFormat="1" ht="12">
      <c r="A42" s="21"/>
      <c r="B42" s="31" t="s">
        <v>58</v>
      </c>
      <c r="C42" s="31"/>
      <c r="D42" s="31"/>
      <c r="E42" s="169">
        <v>40</v>
      </c>
      <c r="F42" s="507">
        <f>'fak plan'!O42</f>
        <v>57033</v>
      </c>
      <c r="G42" s="139">
        <f>'ostatni plan'!R42</f>
        <v>5553</v>
      </c>
      <c r="H42" s="508">
        <f t="shared" si="2"/>
        <v>62586</v>
      </c>
      <c r="I42" s="290"/>
      <c r="J42" s="89">
        <f>'fak plan'!Q42+'ostatni plan'!T42</f>
        <v>61839</v>
      </c>
      <c r="K42" s="89">
        <f>'fak plan'!R42+'ostatni plan'!U42</f>
        <v>0</v>
      </c>
      <c r="L42" s="90">
        <f>'fak plan'!S42+'ostatni plan'!V42</f>
        <v>747</v>
      </c>
      <c r="M42" s="90">
        <f>'fak plan'!T42+'ostatni plan'!W42</f>
        <v>0</v>
      </c>
      <c r="N42" s="90">
        <f>'fak plan'!U42+'ostatni plan'!X42</f>
        <v>0</v>
      </c>
      <c r="O42" s="91">
        <f>'fak plan'!V42+'ostatni plan'!Y42</f>
        <v>0</v>
      </c>
      <c r="P42" s="96">
        <f>'fak plan'!W42+'ostatni plan'!Z42</f>
        <v>5553</v>
      </c>
      <c r="Q42" s="96">
        <f>'fak plan'!X42+'ostatni plan'!AA42</f>
        <v>62510</v>
      </c>
      <c r="R42" s="401"/>
    </row>
    <row r="43" spans="1:18" s="25" customFormat="1" ht="12">
      <c r="A43" s="21"/>
      <c r="B43" s="31" t="s">
        <v>59</v>
      </c>
      <c r="C43" s="31"/>
      <c r="D43" s="31"/>
      <c r="E43" s="169">
        <v>41</v>
      </c>
      <c r="F43" s="507">
        <f>'fak plan'!O43</f>
        <v>421424</v>
      </c>
      <c r="G43" s="139">
        <f>'ostatni plan'!R43</f>
        <v>336995</v>
      </c>
      <c r="H43" s="508">
        <f t="shared" si="2"/>
        <v>758419</v>
      </c>
      <c r="I43" s="290"/>
      <c r="J43" s="89">
        <f>'fak plan'!Q43+'ostatni plan'!T43</f>
        <v>755570</v>
      </c>
      <c r="K43" s="89">
        <f>'fak plan'!R43+'ostatni plan'!U43</f>
        <v>0</v>
      </c>
      <c r="L43" s="90">
        <f>'fak plan'!S43+'ostatni plan'!V43</f>
        <v>2849</v>
      </c>
      <c r="M43" s="90">
        <f>'fak plan'!T43+'ostatni plan'!W43</f>
        <v>0</v>
      </c>
      <c r="N43" s="90">
        <f>'fak plan'!U43+'ostatni plan'!X43</f>
        <v>0</v>
      </c>
      <c r="O43" s="91">
        <f>'fak plan'!V43+'ostatni plan'!Y43</f>
        <v>0</v>
      </c>
      <c r="P43" s="96">
        <f>'fak plan'!W43+'ostatni plan'!Z43</f>
        <v>336995</v>
      </c>
      <c r="Q43" s="96">
        <f>'fak plan'!X43+'ostatni plan'!AA43</f>
        <v>787175.28283</v>
      </c>
      <c r="R43" s="401"/>
    </row>
    <row r="44" spans="1:18" s="25" customFormat="1" ht="12">
      <c r="A44" s="21"/>
      <c r="B44" s="31" t="s">
        <v>60</v>
      </c>
      <c r="C44" s="31"/>
      <c r="D44" s="31"/>
      <c r="E44" s="169">
        <v>42</v>
      </c>
      <c r="F44" s="507">
        <f>'fak plan'!O44</f>
        <v>250294</v>
      </c>
      <c r="G44" s="139">
        <f>'ostatni plan'!R44</f>
        <v>50965</v>
      </c>
      <c r="H44" s="508">
        <f t="shared" si="2"/>
        <v>301259</v>
      </c>
      <c r="I44" s="290"/>
      <c r="J44" s="89">
        <f>'fak plan'!Q44+'ostatni plan'!T44</f>
        <v>0</v>
      </c>
      <c r="K44" s="89">
        <f>'fak plan'!R44+'ostatni plan'!U44</f>
        <v>190943</v>
      </c>
      <c r="L44" s="90">
        <f>'fak plan'!S44+'ostatni plan'!V44</f>
        <v>38632</v>
      </c>
      <c r="M44" s="90">
        <f>'fak plan'!T44+'ostatni plan'!W44</f>
        <v>2037</v>
      </c>
      <c r="N44" s="90">
        <f>'fak plan'!U44+'ostatni plan'!X44</f>
        <v>23567</v>
      </c>
      <c r="O44" s="91">
        <f>'fak plan'!V44+'ostatni plan'!Y44</f>
        <v>46080</v>
      </c>
      <c r="P44" s="96">
        <f>'fak plan'!W44+'ostatni plan'!Z44</f>
        <v>50965</v>
      </c>
      <c r="Q44" s="96">
        <f>'fak plan'!X44+'ostatni plan'!AA44</f>
        <v>173949.89611</v>
      </c>
      <c r="R44" s="401"/>
    </row>
    <row r="45" spans="1:18" s="25" customFormat="1" ht="12.75" thickBot="1">
      <c r="A45" s="40"/>
      <c r="B45" s="41" t="s">
        <v>47</v>
      </c>
      <c r="C45" s="41"/>
      <c r="D45" s="41"/>
      <c r="E45" s="170">
        <v>43</v>
      </c>
      <c r="F45" s="509">
        <f>'fak plan'!O45</f>
        <v>38423</v>
      </c>
      <c r="G45" s="510">
        <f>'ostatni plan'!R45</f>
        <v>84985</v>
      </c>
      <c r="H45" s="511">
        <f t="shared" si="2"/>
        <v>123408</v>
      </c>
      <c r="I45" s="293"/>
      <c r="J45" s="620">
        <f>'fak plan'!Q45+'ostatni plan'!T45</f>
        <v>123408</v>
      </c>
      <c r="K45" s="620">
        <f>'fak plan'!R45+'ostatni plan'!U45</f>
        <v>0</v>
      </c>
      <c r="L45" s="621">
        <f>'fak plan'!S45+'ostatni plan'!V45</f>
        <v>0</v>
      </c>
      <c r="M45" s="621">
        <f>'fak plan'!T45+'ostatni plan'!W45</f>
        <v>0</v>
      </c>
      <c r="N45" s="621">
        <f>'fak plan'!U45+'ostatni plan'!X45</f>
        <v>0</v>
      </c>
      <c r="O45" s="622">
        <f>'fak plan'!V45+'ostatni plan'!Y45</f>
        <v>0</v>
      </c>
      <c r="P45" s="100">
        <f>'fak plan'!W45+'ostatni plan'!Z45</f>
        <v>84985</v>
      </c>
      <c r="Q45" s="100">
        <f>'fak plan'!X45+'ostatni plan'!AA45</f>
        <v>142246.12496</v>
      </c>
      <c r="R45" s="401"/>
    </row>
    <row r="46" spans="1:18" s="25" customFormat="1" ht="12.75" hidden="1" thickBot="1">
      <c r="A46" s="44" t="s">
        <v>61</v>
      </c>
      <c r="B46" s="45"/>
      <c r="C46" s="45"/>
      <c r="D46" s="45"/>
      <c r="E46" s="168">
        <v>44</v>
      </c>
      <c r="F46" s="219">
        <f>F29+F34+F38+F43+F44+F45-F4-F27</f>
        <v>17147</v>
      </c>
      <c r="G46" s="101">
        <f>G29+G34+G38+G43+G44+G45-G4-G27</f>
        <v>14786</v>
      </c>
      <c r="H46" s="227">
        <f>H29+H34+H38+H43+H44+H45-H4-H27</f>
        <v>31933</v>
      </c>
      <c r="I46" s="102">
        <f>I29+I34+I38+I43+I44+I45+-I4-I27</f>
        <v>0</v>
      </c>
      <c r="J46" s="102">
        <f>J29+J34+J38+J43+J45-J4-J27</f>
        <v>31449</v>
      </c>
      <c r="K46" s="102">
        <f>K29+K34+K38+K43+K44+K45-K4-K27</f>
        <v>441</v>
      </c>
      <c r="L46" s="102">
        <f>L29+L34+L38+L43+L44+L45-L4-L27</f>
        <v>43</v>
      </c>
      <c r="M46" s="102">
        <f>M29+M34+M38+M43+M44+M45-M4-M27</f>
        <v>0</v>
      </c>
      <c r="N46" s="102">
        <f>N29+N34+N38+N43+N44+N45-N4-N27</f>
        <v>0</v>
      </c>
      <c r="O46" s="102">
        <f>O29+O34+O38+O43+O44+O45-O4-O27</f>
        <v>0</v>
      </c>
      <c r="P46" s="331">
        <f>'fak plan'!W46+'ostatni plan'!Z46</f>
        <v>936.9220799999999</v>
      </c>
      <c r="Q46" s="331" t="e">
        <f>'fak plan'!X46+'ostatni plan'!AA46</f>
        <v>#DIV/0!</v>
      </c>
      <c r="R46" s="401"/>
    </row>
    <row r="47" spans="1:17" ht="13.5" thickBot="1">
      <c r="A47" s="37" t="s">
        <v>62</v>
      </c>
      <c r="B47" s="38"/>
      <c r="C47" s="38"/>
      <c r="D47" s="38"/>
      <c r="E47" s="171">
        <v>45</v>
      </c>
      <c r="F47" s="212">
        <f>F28-F3</f>
        <v>16706</v>
      </c>
      <c r="G47" s="207">
        <f>G28-G3</f>
        <v>14743</v>
      </c>
      <c r="H47" s="172">
        <f>H28-H3</f>
        <v>31449</v>
      </c>
      <c r="I47" s="75">
        <f aca="true" t="shared" si="4" ref="I47:P47">I28-I3</f>
        <v>0</v>
      </c>
      <c r="J47" s="76">
        <f t="shared" si="4"/>
        <v>31449</v>
      </c>
      <c r="K47" s="77">
        <f t="shared" si="4"/>
        <v>0</v>
      </c>
      <c r="L47" s="77">
        <f t="shared" si="4"/>
        <v>0</v>
      </c>
      <c r="M47" s="77">
        <f t="shared" si="4"/>
        <v>0</v>
      </c>
      <c r="N47" s="77">
        <f>N28-N3</f>
        <v>0</v>
      </c>
      <c r="O47" s="76">
        <f t="shared" si="4"/>
        <v>0</v>
      </c>
      <c r="P47" s="78">
        <f t="shared" si="4"/>
        <v>14743</v>
      </c>
      <c r="Q47" s="78">
        <f>Q28-Q3</f>
        <v>71121.65306000039</v>
      </c>
    </row>
    <row r="48" spans="5:18" s="47" customFormat="1" ht="9" customHeight="1">
      <c r="E48" s="48"/>
      <c r="F48" s="25"/>
      <c r="G48" s="25"/>
      <c r="H48" s="228"/>
      <c r="J48" s="59"/>
      <c r="K48" s="59"/>
      <c r="L48" s="59"/>
      <c r="M48" s="59"/>
      <c r="N48" s="59"/>
      <c r="O48" s="59"/>
      <c r="P48" s="59"/>
      <c r="Q48" s="401"/>
      <c r="R48" s="401"/>
    </row>
    <row r="49" spans="1:22" s="47" customFormat="1" ht="24" customHeight="1">
      <c r="A49" s="1054" t="s">
        <v>90</v>
      </c>
      <c r="B49" s="1055"/>
      <c r="C49" s="1055"/>
      <c r="D49" s="1055"/>
      <c r="E49" s="1055"/>
      <c r="F49" s="255">
        <f>fak!I50</f>
        <v>4833</v>
      </c>
      <c r="G49" s="72">
        <f>'ostatni plan'!R49</f>
        <v>0</v>
      </c>
      <c r="H49" s="1041">
        <f>'fak plan'!O49+'ostatni plan'!R49</f>
        <v>4833</v>
      </c>
      <c r="I49" s="59"/>
      <c r="J49" s="59"/>
      <c r="K49" s="59"/>
      <c r="L49" s="59"/>
      <c r="M49" s="59"/>
      <c r="N49" s="59"/>
      <c r="O49" s="59"/>
      <c r="P49" s="233"/>
      <c r="Q49" s="401"/>
      <c r="R49" s="401"/>
      <c r="T49" s="59"/>
      <c r="V49" s="59"/>
    </row>
    <row r="50" spans="1:18" s="1073" customFormat="1" ht="21.75" customHeight="1">
      <c r="A50" s="1068" t="s">
        <v>232</v>
      </c>
      <c r="B50" s="1069"/>
      <c r="C50" s="1069"/>
      <c r="D50" s="1069"/>
      <c r="E50" s="1069"/>
      <c r="F50" s="1070">
        <f>'fak plan'!O50</f>
        <v>15636</v>
      </c>
      <c r="G50" s="1071"/>
      <c r="H50" s="1072">
        <f>'fak plan'!O50+'ostatni plan'!R50</f>
        <v>15636</v>
      </c>
      <c r="J50" s="1074"/>
      <c r="K50" s="1074"/>
      <c r="L50" s="1074"/>
      <c r="M50" s="1074"/>
      <c r="N50" s="1074"/>
      <c r="O50" s="1074"/>
      <c r="P50" s="1074"/>
      <c r="Q50" s="1070"/>
      <c r="R50" s="1070"/>
    </row>
  </sheetData>
  <mergeCells count="5">
    <mergeCell ref="A50:E50"/>
    <mergeCell ref="A1:D1"/>
    <mergeCell ref="K1:O1"/>
    <mergeCell ref="C2:D2"/>
    <mergeCell ref="A49:E49"/>
  </mergeCells>
  <printOptions horizontalCentered="1" verticalCentered="1"/>
  <pageMargins left="0.6692913385826772" right="0.4724409448818898" top="0.4330708661417323" bottom="0.35433070866141736" header="0.1968503937007874" footer="0.2755905511811024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64"/>
  <sheetViews>
    <sheetView workbookViewId="0" topLeftCell="A1">
      <pane ySplit="3" topLeftCell="BM4" activePane="bottomLeft" state="frozen"/>
      <selection pane="topLeft" activeCell="D38" sqref="D38"/>
      <selection pane="bottomLeft" activeCell="D38" sqref="D38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60" bestFit="1" customWidth="1"/>
    <col min="6" max="6" width="8.75390625" style="47" bestFit="1" customWidth="1"/>
    <col min="7" max="7" width="8.75390625" style="59" bestFit="1" customWidth="1"/>
    <col min="8" max="8" width="8.375" style="59" customWidth="1"/>
    <col min="9" max="11" width="8.00390625" style="59" customWidth="1"/>
    <col min="12" max="12" width="8.125" style="59" customWidth="1"/>
    <col min="13" max="13" width="0" style="59" hidden="1" customWidth="1"/>
    <col min="14" max="14" width="11.125" style="59" hidden="1" customWidth="1"/>
    <col min="15" max="15" width="7.25390625" style="401" hidden="1" customWidth="1"/>
    <col min="16" max="16" width="8.75390625" style="401" hidden="1" customWidth="1"/>
    <col min="17" max="17" width="8.75390625" style="402" bestFit="1" customWidth="1"/>
    <col min="18" max="18" width="6.125" style="255" customWidth="1"/>
    <col min="19" max="19" width="5.25390625" style="72" customWidth="1"/>
  </cols>
  <sheetData>
    <row r="1" spans="1:19" ht="15.75" customHeight="1">
      <c r="A1" s="1046" t="s">
        <v>236</v>
      </c>
      <c r="B1" s="1047"/>
      <c r="C1" s="1047"/>
      <c r="D1" s="1048"/>
      <c r="E1" s="1"/>
      <c r="F1" s="543" t="s">
        <v>0</v>
      </c>
      <c r="G1" s="606" t="s">
        <v>2</v>
      </c>
      <c r="H1" s="1050" t="s">
        <v>3</v>
      </c>
      <c r="I1" s="1050"/>
      <c r="J1" s="1050"/>
      <c r="K1" s="1050"/>
      <c r="L1" s="1051"/>
      <c r="M1" s="181" t="s">
        <v>1</v>
      </c>
      <c r="N1" s="538" t="s">
        <v>4</v>
      </c>
      <c r="O1" s="67" t="s">
        <v>144</v>
      </c>
      <c r="P1" s="67" t="s">
        <v>145</v>
      </c>
      <c r="Q1" s="67" t="s">
        <v>4</v>
      </c>
      <c r="R1" s="1056" t="s">
        <v>190</v>
      </c>
      <c r="S1" s="1057" t="s">
        <v>188</v>
      </c>
    </row>
    <row r="2" spans="1:19" s="16" customFormat="1" ht="13.5" thickBot="1">
      <c r="A2" s="6"/>
      <c r="B2" s="7"/>
      <c r="C2" s="1052" t="s">
        <v>85</v>
      </c>
      <c r="D2" s="1053"/>
      <c r="E2" s="9" t="s">
        <v>5</v>
      </c>
      <c r="F2" s="544">
        <v>2011</v>
      </c>
      <c r="G2" s="607" t="s">
        <v>8</v>
      </c>
      <c r="H2" s="69" t="s">
        <v>9</v>
      </c>
      <c r="I2" s="70" t="s">
        <v>10</v>
      </c>
      <c r="J2" s="303" t="s">
        <v>11</v>
      </c>
      <c r="K2" s="248" t="s">
        <v>126</v>
      </c>
      <c r="L2" s="68" t="s">
        <v>12</v>
      </c>
      <c r="M2" s="544" t="s">
        <v>7</v>
      </c>
      <c r="N2" s="539">
        <v>2011</v>
      </c>
      <c r="O2" s="71"/>
      <c r="P2" s="71"/>
      <c r="Q2" s="71">
        <v>2010</v>
      </c>
      <c r="R2" s="1056"/>
      <c r="S2" s="1057"/>
    </row>
    <row r="3" spans="1:17" ht="13.5" thickBot="1">
      <c r="A3" s="17" t="s">
        <v>13</v>
      </c>
      <c r="B3" s="18"/>
      <c r="C3" s="18"/>
      <c r="D3" s="18"/>
      <c r="E3" s="19">
        <v>1</v>
      </c>
      <c r="F3" s="197">
        <f>SUM(F5:F27)</f>
        <v>30775</v>
      </c>
      <c r="G3" s="597">
        <f aca="true" t="shared" si="0" ref="G3:L3">SUM(G5:G27)</f>
        <v>29720</v>
      </c>
      <c r="H3" s="125">
        <f t="shared" si="0"/>
        <v>949</v>
      </c>
      <c r="I3" s="77">
        <f t="shared" si="0"/>
        <v>0</v>
      </c>
      <c r="J3" s="304">
        <f t="shared" si="0"/>
        <v>0</v>
      </c>
      <c r="K3" s="77">
        <f t="shared" si="0"/>
        <v>106</v>
      </c>
      <c r="L3" s="76">
        <f t="shared" si="0"/>
        <v>0</v>
      </c>
      <c r="M3" s="197">
        <f>SUM(M5:M27)</f>
        <v>0</v>
      </c>
      <c r="N3" s="471">
        <f>SUM(N5:N27)</f>
        <v>0</v>
      </c>
      <c r="O3" s="413">
        <f aca="true" t="shared" si="1" ref="O3:O19">IF(F3=0,0,N3/F3)</f>
        <v>0</v>
      </c>
      <c r="P3" s="78" t="e">
        <f>SUM(P5:P27)</f>
        <v>#DIV/0!</v>
      </c>
      <c r="Q3" s="78">
        <f>SUM(Q5:Q27)</f>
        <v>31578</v>
      </c>
    </row>
    <row r="4" spans="1:19" s="25" customFormat="1" ht="12">
      <c r="A4" s="21" t="s">
        <v>14</v>
      </c>
      <c r="B4" s="22" t="s">
        <v>15</v>
      </c>
      <c r="C4" s="22"/>
      <c r="D4" s="22"/>
      <c r="E4" s="23">
        <v>2</v>
      </c>
      <c r="F4" s="198">
        <f aca="true" t="shared" si="2" ref="F4:N4">SUM(F5:F15)</f>
        <v>4770</v>
      </c>
      <c r="G4" s="594">
        <f t="shared" si="2"/>
        <v>3715</v>
      </c>
      <c r="H4" s="112">
        <f t="shared" si="2"/>
        <v>949</v>
      </c>
      <c r="I4" s="81">
        <f t="shared" si="2"/>
        <v>0</v>
      </c>
      <c r="J4" s="81">
        <f t="shared" si="2"/>
        <v>0</v>
      </c>
      <c r="K4" s="81">
        <f t="shared" si="2"/>
        <v>106</v>
      </c>
      <c r="L4" s="81">
        <f t="shared" si="2"/>
        <v>0</v>
      </c>
      <c r="M4" s="198">
        <f t="shared" si="2"/>
        <v>0</v>
      </c>
      <c r="N4" s="417">
        <f t="shared" si="2"/>
        <v>0</v>
      </c>
      <c r="O4" s="410">
        <f t="shared" si="1"/>
        <v>0</v>
      </c>
      <c r="P4" s="82" t="e">
        <f>SUM(P5:P15)</f>
        <v>#DIV/0!</v>
      </c>
      <c r="Q4" s="82">
        <f>SUM(Q5:Q15)</f>
        <v>5553</v>
      </c>
      <c r="R4" s="255"/>
      <c r="S4" s="72"/>
    </row>
    <row r="5" spans="1:19" s="65" customFormat="1" ht="12">
      <c r="A5" s="61"/>
      <c r="B5" s="62"/>
      <c r="C5" s="62" t="s">
        <v>16</v>
      </c>
      <c r="D5" s="63" t="s">
        <v>17</v>
      </c>
      <c r="E5" s="64">
        <v>3</v>
      </c>
      <c r="F5" s="199">
        <f>SUM(G5:L5)</f>
        <v>900</v>
      </c>
      <c r="G5" s="609">
        <v>900</v>
      </c>
      <c r="H5" s="84"/>
      <c r="I5" s="85"/>
      <c r="J5" s="306"/>
      <c r="K5" s="85"/>
      <c r="L5" s="86"/>
      <c r="M5" s="199"/>
      <c r="N5" s="418"/>
      <c r="O5" s="428">
        <f t="shared" si="1"/>
        <v>0</v>
      </c>
      <c r="P5" s="850">
        <f>N5</f>
        <v>0</v>
      </c>
      <c r="Q5" s="87">
        <v>838</v>
      </c>
      <c r="R5" s="546"/>
      <c r="S5" s="517"/>
    </row>
    <row r="6" spans="1:19" s="65" customFormat="1" ht="12">
      <c r="A6" s="61"/>
      <c r="B6" s="62"/>
      <c r="C6" s="62"/>
      <c r="D6" s="63" t="s">
        <v>18</v>
      </c>
      <c r="E6" s="64">
        <v>4</v>
      </c>
      <c r="F6" s="199">
        <f aca="true" t="shared" si="3" ref="F6:F45">SUM(G6:L6)</f>
        <v>100</v>
      </c>
      <c r="G6" s="609">
        <v>100</v>
      </c>
      <c r="H6" s="84"/>
      <c r="I6" s="85"/>
      <c r="J6" s="306"/>
      <c r="K6" s="85"/>
      <c r="L6" s="86"/>
      <c r="M6" s="199"/>
      <c r="N6" s="418"/>
      <c r="O6" s="428">
        <f t="shared" si="1"/>
        <v>0</v>
      </c>
      <c r="P6" s="850">
        <f>N6</f>
        <v>0</v>
      </c>
      <c r="Q6" s="87">
        <v>178</v>
      </c>
      <c r="R6" s="546"/>
      <c r="S6" s="517"/>
    </row>
    <row r="7" spans="1:19" s="65" customFormat="1" ht="12">
      <c r="A7" s="61"/>
      <c r="B7" s="62"/>
      <c r="C7" s="62"/>
      <c r="D7" s="63" t="s">
        <v>19</v>
      </c>
      <c r="E7" s="64">
        <v>5</v>
      </c>
      <c r="F7" s="199">
        <f t="shared" si="3"/>
        <v>325</v>
      </c>
      <c r="G7" s="610">
        <v>325</v>
      </c>
      <c r="H7" s="84"/>
      <c r="I7" s="85"/>
      <c r="J7" s="306"/>
      <c r="K7" s="85"/>
      <c r="L7" s="86"/>
      <c r="M7" s="199"/>
      <c r="N7" s="418"/>
      <c r="O7" s="428">
        <f t="shared" si="1"/>
        <v>0</v>
      </c>
      <c r="P7" s="850">
        <f>N7</f>
        <v>0</v>
      </c>
      <c r="Q7" s="87">
        <v>324</v>
      </c>
      <c r="R7" s="546"/>
      <c r="S7" s="517"/>
    </row>
    <row r="8" spans="1:19" s="65" customFormat="1" ht="12">
      <c r="A8" s="61"/>
      <c r="B8" s="62"/>
      <c r="C8" s="62"/>
      <c r="D8" s="63" t="s">
        <v>20</v>
      </c>
      <c r="E8" s="64">
        <v>6</v>
      </c>
      <c r="F8" s="199">
        <f t="shared" si="3"/>
        <v>0</v>
      </c>
      <c r="G8" s="610"/>
      <c r="H8" s="84"/>
      <c r="I8" s="85"/>
      <c r="J8" s="306"/>
      <c r="K8" s="85"/>
      <c r="L8" s="86"/>
      <c r="M8" s="199"/>
      <c r="N8" s="418"/>
      <c r="O8" s="428">
        <f t="shared" si="1"/>
        <v>0</v>
      </c>
      <c r="P8" s="87" t="e">
        <f>N8/titl!$H$17*12</f>
        <v>#DIV/0!</v>
      </c>
      <c r="Q8" s="87">
        <v>40</v>
      </c>
      <c r="R8" s="546"/>
      <c r="S8" s="517"/>
    </row>
    <row r="9" spans="1:19" s="65" customFormat="1" ht="12">
      <c r="A9" s="61"/>
      <c r="B9" s="62"/>
      <c r="C9" s="62"/>
      <c r="D9" s="63" t="s">
        <v>21</v>
      </c>
      <c r="E9" s="64">
        <v>7</v>
      </c>
      <c r="F9" s="199">
        <f t="shared" si="3"/>
        <v>10</v>
      </c>
      <c r="G9" s="610">
        <v>10</v>
      </c>
      <c r="H9" s="84"/>
      <c r="I9" s="85"/>
      <c r="J9" s="306"/>
      <c r="K9" s="85"/>
      <c r="L9" s="86"/>
      <c r="M9" s="199"/>
      <c r="N9" s="418"/>
      <c r="O9" s="428">
        <f t="shared" si="1"/>
        <v>0</v>
      </c>
      <c r="P9" s="87" t="e">
        <f>N9/titl!$H$17*12</f>
        <v>#DIV/0!</v>
      </c>
      <c r="Q9" s="87">
        <v>2</v>
      </c>
      <c r="R9" s="546"/>
      <c r="S9" s="517"/>
    </row>
    <row r="10" spans="1:19" s="65" customFormat="1" ht="12">
      <c r="A10" s="61"/>
      <c r="B10" s="62"/>
      <c r="C10" s="62"/>
      <c r="D10" s="63" t="s">
        <v>22</v>
      </c>
      <c r="E10" s="64">
        <v>8</v>
      </c>
      <c r="F10" s="199">
        <f t="shared" si="3"/>
        <v>130</v>
      </c>
      <c r="G10" s="609">
        <v>130</v>
      </c>
      <c r="H10" s="84"/>
      <c r="I10" s="85"/>
      <c r="J10" s="306"/>
      <c r="K10" s="85"/>
      <c r="L10" s="86"/>
      <c r="M10" s="199"/>
      <c r="N10" s="418"/>
      <c r="O10" s="428">
        <f t="shared" si="1"/>
        <v>0</v>
      </c>
      <c r="P10" s="87" t="e">
        <f>N10/titl!$H$17*12</f>
        <v>#DIV/0!</v>
      </c>
      <c r="Q10" s="87">
        <v>230</v>
      </c>
      <c r="R10" s="546"/>
      <c r="S10" s="517"/>
    </row>
    <row r="11" spans="1:19" s="65" customFormat="1" ht="12">
      <c r="A11" s="61"/>
      <c r="B11" s="62"/>
      <c r="C11" s="62"/>
      <c r="D11" s="63" t="s">
        <v>23</v>
      </c>
      <c r="E11" s="64">
        <v>9</v>
      </c>
      <c r="F11" s="199">
        <f t="shared" si="3"/>
        <v>2349</v>
      </c>
      <c r="G11" s="609">
        <v>1400</v>
      </c>
      <c r="H11" s="84">
        <v>949</v>
      </c>
      <c r="I11" s="85"/>
      <c r="J11" s="306"/>
      <c r="K11" s="85"/>
      <c r="L11" s="86"/>
      <c r="M11" s="199"/>
      <c r="N11" s="418"/>
      <c r="O11" s="428">
        <f t="shared" si="1"/>
        <v>0</v>
      </c>
      <c r="P11" s="87" t="e">
        <f>N11/titl!$H$17*12</f>
        <v>#DIV/0!</v>
      </c>
      <c r="Q11" s="87">
        <v>1856</v>
      </c>
      <c r="R11" s="546"/>
      <c r="S11" s="517"/>
    </row>
    <row r="12" spans="1:19" s="65" customFormat="1" ht="12">
      <c r="A12" s="61"/>
      <c r="B12" s="62"/>
      <c r="C12" s="62"/>
      <c r="D12" s="63" t="s">
        <v>24</v>
      </c>
      <c r="E12" s="64">
        <v>10</v>
      </c>
      <c r="F12" s="199">
        <f t="shared" si="3"/>
        <v>30</v>
      </c>
      <c r="G12" s="609">
        <v>30</v>
      </c>
      <c r="H12" s="84"/>
      <c r="I12" s="85"/>
      <c r="J12" s="306"/>
      <c r="K12" s="85"/>
      <c r="L12" s="86"/>
      <c r="M12" s="199"/>
      <c r="N12" s="418"/>
      <c r="O12" s="428">
        <f t="shared" si="1"/>
        <v>0</v>
      </c>
      <c r="P12" s="87" t="e">
        <f>N12/titl!$H$17*12</f>
        <v>#DIV/0!</v>
      </c>
      <c r="Q12" s="87">
        <v>92</v>
      </c>
      <c r="R12" s="546"/>
      <c r="S12" s="517"/>
    </row>
    <row r="13" spans="1:19" s="65" customFormat="1" ht="12">
      <c r="A13" s="61"/>
      <c r="B13" s="62"/>
      <c r="C13" s="62"/>
      <c r="D13" s="63" t="s">
        <v>25</v>
      </c>
      <c r="E13" s="64">
        <v>11</v>
      </c>
      <c r="F13" s="199">
        <f t="shared" si="3"/>
        <v>590</v>
      </c>
      <c r="G13" s="609">
        <v>590</v>
      </c>
      <c r="H13" s="84"/>
      <c r="I13" s="85"/>
      <c r="J13" s="306"/>
      <c r="K13" s="85"/>
      <c r="L13" s="86"/>
      <c r="M13" s="199"/>
      <c r="N13" s="418"/>
      <c r="O13" s="428">
        <f t="shared" si="1"/>
        <v>0</v>
      </c>
      <c r="P13" s="850">
        <f>N13</f>
        <v>0</v>
      </c>
      <c r="Q13" s="87">
        <v>591</v>
      </c>
      <c r="R13" s="546"/>
      <c r="S13" s="517"/>
    </row>
    <row r="14" spans="1:19" s="65" customFormat="1" ht="12">
      <c r="A14" s="61"/>
      <c r="B14" s="62"/>
      <c r="C14" s="62"/>
      <c r="D14" s="63" t="s">
        <v>26</v>
      </c>
      <c r="E14" s="64">
        <v>12</v>
      </c>
      <c r="F14" s="199">
        <f t="shared" si="3"/>
        <v>0</v>
      </c>
      <c r="G14" s="609"/>
      <c r="H14" s="84"/>
      <c r="I14" s="85"/>
      <c r="J14" s="306"/>
      <c r="K14" s="85"/>
      <c r="L14" s="86"/>
      <c r="M14" s="199"/>
      <c r="N14" s="418"/>
      <c r="O14" s="428">
        <f t="shared" si="1"/>
        <v>0</v>
      </c>
      <c r="P14" s="87" t="e">
        <f>N14/titl!$H$17*12</f>
        <v>#DIV/0!</v>
      </c>
      <c r="Q14" s="87"/>
      <c r="R14" s="546"/>
      <c r="S14" s="517"/>
    </row>
    <row r="15" spans="1:19" s="65" customFormat="1" ht="12">
      <c r="A15" s="61"/>
      <c r="B15" s="62"/>
      <c r="C15" s="63"/>
      <c r="D15" s="63" t="s">
        <v>27</v>
      </c>
      <c r="E15" s="64">
        <v>13</v>
      </c>
      <c r="F15" s="199">
        <f t="shared" si="3"/>
        <v>336</v>
      </c>
      <c r="G15" s="609">
        <v>230</v>
      </c>
      <c r="H15" s="84"/>
      <c r="I15" s="85"/>
      <c r="J15" s="306"/>
      <c r="K15" s="242">
        <v>106</v>
      </c>
      <c r="L15" s="86"/>
      <c r="M15" s="199"/>
      <c r="N15" s="418"/>
      <c r="O15" s="428">
        <f t="shared" si="1"/>
        <v>0</v>
      </c>
      <c r="P15" s="87" t="e">
        <f>N15/titl!$H$17*12</f>
        <v>#DIV/0!</v>
      </c>
      <c r="Q15" s="87">
        <v>1402</v>
      </c>
      <c r="R15" s="546"/>
      <c r="S15" s="517"/>
    </row>
    <row r="16" spans="1:19" s="25" customFormat="1" ht="12">
      <c r="A16" s="21"/>
      <c r="B16" s="30" t="s">
        <v>28</v>
      </c>
      <c r="C16" s="27"/>
      <c r="D16" s="27"/>
      <c r="E16" s="28">
        <v>14</v>
      </c>
      <c r="F16" s="119">
        <f t="shared" si="3"/>
        <v>0</v>
      </c>
      <c r="G16" s="596"/>
      <c r="H16" s="89"/>
      <c r="I16" s="90"/>
      <c r="J16" s="307"/>
      <c r="K16" s="90"/>
      <c r="L16" s="91"/>
      <c r="M16" s="119"/>
      <c r="N16" s="419"/>
      <c r="O16" s="412">
        <f t="shared" si="1"/>
        <v>0</v>
      </c>
      <c r="P16" s="92">
        <f>P30</f>
        <v>0</v>
      </c>
      <c r="Q16" s="92"/>
      <c r="R16" s="255"/>
      <c r="S16" s="72"/>
    </row>
    <row r="17" spans="1:19" s="25" customFormat="1" ht="12">
      <c r="A17" s="21"/>
      <c r="B17" s="30" t="s">
        <v>30</v>
      </c>
      <c r="C17" s="27"/>
      <c r="D17" s="27"/>
      <c r="E17" s="28">
        <v>15</v>
      </c>
      <c r="F17" s="119">
        <f t="shared" si="3"/>
        <v>0</v>
      </c>
      <c r="G17" s="596"/>
      <c r="H17" s="89"/>
      <c r="I17" s="90"/>
      <c r="J17" s="307"/>
      <c r="K17" s="90"/>
      <c r="L17" s="91"/>
      <c r="M17" s="119"/>
      <c r="N17" s="419"/>
      <c r="O17" s="412">
        <f t="shared" si="1"/>
        <v>0</v>
      </c>
      <c r="P17" s="92">
        <f>P31</f>
        <v>0</v>
      </c>
      <c r="Q17" s="92"/>
      <c r="R17" s="255"/>
      <c r="S17" s="72"/>
    </row>
    <row r="18" spans="1:19" s="25" customFormat="1" ht="12">
      <c r="A18" s="21"/>
      <c r="B18" s="31" t="s">
        <v>32</v>
      </c>
      <c r="C18" s="32"/>
      <c r="D18" s="32"/>
      <c r="E18" s="33">
        <v>16</v>
      </c>
      <c r="F18" s="119">
        <f t="shared" si="3"/>
        <v>21505</v>
      </c>
      <c r="G18" s="596">
        <v>21505</v>
      </c>
      <c r="H18" s="89"/>
      <c r="I18" s="90"/>
      <c r="J18" s="307"/>
      <c r="K18" s="90"/>
      <c r="L18" s="91"/>
      <c r="M18" s="119">
        <f>M32</f>
        <v>0</v>
      </c>
      <c r="N18" s="419"/>
      <c r="O18" s="412">
        <f t="shared" si="1"/>
        <v>0</v>
      </c>
      <c r="P18" s="92">
        <f>P32</f>
        <v>0</v>
      </c>
      <c r="Q18" s="92">
        <v>20897</v>
      </c>
      <c r="R18" s="255"/>
      <c r="S18" s="72"/>
    </row>
    <row r="19" spans="1:19" s="25" customFormat="1" ht="12">
      <c r="A19" s="21"/>
      <c r="B19" s="31" t="s">
        <v>34</v>
      </c>
      <c r="C19" s="32"/>
      <c r="D19" s="32"/>
      <c r="E19" s="33">
        <v>17</v>
      </c>
      <c r="F19" s="119">
        <f t="shared" si="3"/>
        <v>0</v>
      </c>
      <c r="G19" s="596"/>
      <c r="H19" s="89"/>
      <c r="I19" s="90"/>
      <c r="J19" s="307"/>
      <c r="K19" s="90"/>
      <c r="L19" s="91"/>
      <c r="M19" s="119"/>
      <c r="N19" s="419"/>
      <c r="O19" s="412">
        <f t="shared" si="1"/>
        <v>0</v>
      </c>
      <c r="P19" s="92">
        <f>P33</f>
        <v>0</v>
      </c>
      <c r="Q19" s="92"/>
      <c r="R19" s="255"/>
      <c r="S19" s="72"/>
    </row>
    <row r="20" spans="1:19" s="25" customFormat="1" ht="12">
      <c r="A20" s="21"/>
      <c r="B20" s="31" t="s">
        <v>36</v>
      </c>
      <c r="C20" s="31"/>
      <c r="D20" s="31"/>
      <c r="E20" s="33">
        <v>18</v>
      </c>
      <c r="F20" s="119">
        <f t="shared" si="3"/>
        <v>0</v>
      </c>
      <c r="G20" s="596"/>
      <c r="H20" s="89"/>
      <c r="I20" s="90"/>
      <c r="J20" s="307"/>
      <c r="K20" s="90"/>
      <c r="L20" s="91"/>
      <c r="M20" s="119"/>
      <c r="N20" s="419"/>
      <c r="O20" s="412">
        <f aca="true" t="shared" si="4" ref="O20:O32">IF(F20=0,0,N20/F20)</f>
        <v>0</v>
      </c>
      <c r="P20" s="92">
        <f>P35</f>
        <v>0</v>
      </c>
      <c r="Q20" s="92"/>
      <c r="R20" s="255"/>
      <c r="S20" s="72"/>
    </row>
    <row r="21" spans="1:19" s="640" customFormat="1" ht="12">
      <c r="A21" s="628"/>
      <c r="B21" s="629" t="s">
        <v>175</v>
      </c>
      <c r="C21" s="629"/>
      <c r="D21" s="629"/>
      <c r="E21" s="630">
        <v>19</v>
      </c>
      <c r="F21" s="631">
        <f t="shared" si="3"/>
        <v>4500</v>
      </c>
      <c r="G21" s="643">
        <v>4500</v>
      </c>
      <c r="H21" s="644"/>
      <c r="I21" s="645"/>
      <c r="J21" s="646"/>
      <c r="K21" s="645"/>
      <c r="L21" s="647"/>
      <c r="M21" s="631"/>
      <c r="N21" s="637"/>
      <c r="O21" s="638">
        <f t="shared" si="4"/>
        <v>0</v>
      </c>
      <c r="P21" s="631">
        <f>N21</f>
        <v>0</v>
      </c>
      <c r="Q21" s="631">
        <v>4103</v>
      </c>
      <c r="R21" s="252"/>
      <c r="S21" s="51"/>
    </row>
    <row r="22" spans="1:19" s="25" customFormat="1" ht="12">
      <c r="A22" s="21"/>
      <c r="B22" s="31" t="s">
        <v>40</v>
      </c>
      <c r="C22" s="31"/>
      <c r="D22" s="31"/>
      <c r="E22" s="33">
        <v>20</v>
      </c>
      <c r="F22" s="119">
        <f t="shared" si="3"/>
        <v>0</v>
      </c>
      <c r="G22" s="596"/>
      <c r="H22" s="89"/>
      <c r="I22" s="90"/>
      <c r="J22" s="307"/>
      <c r="K22" s="90"/>
      <c r="L22" s="91"/>
      <c r="M22" s="119"/>
      <c r="N22" s="419"/>
      <c r="O22" s="412">
        <f t="shared" si="4"/>
        <v>0</v>
      </c>
      <c r="P22" s="92">
        <f>P37</f>
        <v>0</v>
      </c>
      <c r="Q22" s="92">
        <v>925</v>
      </c>
      <c r="R22" s="255"/>
      <c r="S22" s="72"/>
    </row>
    <row r="23" spans="1:19" s="25" customFormat="1" ht="12">
      <c r="A23" s="21"/>
      <c r="B23" s="31" t="s">
        <v>42</v>
      </c>
      <c r="C23" s="31"/>
      <c r="D23" s="31"/>
      <c r="E23" s="33">
        <v>21</v>
      </c>
      <c r="F23" s="119">
        <f t="shared" si="3"/>
        <v>0</v>
      </c>
      <c r="G23" s="596"/>
      <c r="H23" s="89"/>
      <c r="I23" s="90"/>
      <c r="J23" s="307"/>
      <c r="K23" s="90"/>
      <c r="L23" s="91"/>
      <c r="M23" s="119"/>
      <c r="N23" s="419"/>
      <c r="O23" s="412">
        <f t="shared" si="4"/>
        <v>0</v>
      </c>
      <c r="P23" s="92">
        <f>P39</f>
        <v>0</v>
      </c>
      <c r="Q23" s="92"/>
      <c r="R23" s="255"/>
      <c r="S23" s="72"/>
    </row>
    <row r="24" spans="1:19" s="25" customFormat="1" ht="12">
      <c r="A24" s="21"/>
      <c r="B24" s="31" t="s">
        <v>43</v>
      </c>
      <c r="C24" s="31"/>
      <c r="D24" s="31"/>
      <c r="E24" s="33">
        <v>22</v>
      </c>
      <c r="F24" s="119">
        <f t="shared" si="3"/>
        <v>0</v>
      </c>
      <c r="G24" s="611"/>
      <c r="H24" s="89"/>
      <c r="I24" s="90"/>
      <c r="J24" s="307"/>
      <c r="K24" s="90"/>
      <c r="L24" s="91"/>
      <c r="M24" s="119">
        <f>M40</f>
        <v>0</v>
      </c>
      <c r="N24" s="419"/>
      <c r="O24" s="412">
        <f t="shared" si="4"/>
        <v>0</v>
      </c>
      <c r="P24" s="92">
        <f>P40</f>
        <v>0</v>
      </c>
      <c r="Q24" s="92">
        <v>100</v>
      </c>
      <c r="R24" s="255"/>
      <c r="S24" s="72"/>
    </row>
    <row r="25" spans="1:19" s="640" customFormat="1" ht="12">
      <c r="A25" s="628"/>
      <c r="B25" s="629" t="s">
        <v>186</v>
      </c>
      <c r="C25" s="629"/>
      <c r="D25" s="629"/>
      <c r="E25" s="630">
        <v>23</v>
      </c>
      <c r="F25" s="631">
        <f t="shared" si="3"/>
        <v>0</v>
      </c>
      <c r="G25" s="643"/>
      <c r="H25" s="644"/>
      <c r="I25" s="645"/>
      <c r="J25" s="646"/>
      <c r="K25" s="645"/>
      <c r="L25" s="647"/>
      <c r="M25" s="631"/>
      <c r="N25" s="637"/>
      <c r="O25" s="638">
        <f t="shared" si="4"/>
        <v>0</v>
      </c>
      <c r="P25" s="631">
        <f>P41</f>
        <v>0</v>
      </c>
      <c r="Q25" s="631"/>
      <c r="R25" s="252"/>
      <c r="S25" s="51"/>
    </row>
    <row r="26" spans="1:19" s="25" customFormat="1" ht="12">
      <c r="A26" s="21"/>
      <c r="B26" s="31" t="s">
        <v>45</v>
      </c>
      <c r="C26" s="31"/>
      <c r="D26" s="31"/>
      <c r="E26" s="33">
        <v>24</v>
      </c>
      <c r="F26" s="119">
        <f t="shared" si="3"/>
        <v>0</v>
      </c>
      <c r="G26" s="596"/>
      <c r="H26" s="89"/>
      <c r="I26" s="90"/>
      <c r="J26" s="307"/>
      <c r="K26" s="90"/>
      <c r="L26" s="91"/>
      <c r="M26" s="119"/>
      <c r="N26" s="419"/>
      <c r="O26" s="412">
        <f t="shared" si="4"/>
        <v>0</v>
      </c>
      <c r="P26" s="92">
        <f>P42</f>
        <v>0</v>
      </c>
      <c r="Q26" s="92"/>
      <c r="R26" s="255"/>
      <c r="S26" s="72"/>
    </row>
    <row r="27" spans="1:19" s="25" customFormat="1" ht="12.75" thickBot="1">
      <c r="A27" s="21"/>
      <c r="B27" s="30" t="s">
        <v>47</v>
      </c>
      <c r="C27" s="30"/>
      <c r="D27" s="30"/>
      <c r="E27" s="28">
        <v>25</v>
      </c>
      <c r="F27" s="119">
        <f t="shared" si="3"/>
        <v>0</v>
      </c>
      <c r="G27" s="596"/>
      <c r="H27" s="89"/>
      <c r="I27" s="90"/>
      <c r="J27" s="307"/>
      <c r="K27" s="90"/>
      <c r="L27" s="91"/>
      <c r="M27" s="119"/>
      <c r="N27" s="419"/>
      <c r="O27" s="412">
        <f t="shared" si="4"/>
        <v>0</v>
      </c>
      <c r="P27" s="92" t="e">
        <f>N27/titl!$H$17*12</f>
        <v>#DIV/0!</v>
      </c>
      <c r="Q27" s="92"/>
      <c r="R27" s="255"/>
      <c r="S27" s="72"/>
    </row>
    <row r="28" spans="1:17" ht="13.5" thickBot="1">
      <c r="A28" s="37" t="s">
        <v>49</v>
      </c>
      <c r="B28" s="38"/>
      <c r="C28" s="38"/>
      <c r="D28" s="38"/>
      <c r="E28" s="19">
        <v>26</v>
      </c>
      <c r="F28" s="197">
        <f>SUM(F29:F45)</f>
        <v>30840</v>
      </c>
      <c r="G28" s="597">
        <f aca="true" t="shared" si="5" ref="G28:L28">SUM(G29:G45)</f>
        <v>29785</v>
      </c>
      <c r="H28" s="125">
        <f t="shared" si="5"/>
        <v>949</v>
      </c>
      <c r="I28" s="77">
        <f t="shared" si="5"/>
        <v>0</v>
      </c>
      <c r="J28" s="304">
        <f t="shared" si="5"/>
        <v>0</v>
      </c>
      <c r="K28" s="77">
        <f t="shared" si="5"/>
        <v>106</v>
      </c>
      <c r="L28" s="76">
        <f t="shared" si="5"/>
        <v>0</v>
      </c>
      <c r="M28" s="197">
        <f>SUM(M29:M45)</f>
        <v>0</v>
      </c>
      <c r="N28" s="471">
        <f>SUM(N29:N45)</f>
        <v>0</v>
      </c>
      <c r="O28" s="413">
        <f t="shared" si="4"/>
        <v>0</v>
      </c>
      <c r="P28" s="78" t="e">
        <f>SUM(P29:P45)</f>
        <v>#DIV/0!</v>
      </c>
      <c r="Q28" s="78">
        <f>SUM(Q29:Q45)</f>
        <v>31561</v>
      </c>
    </row>
    <row r="29" spans="1:19" s="25" customFormat="1" ht="12">
      <c r="A29" s="21" t="s">
        <v>14</v>
      </c>
      <c r="B29" s="27" t="s">
        <v>50</v>
      </c>
      <c r="C29" s="27"/>
      <c r="D29" s="27"/>
      <c r="E29" s="28">
        <v>27</v>
      </c>
      <c r="F29" s="119">
        <f t="shared" si="3"/>
        <v>3221</v>
      </c>
      <c r="G29" s="594">
        <v>3221</v>
      </c>
      <c r="H29" s="112"/>
      <c r="I29" s="81"/>
      <c r="J29" s="305"/>
      <c r="K29" s="81"/>
      <c r="L29" s="80"/>
      <c r="M29" s="198"/>
      <c r="N29" s="417"/>
      <c r="O29" s="414">
        <f t="shared" si="4"/>
        <v>0</v>
      </c>
      <c r="P29" s="82">
        <f>M29</f>
        <v>0</v>
      </c>
      <c r="Q29" s="82">
        <v>3337</v>
      </c>
      <c r="R29" s="825">
        <v>949</v>
      </c>
      <c r="S29" s="72"/>
    </row>
    <row r="30" spans="1:19" s="25" customFormat="1" ht="12">
      <c r="A30" s="21"/>
      <c r="B30" s="30" t="s">
        <v>28</v>
      </c>
      <c r="C30" s="30"/>
      <c r="D30" s="30"/>
      <c r="E30" s="28">
        <v>28</v>
      </c>
      <c r="F30" s="119">
        <f t="shared" si="3"/>
        <v>0</v>
      </c>
      <c r="G30" s="499"/>
      <c r="H30" s="126"/>
      <c r="I30" s="95"/>
      <c r="J30" s="308"/>
      <c r="K30" s="95"/>
      <c r="L30" s="94"/>
      <c r="M30" s="472"/>
      <c r="N30" s="420"/>
      <c r="O30" s="414">
        <f t="shared" si="4"/>
        <v>0</v>
      </c>
      <c r="P30" s="96">
        <f aca="true" t="shared" si="6" ref="P30:P41">F30</f>
        <v>0</v>
      </c>
      <c r="Q30" s="96"/>
      <c r="R30" s="255"/>
      <c r="S30" s="72"/>
    </row>
    <row r="31" spans="1:19" s="25" customFormat="1" ht="12">
      <c r="A31" s="21"/>
      <c r="B31" s="30" t="s">
        <v>30</v>
      </c>
      <c r="C31" s="30"/>
      <c r="D31" s="30"/>
      <c r="E31" s="28">
        <v>29</v>
      </c>
      <c r="F31" s="119">
        <f t="shared" si="3"/>
        <v>0</v>
      </c>
      <c r="G31" s="499"/>
      <c r="H31" s="126"/>
      <c r="I31" s="95"/>
      <c r="J31" s="308"/>
      <c r="K31" s="95"/>
      <c r="L31" s="94"/>
      <c r="M31" s="472"/>
      <c r="N31" s="420"/>
      <c r="O31" s="414">
        <f t="shared" si="4"/>
        <v>0</v>
      </c>
      <c r="P31" s="96">
        <f t="shared" si="6"/>
        <v>0</v>
      </c>
      <c r="Q31" s="96"/>
      <c r="R31" s="255"/>
      <c r="S31" s="72"/>
    </row>
    <row r="32" spans="1:20" s="25" customFormat="1" ht="12">
      <c r="A32" s="21"/>
      <c r="B32" s="31" t="s">
        <v>32</v>
      </c>
      <c r="C32" s="32"/>
      <c r="D32" s="32"/>
      <c r="E32" s="33">
        <v>30</v>
      </c>
      <c r="F32" s="119">
        <f t="shared" si="3"/>
        <v>21505</v>
      </c>
      <c r="G32" s="499">
        <f>G18</f>
        <v>21505</v>
      </c>
      <c r="H32" s="126"/>
      <c r="I32" s="95"/>
      <c r="J32" s="308"/>
      <c r="K32" s="95"/>
      <c r="L32" s="94"/>
      <c r="M32" s="472"/>
      <c r="N32" s="420"/>
      <c r="O32" s="414">
        <f t="shared" si="4"/>
        <v>0</v>
      </c>
      <c r="P32" s="96">
        <f>M32</f>
        <v>0</v>
      </c>
      <c r="Q32" s="96">
        <f>Q18</f>
        <v>20897</v>
      </c>
      <c r="R32" s="255"/>
      <c r="S32" s="72"/>
      <c r="T32" s="25">
        <v>22250</v>
      </c>
    </row>
    <row r="33" spans="1:19" s="25" customFormat="1" ht="12">
      <c r="A33" s="21"/>
      <c r="B33" s="31" t="s">
        <v>34</v>
      </c>
      <c r="C33" s="31"/>
      <c r="D33" s="31"/>
      <c r="E33" s="33">
        <v>31</v>
      </c>
      <c r="F33" s="119">
        <f t="shared" si="3"/>
        <v>0</v>
      </c>
      <c r="G33" s="499"/>
      <c r="H33" s="126"/>
      <c r="I33" s="95"/>
      <c r="J33" s="308"/>
      <c r="K33" s="95"/>
      <c r="L33" s="94"/>
      <c r="M33" s="472"/>
      <c r="N33" s="420"/>
      <c r="O33" s="414">
        <f aca="true" t="shared" si="7" ref="O33:O40">IF(F33=0,0,N33/F33)</f>
        <v>0</v>
      </c>
      <c r="P33" s="96">
        <f t="shared" si="6"/>
        <v>0</v>
      </c>
      <c r="Q33" s="96"/>
      <c r="R33" s="255"/>
      <c r="S33" s="72"/>
    </row>
    <row r="34" spans="1:19" s="25" customFormat="1" ht="12">
      <c r="A34" s="21"/>
      <c r="B34" s="31" t="s">
        <v>52</v>
      </c>
      <c r="C34" s="31"/>
      <c r="D34" s="31"/>
      <c r="E34" s="33">
        <v>32</v>
      </c>
      <c r="F34" s="119">
        <f t="shared" si="3"/>
        <v>0</v>
      </c>
      <c r="G34" s="499"/>
      <c r="H34" s="126"/>
      <c r="I34" s="95"/>
      <c r="J34" s="308"/>
      <c r="K34" s="95"/>
      <c r="L34" s="94"/>
      <c r="M34" s="472"/>
      <c r="N34" s="420"/>
      <c r="O34" s="414">
        <f t="shared" si="7"/>
        <v>0</v>
      </c>
      <c r="P34" s="96">
        <f t="shared" si="6"/>
        <v>0</v>
      </c>
      <c r="Q34" s="96"/>
      <c r="R34" s="255"/>
      <c r="S34" s="72"/>
    </row>
    <row r="35" spans="1:19" s="25" customFormat="1" ht="12">
      <c r="A35" s="21"/>
      <c r="B35" s="31" t="s">
        <v>36</v>
      </c>
      <c r="C35" s="31"/>
      <c r="D35" s="31"/>
      <c r="E35" s="33">
        <v>33</v>
      </c>
      <c r="F35" s="119">
        <f t="shared" si="3"/>
        <v>0</v>
      </c>
      <c r="G35" s="499"/>
      <c r="H35" s="126"/>
      <c r="I35" s="95"/>
      <c r="J35" s="308"/>
      <c r="K35" s="95"/>
      <c r="L35" s="94"/>
      <c r="M35" s="472"/>
      <c r="N35" s="420"/>
      <c r="O35" s="414">
        <f t="shared" si="7"/>
        <v>0</v>
      </c>
      <c r="P35" s="96">
        <f t="shared" si="6"/>
        <v>0</v>
      </c>
      <c r="Q35" s="96"/>
      <c r="R35" s="255"/>
      <c r="S35" s="72"/>
    </row>
    <row r="36" spans="1:19" s="640" customFormat="1" ht="12">
      <c r="A36" s="628"/>
      <c r="B36" s="629" t="s">
        <v>175</v>
      </c>
      <c r="C36" s="629"/>
      <c r="D36" s="629"/>
      <c r="E36" s="630">
        <v>34</v>
      </c>
      <c r="F36" s="631">
        <f t="shared" si="3"/>
        <v>4500</v>
      </c>
      <c r="G36" s="649">
        <f>G21</f>
        <v>4500</v>
      </c>
      <c r="H36" s="633"/>
      <c r="I36" s="634"/>
      <c r="J36" s="635"/>
      <c r="K36" s="634"/>
      <c r="L36" s="636"/>
      <c r="M36" s="632"/>
      <c r="N36" s="641"/>
      <c r="O36" s="734">
        <f t="shared" si="7"/>
        <v>0</v>
      </c>
      <c r="P36" s="632">
        <f>P21</f>
        <v>0</v>
      </c>
      <c r="Q36" s="632">
        <f>Q21</f>
        <v>4103</v>
      </c>
      <c r="R36" s="252"/>
      <c r="S36" s="51"/>
    </row>
    <row r="37" spans="1:19" s="25" customFormat="1" ht="12">
      <c r="A37" s="21"/>
      <c r="B37" s="31" t="s">
        <v>54</v>
      </c>
      <c r="C37" s="31"/>
      <c r="D37" s="31"/>
      <c r="E37" s="33">
        <v>35</v>
      </c>
      <c r="F37" s="119">
        <f t="shared" si="3"/>
        <v>0</v>
      </c>
      <c r="G37" s="499">
        <f>G22</f>
        <v>0</v>
      </c>
      <c r="H37" s="126"/>
      <c r="I37" s="95"/>
      <c r="J37" s="308"/>
      <c r="K37" s="95"/>
      <c r="L37" s="94"/>
      <c r="M37" s="472"/>
      <c r="N37" s="420"/>
      <c r="O37" s="414">
        <f t="shared" si="7"/>
        <v>0</v>
      </c>
      <c r="P37" s="96">
        <f>N37</f>
        <v>0</v>
      </c>
      <c r="Q37" s="96">
        <f>Q22</f>
        <v>925</v>
      </c>
      <c r="R37" s="255"/>
      <c r="S37" s="72"/>
    </row>
    <row r="38" spans="1:19" s="25" customFormat="1" ht="12">
      <c r="A38" s="21"/>
      <c r="B38" s="31" t="s">
        <v>170</v>
      </c>
      <c r="C38" s="31"/>
      <c r="D38" s="31"/>
      <c r="E38" s="33">
        <v>36</v>
      </c>
      <c r="F38" s="119">
        <f t="shared" si="3"/>
        <v>0</v>
      </c>
      <c r="G38" s="499"/>
      <c r="H38" s="126"/>
      <c r="I38" s="95"/>
      <c r="J38" s="308"/>
      <c r="K38" s="95"/>
      <c r="L38" s="94"/>
      <c r="M38" s="472"/>
      <c r="N38" s="420"/>
      <c r="O38" s="414">
        <f t="shared" si="7"/>
        <v>0</v>
      </c>
      <c r="P38" s="96">
        <f t="shared" si="6"/>
        <v>0</v>
      </c>
      <c r="Q38" s="96"/>
      <c r="R38" s="255"/>
      <c r="S38" s="72"/>
    </row>
    <row r="39" spans="1:19" s="25" customFormat="1" ht="12">
      <c r="A39" s="21"/>
      <c r="B39" s="31" t="s">
        <v>56</v>
      </c>
      <c r="C39" s="31"/>
      <c r="D39" s="31"/>
      <c r="E39" s="33">
        <v>37</v>
      </c>
      <c r="F39" s="119">
        <f t="shared" si="3"/>
        <v>0</v>
      </c>
      <c r="G39" s="499"/>
      <c r="H39" s="126"/>
      <c r="I39" s="95"/>
      <c r="J39" s="308"/>
      <c r="K39" s="95"/>
      <c r="L39" s="94"/>
      <c r="M39" s="472"/>
      <c r="N39" s="420"/>
      <c r="O39" s="414">
        <f t="shared" si="7"/>
        <v>0</v>
      </c>
      <c r="P39" s="96">
        <f t="shared" si="6"/>
        <v>0</v>
      </c>
      <c r="Q39" s="96"/>
      <c r="R39" s="255"/>
      <c r="S39" s="72"/>
    </row>
    <row r="40" spans="1:19" s="25" customFormat="1" ht="12">
      <c r="A40" s="21"/>
      <c r="B40" s="31" t="s">
        <v>57</v>
      </c>
      <c r="C40" s="31"/>
      <c r="D40" s="31"/>
      <c r="E40" s="33">
        <v>38</v>
      </c>
      <c r="F40" s="119">
        <f t="shared" si="3"/>
        <v>0</v>
      </c>
      <c r="G40" s="886">
        <f>G24</f>
        <v>0</v>
      </c>
      <c r="H40" s="126"/>
      <c r="I40" s="95"/>
      <c r="J40" s="308"/>
      <c r="K40" s="95"/>
      <c r="L40" s="94"/>
      <c r="M40" s="472"/>
      <c r="N40" s="420"/>
      <c r="O40" s="414">
        <f t="shared" si="7"/>
        <v>0</v>
      </c>
      <c r="P40" s="96">
        <f>M40</f>
        <v>0</v>
      </c>
      <c r="Q40" s="96">
        <f>Q24</f>
        <v>100</v>
      </c>
      <c r="R40" s="255"/>
      <c r="S40" s="72"/>
    </row>
    <row r="41" spans="1:19" s="640" customFormat="1" ht="12">
      <c r="A41" s="628"/>
      <c r="B41" s="629" t="s">
        <v>186</v>
      </c>
      <c r="C41" s="629"/>
      <c r="D41" s="629"/>
      <c r="E41" s="630">
        <v>39</v>
      </c>
      <c r="F41" s="631">
        <f t="shared" si="3"/>
        <v>0</v>
      </c>
      <c r="G41" s="649"/>
      <c r="H41" s="633"/>
      <c r="I41" s="634"/>
      <c r="J41" s="635"/>
      <c r="K41" s="634"/>
      <c r="L41" s="636"/>
      <c r="M41" s="632"/>
      <c r="N41" s="641"/>
      <c r="O41" s="734">
        <f>IF(F41=0,0,N41/F41)</f>
        <v>0</v>
      </c>
      <c r="P41" s="632">
        <f t="shared" si="6"/>
        <v>0</v>
      </c>
      <c r="Q41" s="632"/>
      <c r="R41" s="252"/>
      <c r="S41" s="51"/>
    </row>
    <row r="42" spans="1:19" s="25" customFormat="1" ht="12">
      <c r="A42" s="21"/>
      <c r="B42" s="31" t="s">
        <v>58</v>
      </c>
      <c r="C42" s="31"/>
      <c r="D42" s="31"/>
      <c r="E42" s="33">
        <v>40</v>
      </c>
      <c r="F42" s="119">
        <f t="shared" si="3"/>
        <v>0</v>
      </c>
      <c r="G42" s="499"/>
      <c r="H42" s="126"/>
      <c r="I42" s="95"/>
      <c r="J42" s="308"/>
      <c r="K42" s="95"/>
      <c r="L42" s="94"/>
      <c r="M42" s="472"/>
      <c r="N42" s="420"/>
      <c r="O42" s="414">
        <f>IF(F42=0,0,N42/F42)</f>
        <v>0</v>
      </c>
      <c r="P42" s="96">
        <f>N42</f>
        <v>0</v>
      </c>
      <c r="Q42" s="96"/>
      <c r="R42" s="255"/>
      <c r="S42" s="72"/>
    </row>
    <row r="43" spans="1:19" s="25" customFormat="1" ht="12">
      <c r="A43" s="21"/>
      <c r="B43" s="31" t="s">
        <v>59</v>
      </c>
      <c r="C43" s="31"/>
      <c r="D43" s="31"/>
      <c r="E43" s="33">
        <v>41</v>
      </c>
      <c r="F43" s="119">
        <f t="shared" si="3"/>
        <v>559</v>
      </c>
      <c r="G43" s="499">
        <v>559</v>
      </c>
      <c r="H43" s="126"/>
      <c r="I43" s="95"/>
      <c r="J43" s="308"/>
      <c r="K43" s="95"/>
      <c r="L43" s="94"/>
      <c r="M43" s="472"/>
      <c r="N43" s="420"/>
      <c r="O43" s="414">
        <f>IF(F43=0,0,N43/F43)</f>
        <v>0</v>
      </c>
      <c r="P43" s="96" t="e">
        <f>N43/titl!H17*12</f>
        <v>#DIV/0!</v>
      </c>
      <c r="Q43" s="96">
        <v>1026</v>
      </c>
      <c r="R43" s="255"/>
      <c r="S43" s="72"/>
    </row>
    <row r="44" spans="1:19" s="25" customFormat="1" ht="12">
      <c r="A44" s="21"/>
      <c r="B44" s="31" t="s">
        <v>60</v>
      </c>
      <c r="C44" s="31"/>
      <c r="D44" s="31"/>
      <c r="E44" s="33">
        <v>42</v>
      </c>
      <c r="F44" s="119">
        <f t="shared" si="3"/>
        <v>1055</v>
      </c>
      <c r="G44" s="612"/>
      <c r="H44" s="126">
        <f>H11</f>
        <v>949</v>
      </c>
      <c r="I44" s="95"/>
      <c r="J44" s="308"/>
      <c r="K44" s="159">
        <f>K15</f>
        <v>106</v>
      </c>
      <c r="L44" s="94"/>
      <c r="M44" s="472"/>
      <c r="N44" s="420"/>
      <c r="O44" s="428">
        <f>IF(F44=0,0,N44/F44)</f>
        <v>0</v>
      </c>
      <c r="P44" s="96">
        <f>N44</f>
        <v>0</v>
      </c>
      <c r="Q44" s="96">
        <v>1173</v>
      </c>
      <c r="R44" s="255"/>
      <c r="S44" s="255">
        <v>2</v>
      </c>
    </row>
    <row r="45" spans="1:19" s="25" customFormat="1" ht="12.75" thickBot="1">
      <c r="A45" s="40"/>
      <c r="B45" s="41" t="s">
        <v>47</v>
      </c>
      <c r="C45" s="41"/>
      <c r="D45" s="41"/>
      <c r="E45" s="42">
        <v>43</v>
      </c>
      <c r="F45" s="200">
        <f t="shared" si="3"/>
        <v>0</v>
      </c>
      <c r="G45" s="500"/>
      <c r="H45" s="174"/>
      <c r="I45" s="99"/>
      <c r="J45" s="309"/>
      <c r="K45" s="99"/>
      <c r="L45" s="98"/>
      <c r="M45" s="200"/>
      <c r="N45" s="421"/>
      <c r="O45" s="415">
        <f>IF(F45=0,0,N45/F45)</f>
        <v>0</v>
      </c>
      <c r="P45" s="92" t="e">
        <f>N45/titl!$H$17*12</f>
        <v>#DIV/0!</v>
      </c>
      <c r="Q45" s="100"/>
      <c r="R45" s="255"/>
      <c r="S45" s="72"/>
    </row>
    <row r="46" spans="1:19" s="25" customFormat="1" ht="12.75" hidden="1" thickBot="1">
      <c r="A46" s="44" t="s">
        <v>61</v>
      </c>
      <c r="B46" s="45"/>
      <c r="C46" s="45"/>
      <c r="D46" s="45"/>
      <c r="E46" s="28">
        <v>44</v>
      </c>
      <c r="F46" s="201">
        <f>F29+F34+F38+F43+F44+F45-F4-F27</f>
        <v>65</v>
      </c>
      <c r="G46" s="613">
        <f>G29+G34+G38+G43+G45-G4-G27</f>
        <v>65</v>
      </c>
      <c r="H46" s="102">
        <f>H29+H34+H38+H43+H44+H45-H4-H27</f>
        <v>0</v>
      </c>
      <c r="I46" s="102">
        <f>I29+I34+I38+I43+I44+I45-I4-I27</f>
        <v>0</v>
      </c>
      <c r="J46" s="102">
        <f>J29+J34+J38+J43+J44+J45-J4-J27</f>
        <v>0</v>
      </c>
      <c r="K46" s="320"/>
      <c r="L46" s="102">
        <f>L29+L34+L38+L43+L44+L45-L4-L27</f>
        <v>0</v>
      </c>
      <c r="M46" s="201">
        <f>M29+M34+M38+M43+M44+M45+-M4-M27</f>
        <v>0</v>
      </c>
      <c r="N46" s="422">
        <f>N29+N34+N38+N43+N44+N45-N4-N27</f>
        <v>0</v>
      </c>
      <c r="O46" s="416"/>
      <c r="P46" s="103" t="e">
        <f>P29+P34+P38+P43+P44+P45-P4-P27</f>
        <v>#DIV/0!</v>
      </c>
      <c r="Q46" s="103">
        <f>Q29+Q34+Q38+Q43+Q44+Q45-Q4-Q27</f>
        <v>-17</v>
      </c>
      <c r="R46" s="255"/>
      <c r="S46" s="72"/>
    </row>
    <row r="47" spans="1:17" ht="13.5" thickBot="1">
      <c r="A47" s="37" t="s">
        <v>62</v>
      </c>
      <c r="B47" s="38"/>
      <c r="C47" s="38"/>
      <c r="D47" s="38"/>
      <c r="E47" s="19">
        <v>45</v>
      </c>
      <c r="F47" s="197">
        <f>F28-F3</f>
        <v>65</v>
      </c>
      <c r="G47" s="597">
        <f aca="true" t="shared" si="8" ref="G47:N47">G28-G3</f>
        <v>65</v>
      </c>
      <c r="H47" s="125">
        <f t="shared" si="8"/>
        <v>0</v>
      </c>
      <c r="I47" s="77">
        <f t="shared" si="8"/>
        <v>0</v>
      </c>
      <c r="J47" s="304">
        <f t="shared" si="8"/>
        <v>0</v>
      </c>
      <c r="K47" s="77">
        <f t="shared" si="8"/>
        <v>0</v>
      </c>
      <c r="L47" s="76">
        <f t="shared" si="8"/>
        <v>0</v>
      </c>
      <c r="M47" s="197">
        <f>M28-M3</f>
        <v>0</v>
      </c>
      <c r="N47" s="471">
        <f t="shared" si="8"/>
        <v>0</v>
      </c>
      <c r="O47" s="413"/>
      <c r="P47" s="78" t="e">
        <f>P28-P3</f>
        <v>#DIV/0!</v>
      </c>
      <c r="Q47" s="78">
        <f>Q28-Q3</f>
        <v>-17</v>
      </c>
    </row>
    <row r="48" spans="1:5" ht="9.75" customHeight="1">
      <c r="A48" s="47"/>
      <c r="B48" s="47"/>
      <c r="C48" s="47"/>
      <c r="D48" s="47"/>
      <c r="E48" s="48"/>
    </row>
    <row r="49" spans="5:19" s="47" customFormat="1" ht="8.25" customHeight="1">
      <c r="E49" s="48"/>
      <c r="G49" s="59"/>
      <c r="H49" s="59"/>
      <c r="I49" s="59"/>
      <c r="J49" s="59"/>
      <c r="K49" s="59"/>
      <c r="L49" s="59"/>
      <c r="M49" s="59"/>
      <c r="N49" s="59"/>
      <c r="O49" s="401"/>
      <c r="P49" s="401"/>
      <c r="Q49" s="405"/>
      <c r="R49" s="255"/>
      <c r="S49" s="72"/>
    </row>
    <row r="50" spans="1:19" s="47" customFormat="1" ht="11.25">
      <c r="A50" s="51" t="s">
        <v>166</v>
      </c>
      <c r="E50" s="48"/>
      <c r="F50" s="202"/>
      <c r="G50" s="59"/>
      <c r="I50" s="109"/>
      <c r="L50" s="59"/>
      <c r="M50" s="59"/>
      <c r="N50" s="59"/>
      <c r="O50" s="401"/>
      <c r="P50" s="401"/>
      <c r="Q50" s="405"/>
      <c r="R50" s="255"/>
      <c r="S50" s="72"/>
    </row>
    <row r="51" spans="5:19" s="51" customFormat="1" ht="11.25">
      <c r="E51" s="53"/>
      <c r="G51" s="72"/>
      <c r="H51" s="72"/>
      <c r="I51" s="72"/>
      <c r="J51" s="72"/>
      <c r="K51" s="72"/>
      <c r="L51" s="72"/>
      <c r="M51" s="72"/>
      <c r="N51" s="72"/>
      <c r="O51" s="401"/>
      <c r="P51" s="401"/>
      <c r="Q51" s="405"/>
      <c r="R51" s="255"/>
      <c r="S51" s="72"/>
    </row>
    <row r="52" spans="5:19" s="51" customFormat="1" ht="11.25">
      <c r="E52" s="53"/>
      <c r="G52" s="72"/>
      <c r="H52" s="72"/>
      <c r="I52" s="72"/>
      <c r="J52" s="72"/>
      <c r="K52" s="72"/>
      <c r="L52" s="72"/>
      <c r="M52" s="72"/>
      <c r="N52" s="72"/>
      <c r="O52" s="401"/>
      <c r="P52" s="401"/>
      <c r="Q52" s="405"/>
      <c r="R52" s="255"/>
      <c r="S52" s="72"/>
    </row>
    <row r="53" spans="5:19" s="51" customFormat="1" ht="11.25">
      <c r="E53" s="53"/>
      <c r="G53" s="72"/>
      <c r="H53" s="72"/>
      <c r="I53" s="72"/>
      <c r="J53" s="72"/>
      <c r="K53" s="72"/>
      <c r="L53" s="72"/>
      <c r="M53" s="72"/>
      <c r="N53" s="72"/>
      <c r="O53" s="401"/>
      <c r="P53" s="401"/>
      <c r="Q53" s="405"/>
      <c r="R53" s="255"/>
      <c r="S53" s="72"/>
    </row>
    <row r="54" spans="1:19" s="47" customFormat="1" ht="11.25">
      <c r="A54" s="51"/>
      <c r="B54" s="51"/>
      <c r="C54" s="51"/>
      <c r="D54" s="51"/>
      <c r="E54" s="48"/>
      <c r="G54" s="59"/>
      <c r="H54" s="59"/>
      <c r="I54" s="59"/>
      <c r="J54" s="59"/>
      <c r="K54" s="59"/>
      <c r="L54" s="59"/>
      <c r="M54" s="59"/>
      <c r="N54" s="59"/>
      <c r="O54" s="401"/>
      <c r="P54" s="401"/>
      <c r="Q54" s="405"/>
      <c r="R54" s="255"/>
      <c r="S54" s="72"/>
    </row>
    <row r="55" spans="1:19" s="59" customFormat="1" ht="11.25">
      <c r="A55" s="51"/>
      <c r="B55" s="51"/>
      <c r="C55" s="51"/>
      <c r="D55" s="51"/>
      <c r="E55" s="57"/>
      <c r="F55" s="47"/>
      <c r="O55" s="401"/>
      <c r="P55" s="401"/>
      <c r="Q55" s="405"/>
      <c r="R55" s="255"/>
      <c r="S55" s="72"/>
    </row>
    <row r="56" spans="1:19" s="59" customFormat="1" ht="11.25">
      <c r="A56" s="51"/>
      <c r="B56" s="51"/>
      <c r="C56" s="51"/>
      <c r="D56" s="51"/>
      <c r="E56" s="57"/>
      <c r="F56" s="47"/>
      <c r="O56" s="401"/>
      <c r="P56" s="401"/>
      <c r="Q56" s="405"/>
      <c r="R56" s="255"/>
      <c r="S56" s="72"/>
    </row>
    <row r="57" spans="1:19" s="59" customFormat="1" ht="11.25">
      <c r="A57" s="51"/>
      <c r="B57" s="51"/>
      <c r="C57" s="51"/>
      <c r="D57" s="51"/>
      <c r="E57" s="57"/>
      <c r="F57" s="47"/>
      <c r="O57" s="401"/>
      <c r="P57" s="401"/>
      <c r="Q57" s="405"/>
      <c r="R57" s="255"/>
      <c r="S57" s="72"/>
    </row>
    <row r="60" spans="2:19" s="59" customFormat="1" ht="11.25" hidden="1">
      <c r="B60" s="767" t="s">
        <v>191</v>
      </c>
      <c r="C60" s="340"/>
      <c r="D60" s="340"/>
      <c r="E60" s="817"/>
      <c r="F60" s="782"/>
      <c r="G60" s="340"/>
      <c r="H60" s="340"/>
      <c r="I60" s="340"/>
      <c r="J60" s="340"/>
      <c r="K60" s="340"/>
      <c r="L60" s="340"/>
      <c r="M60" s="340"/>
      <c r="N60" s="811"/>
      <c r="O60" s="804"/>
      <c r="P60" s="787" t="e">
        <f>N60/titl!$H$17*12</f>
        <v>#DIV/0!</v>
      </c>
      <c r="Q60" s="405"/>
      <c r="R60" s="255"/>
      <c r="S60" s="72"/>
    </row>
    <row r="61" spans="2:19" s="59" customFormat="1" ht="11.25" hidden="1">
      <c r="B61" s="818" t="s">
        <v>192</v>
      </c>
      <c r="C61" s="233"/>
      <c r="D61" s="233"/>
      <c r="E61" s="819"/>
      <c r="F61" s="783"/>
      <c r="G61" s="233"/>
      <c r="H61" s="233"/>
      <c r="I61" s="233"/>
      <c r="J61" s="233"/>
      <c r="K61" s="233"/>
      <c r="L61" s="233"/>
      <c r="M61" s="233"/>
      <c r="N61" s="537">
        <f>N43+N45-N60</f>
        <v>0</v>
      </c>
      <c r="O61" s="805"/>
      <c r="P61" s="789" t="e">
        <f>N61/titl!$H$17*12</f>
        <v>#DIV/0!</v>
      </c>
      <c r="Q61" s="405"/>
      <c r="R61" s="255"/>
      <c r="S61" s="72"/>
    </row>
    <row r="62" spans="2:19" s="59" customFormat="1" ht="11.25" hidden="1">
      <c r="B62" s="818" t="s">
        <v>193</v>
      </c>
      <c r="C62" s="233"/>
      <c r="D62" s="233"/>
      <c r="E62" s="819"/>
      <c r="F62" s="783"/>
      <c r="G62" s="233"/>
      <c r="H62" s="233"/>
      <c r="I62" s="233"/>
      <c r="J62" s="233"/>
      <c r="K62" s="233"/>
      <c r="L62" s="233"/>
      <c r="M62" s="233"/>
      <c r="N62" s="109"/>
      <c r="O62" s="805"/>
      <c r="P62" s="789" t="e">
        <f>N62/titl!$H$17*12</f>
        <v>#DIV/0!</v>
      </c>
      <c r="Q62" s="405"/>
      <c r="R62" s="255"/>
      <c r="S62" s="72"/>
    </row>
    <row r="63" spans="2:19" s="59" customFormat="1" ht="11.25" hidden="1">
      <c r="B63" s="818" t="s">
        <v>194</v>
      </c>
      <c r="C63" s="233"/>
      <c r="D63" s="233"/>
      <c r="E63" s="819"/>
      <c r="F63" s="783"/>
      <c r="G63" s="233"/>
      <c r="H63" s="233"/>
      <c r="I63" s="233"/>
      <c r="J63" s="233"/>
      <c r="K63" s="233"/>
      <c r="L63" s="233"/>
      <c r="M63" s="233"/>
      <c r="N63" s="537">
        <f>N61+N62</f>
        <v>0</v>
      </c>
      <c r="O63" s="805"/>
      <c r="P63" s="789" t="e">
        <f>N63/titl!$H$17*12</f>
        <v>#DIV/0!</v>
      </c>
      <c r="Q63" s="405"/>
      <c r="R63" s="255"/>
      <c r="S63" s="72"/>
    </row>
    <row r="64" spans="2:19" s="59" customFormat="1" ht="12" hidden="1" thickBot="1">
      <c r="B64" s="820" t="s">
        <v>195</v>
      </c>
      <c r="C64" s="785"/>
      <c r="D64" s="785"/>
      <c r="E64" s="821"/>
      <c r="F64" s="784"/>
      <c r="G64" s="785"/>
      <c r="H64" s="785"/>
      <c r="I64" s="785"/>
      <c r="J64" s="785"/>
      <c r="K64" s="785"/>
      <c r="L64" s="785"/>
      <c r="M64" s="785"/>
      <c r="N64" s="810">
        <f>N63*4%</f>
        <v>0</v>
      </c>
      <c r="O64" s="803"/>
      <c r="P64" s="790" t="e">
        <f>N64/titl!$H$17*12</f>
        <v>#DIV/0!</v>
      </c>
      <c r="Q64" s="405"/>
      <c r="R64" s="255"/>
      <c r="S64" s="72"/>
    </row>
  </sheetData>
  <mergeCells count="5">
    <mergeCell ref="S1:S2"/>
    <mergeCell ref="A1:D1"/>
    <mergeCell ref="H1:L1"/>
    <mergeCell ref="C2:D2"/>
    <mergeCell ref="R1:R2"/>
  </mergeCells>
  <printOptions horizontalCentered="1" verticalCentered="1"/>
  <pageMargins left="0.31496062992125984" right="0.2755905511811024" top="0.27" bottom="0.28" header="0.1968503937007874" footer="0.19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62"/>
  <sheetViews>
    <sheetView workbookViewId="0" topLeftCell="A1">
      <pane ySplit="3" topLeftCell="BM4" activePane="bottomLeft" state="frozen"/>
      <selection pane="topLeft" activeCell="D38" sqref="D38"/>
      <selection pane="bottomLeft" activeCell="D38" sqref="D38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60" bestFit="1" customWidth="1"/>
    <col min="6" max="6" width="9.25390625" style="47" bestFit="1" customWidth="1"/>
    <col min="7" max="7" width="9.25390625" style="59" bestFit="1" customWidth="1"/>
    <col min="8" max="8" width="6.25390625" style="59" customWidth="1"/>
    <col min="9" max="9" width="8.875" style="59" customWidth="1"/>
    <col min="10" max="10" width="6.00390625" style="59" customWidth="1"/>
    <col min="11" max="11" width="8.00390625" style="59" customWidth="1"/>
    <col min="12" max="12" width="6.125" style="59" customWidth="1"/>
    <col min="13" max="13" width="8.125" style="59" hidden="1" customWidth="1"/>
    <col min="14" max="14" width="12.875" style="59" hidden="1" customWidth="1" collapsed="1"/>
    <col min="15" max="15" width="7.25390625" style="253" hidden="1" customWidth="1"/>
    <col min="16" max="16" width="9.25390625" style="0" hidden="1" customWidth="1"/>
    <col min="17" max="17" width="9.25390625" style="949" bestFit="1" customWidth="1" collapsed="1"/>
    <col min="18" max="18" width="7.25390625" style="72" customWidth="1"/>
    <col min="19" max="19" width="7.25390625" style="0" customWidth="1"/>
  </cols>
  <sheetData>
    <row r="1" spans="1:19" ht="15.75" customHeight="1">
      <c r="A1" s="1046" t="s">
        <v>236</v>
      </c>
      <c r="B1" s="1047"/>
      <c r="C1" s="1047"/>
      <c r="D1" s="1048"/>
      <c r="E1" s="1"/>
      <c r="F1" s="543" t="s">
        <v>0</v>
      </c>
      <c r="G1" s="606" t="s">
        <v>2</v>
      </c>
      <c r="H1" s="1050" t="s">
        <v>3</v>
      </c>
      <c r="I1" s="1050"/>
      <c r="J1" s="1050"/>
      <c r="K1" s="1050"/>
      <c r="L1" s="1051"/>
      <c r="M1" s="181" t="s">
        <v>1</v>
      </c>
      <c r="N1" s="538" t="s">
        <v>4</v>
      </c>
      <c r="O1" s="67" t="s">
        <v>144</v>
      </c>
      <c r="P1" s="67" t="s">
        <v>145</v>
      </c>
      <c r="Q1" s="947" t="s">
        <v>4</v>
      </c>
      <c r="R1" s="1056" t="s">
        <v>190</v>
      </c>
      <c r="S1" s="1057" t="s">
        <v>188</v>
      </c>
    </row>
    <row r="2" spans="1:19" s="16" customFormat="1" ht="13.5" thickBot="1">
      <c r="A2" s="6"/>
      <c r="B2" s="7"/>
      <c r="C2" s="1052" t="s">
        <v>86</v>
      </c>
      <c r="D2" s="1053"/>
      <c r="E2" s="9" t="s">
        <v>5</v>
      </c>
      <c r="F2" s="544">
        <v>2011</v>
      </c>
      <c r="G2" s="607" t="s">
        <v>8</v>
      </c>
      <c r="H2" s="69" t="s">
        <v>9</v>
      </c>
      <c r="I2" s="70" t="s">
        <v>10</v>
      </c>
      <c r="J2" s="303" t="s">
        <v>11</v>
      </c>
      <c r="K2" s="248" t="s">
        <v>126</v>
      </c>
      <c r="L2" s="68" t="s">
        <v>12</v>
      </c>
      <c r="M2" s="544" t="s">
        <v>7</v>
      </c>
      <c r="N2" s="539">
        <v>2011</v>
      </c>
      <c r="O2" s="71"/>
      <c r="P2" s="71"/>
      <c r="Q2" s="948">
        <v>2010</v>
      </c>
      <c r="R2" s="1056"/>
      <c r="S2" s="1057"/>
    </row>
    <row r="3" spans="1:17" ht="13.5" thickBot="1">
      <c r="A3" s="17" t="s">
        <v>13</v>
      </c>
      <c r="B3" s="18"/>
      <c r="C3" s="18"/>
      <c r="D3" s="18"/>
      <c r="E3" s="19">
        <v>1</v>
      </c>
      <c r="F3" s="197">
        <f>SUM(F5:F27)</f>
        <v>88604</v>
      </c>
      <c r="G3" s="597">
        <f aca="true" t="shared" si="0" ref="G3:L3">SUM(G5:G27)</f>
        <v>50703</v>
      </c>
      <c r="H3" s="125">
        <f t="shared" si="0"/>
        <v>0</v>
      </c>
      <c r="I3" s="77">
        <f t="shared" si="0"/>
        <v>37650</v>
      </c>
      <c r="J3" s="304">
        <f t="shared" si="0"/>
        <v>0</v>
      </c>
      <c r="K3" s="77">
        <f t="shared" si="0"/>
        <v>251</v>
      </c>
      <c r="L3" s="76">
        <f t="shared" si="0"/>
        <v>0</v>
      </c>
      <c r="M3" s="197">
        <f>SUM(M5:M27)</f>
        <v>0</v>
      </c>
      <c r="N3" s="471">
        <f>SUM(N5:N27)</f>
        <v>0</v>
      </c>
      <c r="O3" s="413">
        <f aca="true" t="shared" si="1" ref="O3:O24">IF(F3=0,0,N3/F3)</f>
        <v>0</v>
      </c>
      <c r="P3" s="78" t="e">
        <f>SUM(P5:P27)</f>
        <v>#DIV/0!</v>
      </c>
      <c r="Q3" s="588">
        <f>SUM(Q5:Q27)</f>
        <v>106748</v>
      </c>
    </row>
    <row r="4" spans="1:18" s="25" customFormat="1" ht="12">
      <c r="A4" s="21" t="s">
        <v>14</v>
      </c>
      <c r="B4" s="22" t="s">
        <v>15</v>
      </c>
      <c r="C4" s="22"/>
      <c r="D4" s="22"/>
      <c r="E4" s="23">
        <v>2</v>
      </c>
      <c r="F4" s="198">
        <f aca="true" t="shared" si="2" ref="F4:N4">SUM(F5:F15)</f>
        <v>38299</v>
      </c>
      <c r="G4" s="594">
        <f t="shared" si="2"/>
        <v>398</v>
      </c>
      <c r="H4" s="80">
        <f t="shared" si="2"/>
        <v>0</v>
      </c>
      <c r="I4" s="80">
        <f t="shared" si="2"/>
        <v>37650</v>
      </c>
      <c r="J4" s="80">
        <f t="shared" si="2"/>
        <v>0</v>
      </c>
      <c r="K4" s="80">
        <f t="shared" si="2"/>
        <v>251</v>
      </c>
      <c r="L4" s="80">
        <f t="shared" si="2"/>
        <v>0</v>
      </c>
      <c r="M4" s="198">
        <f>SUM(M5:M15)</f>
        <v>0</v>
      </c>
      <c r="N4" s="417">
        <f t="shared" si="2"/>
        <v>0</v>
      </c>
      <c r="O4" s="410">
        <f t="shared" si="1"/>
        <v>0</v>
      </c>
      <c r="P4" s="82" t="e">
        <f>SUM(P5:P15)</f>
        <v>#DIV/0!</v>
      </c>
      <c r="Q4" s="589">
        <f>SUM(Q5:Q15)</f>
        <v>54767</v>
      </c>
      <c r="R4" s="72"/>
    </row>
    <row r="5" spans="1:18" s="65" customFormat="1" ht="12">
      <c r="A5" s="61"/>
      <c r="B5" s="62"/>
      <c r="C5" s="62" t="s">
        <v>16</v>
      </c>
      <c r="D5" s="63" t="s">
        <v>17</v>
      </c>
      <c r="E5" s="64">
        <v>3</v>
      </c>
      <c r="F5" s="199">
        <f>SUM(G5:L5)</f>
        <v>9000</v>
      </c>
      <c r="G5" s="609"/>
      <c r="H5" s="84"/>
      <c r="I5" s="84">
        <v>9000</v>
      </c>
      <c r="J5" s="306"/>
      <c r="K5" s="85"/>
      <c r="L5" s="86"/>
      <c r="M5" s="199"/>
      <c r="N5" s="418"/>
      <c r="O5" s="428">
        <f t="shared" si="1"/>
        <v>0</v>
      </c>
      <c r="P5" s="850">
        <f>N5</f>
        <v>0</v>
      </c>
      <c r="Q5" s="590">
        <v>8001</v>
      </c>
      <c r="R5" s="517"/>
    </row>
    <row r="6" spans="1:18" s="65" customFormat="1" ht="12">
      <c r="A6" s="61"/>
      <c r="B6" s="62"/>
      <c r="C6" s="62"/>
      <c r="D6" s="63" t="s">
        <v>18</v>
      </c>
      <c r="E6" s="64">
        <v>4</v>
      </c>
      <c r="F6" s="199">
        <f aca="true" t="shared" si="3" ref="F6:F45">SUM(G6:L6)</f>
        <v>12000</v>
      </c>
      <c r="G6" s="609"/>
      <c r="H6" s="84"/>
      <c r="I6" s="84">
        <v>12000</v>
      </c>
      <c r="J6" s="306"/>
      <c r="K6" s="85"/>
      <c r="L6" s="86"/>
      <c r="M6" s="199"/>
      <c r="N6" s="418"/>
      <c r="O6" s="428">
        <f t="shared" si="1"/>
        <v>0</v>
      </c>
      <c r="P6" s="850">
        <f>N6</f>
        <v>0</v>
      </c>
      <c r="Q6" s="590">
        <v>10920</v>
      </c>
      <c r="R6" s="517"/>
    </row>
    <row r="7" spans="1:18" s="65" customFormat="1" ht="12">
      <c r="A7" s="61"/>
      <c r="B7" s="62"/>
      <c r="C7" s="62"/>
      <c r="D7" s="63" t="s">
        <v>19</v>
      </c>
      <c r="E7" s="64">
        <v>5</v>
      </c>
      <c r="F7" s="199">
        <f t="shared" si="3"/>
        <v>3150</v>
      </c>
      <c r="G7" s="609"/>
      <c r="H7" s="84"/>
      <c r="I7" s="84">
        <v>3150</v>
      </c>
      <c r="J7" s="306"/>
      <c r="K7" s="85"/>
      <c r="L7" s="86"/>
      <c r="M7" s="199"/>
      <c r="N7" s="418"/>
      <c r="O7" s="428">
        <f t="shared" si="1"/>
        <v>0</v>
      </c>
      <c r="P7" s="850">
        <f>N7</f>
        <v>0</v>
      </c>
      <c r="Q7" s="590">
        <v>2857</v>
      </c>
      <c r="R7" s="517"/>
    </row>
    <row r="8" spans="1:18" s="65" customFormat="1" ht="12">
      <c r="A8" s="61"/>
      <c r="B8" s="62"/>
      <c r="C8" s="62"/>
      <c r="D8" s="63" t="s">
        <v>20</v>
      </c>
      <c r="E8" s="64">
        <v>6</v>
      </c>
      <c r="F8" s="199">
        <f t="shared" si="3"/>
        <v>0</v>
      </c>
      <c r="G8" s="609"/>
      <c r="H8" s="84"/>
      <c r="I8" s="84"/>
      <c r="J8" s="306"/>
      <c r="K8" s="85"/>
      <c r="L8" s="86"/>
      <c r="M8" s="199"/>
      <c r="N8" s="418"/>
      <c r="O8" s="428">
        <f t="shared" si="1"/>
        <v>0</v>
      </c>
      <c r="P8" s="87" t="e">
        <f>N8/titl!$H$17*12</f>
        <v>#DIV/0!</v>
      </c>
      <c r="Q8" s="590"/>
      <c r="R8" s="517"/>
    </row>
    <row r="9" spans="1:18" s="65" customFormat="1" ht="12">
      <c r="A9" s="61"/>
      <c r="B9" s="62"/>
      <c r="C9" s="62"/>
      <c r="D9" s="63" t="s">
        <v>21</v>
      </c>
      <c r="E9" s="64">
        <v>7</v>
      </c>
      <c r="F9" s="199">
        <f t="shared" si="3"/>
        <v>0</v>
      </c>
      <c r="G9" s="609"/>
      <c r="H9" s="84"/>
      <c r="I9" s="84"/>
      <c r="J9" s="306"/>
      <c r="K9" s="85"/>
      <c r="L9" s="86"/>
      <c r="M9" s="199"/>
      <c r="N9" s="418"/>
      <c r="O9" s="428">
        <f t="shared" si="1"/>
        <v>0</v>
      </c>
      <c r="P9" s="87" t="e">
        <f>N9/titl!$H$17*12</f>
        <v>#DIV/0!</v>
      </c>
      <c r="Q9" s="590"/>
      <c r="R9" s="517"/>
    </row>
    <row r="10" spans="1:18" s="65" customFormat="1" ht="12">
      <c r="A10" s="61"/>
      <c r="B10" s="62"/>
      <c r="C10" s="62"/>
      <c r="D10" s="63" t="s">
        <v>22</v>
      </c>
      <c r="E10" s="64">
        <v>8</v>
      </c>
      <c r="F10" s="199">
        <f t="shared" si="3"/>
        <v>450</v>
      </c>
      <c r="G10" s="609"/>
      <c r="H10" s="84"/>
      <c r="I10" s="84">
        <v>450</v>
      </c>
      <c r="J10" s="306"/>
      <c r="K10" s="85"/>
      <c r="L10" s="86"/>
      <c r="M10" s="199"/>
      <c r="N10" s="418"/>
      <c r="O10" s="428">
        <f t="shared" si="1"/>
        <v>0</v>
      </c>
      <c r="P10" s="87" t="e">
        <f>N10/titl!$H$17*12</f>
        <v>#DIV/0!</v>
      </c>
      <c r="Q10" s="590">
        <v>413</v>
      </c>
      <c r="R10" s="517"/>
    </row>
    <row r="11" spans="1:18" s="65" customFormat="1" ht="12">
      <c r="A11" s="61"/>
      <c r="B11" s="62"/>
      <c r="C11" s="62"/>
      <c r="D11" s="63" t="s">
        <v>23</v>
      </c>
      <c r="E11" s="64">
        <v>9</v>
      </c>
      <c r="F11" s="199">
        <f t="shared" si="3"/>
        <v>8000</v>
      </c>
      <c r="G11" s="609"/>
      <c r="H11" s="84"/>
      <c r="I11" s="84">
        <v>8000</v>
      </c>
      <c r="J11" s="306"/>
      <c r="K11" s="85"/>
      <c r="L11" s="86"/>
      <c r="M11" s="199"/>
      <c r="N11" s="418"/>
      <c r="O11" s="428">
        <f t="shared" si="1"/>
        <v>0</v>
      </c>
      <c r="P11" s="87" t="e">
        <f>N11/titl!$H$17*12</f>
        <v>#DIV/0!</v>
      </c>
      <c r="Q11" s="590">
        <v>7192</v>
      </c>
      <c r="R11" s="517"/>
    </row>
    <row r="12" spans="1:18" s="65" customFormat="1" ht="12">
      <c r="A12" s="61"/>
      <c r="B12" s="62"/>
      <c r="C12" s="62"/>
      <c r="D12" s="63" t="s">
        <v>24</v>
      </c>
      <c r="E12" s="64">
        <v>10</v>
      </c>
      <c r="F12" s="199">
        <f t="shared" si="3"/>
        <v>250</v>
      </c>
      <c r="G12" s="609"/>
      <c r="H12" s="84"/>
      <c r="I12" s="84">
        <v>250</v>
      </c>
      <c r="J12" s="306"/>
      <c r="K12" s="85"/>
      <c r="L12" s="86"/>
      <c r="M12" s="199"/>
      <c r="N12" s="418"/>
      <c r="O12" s="428">
        <f t="shared" si="1"/>
        <v>0</v>
      </c>
      <c r="P12" s="87" t="e">
        <f>N12/titl!$H$17*12</f>
        <v>#DIV/0!</v>
      </c>
      <c r="Q12" s="590">
        <v>246</v>
      </c>
      <c r="R12" s="517"/>
    </row>
    <row r="13" spans="1:18" s="65" customFormat="1" ht="12">
      <c r="A13" s="61"/>
      <c r="B13" s="62"/>
      <c r="C13" s="62"/>
      <c r="D13" s="63" t="s">
        <v>25</v>
      </c>
      <c r="E13" s="64">
        <v>11</v>
      </c>
      <c r="F13" s="199">
        <f t="shared" si="3"/>
        <v>258</v>
      </c>
      <c r="G13" s="609">
        <v>258</v>
      </c>
      <c r="H13" s="84"/>
      <c r="I13" s="84"/>
      <c r="J13" s="306"/>
      <c r="K13" s="85"/>
      <c r="L13" s="86"/>
      <c r="M13" s="199"/>
      <c r="N13" s="418"/>
      <c r="O13" s="428">
        <f t="shared" si="1"/>
        <v>0</v>
      </c>
      <c r="P13" s="850">
        <f>N13</f>
        <v>0</v>
      </c>
      <c r="Q13" s="590">
        <v>258</v>
      </c>
      <c r="R13" s="517"/>
    </row>
    <row r="14" spans="1:18" s="65" customFormat="1" ht="12">
      <c r="A14" s="61"/>
      <c r="B14" s="62"/>
      <c r="C14" s="62"/>
      <c r="D14" s="63" t="s">
        <v>26</v>
      </c>
      <c r="E14" s="64">
        <v>12</v>
      </c>
      <c r="F14" s="199">
        <f t="shared" si="3"/>
        <v>0</v>
      </c>
      <c r="G14" s="609"/>
      <c r="H14" s="84"/>
      <c r="I14" s="84"/>
      <c r="J14" s="306"/>
      <c r="K14" s="85"/>
      <c r="L14" s="86"/>
      <c r="M14" s="199"/>
      <c r="N14" s="418"/>
      <c r="O14" s="428">
        <f t="shared" si="1"/>
        <v>0</v>
      </c>
      <c r="P14" s="87" t="e">
        <f>N14/titl!$H$17*12</f>
        <v>#DIV/0!</v>
      </c>
      <c r="Q14" s="590"/>
      <c r="R14" s="517"/>
    </row>
    <row r="15" spans="1:18" s="65" customFormat="1" ht="12">
      <c r="A15" s="61"/>
      <c r="B15" s="62"/>
      <c r="C15" s="63"/>
      <c r="D15" s="63" t="s">
        <v>27</v>
      </c>
      <c r="E15" s="64">
        <v>13</v>
      </c>
      <c r="F15" s="199">
        <f t="shared" si="3"/>
        <v>5191</v>
      </c>
      <c r="G15" s="609">
        <v>140</v>
      </c>
      <c r="H15" s="84"/>
      <c r="I15" s="84">
        <v>4800</v>
      </c>
      <c r="J15" s="306"/>
      <c r="K15" s="242">
        <v>251</v>
      </c>
      <c r="L15" s="86"/>
      <c r="M15" s="199"/>
      <c r="N15" s="418"/>
      <c r="O15" s="428">
        <f t="shared" si="1"/>
        <v>0</v>
      </c>
      <c r="P15" s="87" t="e">
        <f>N15/titl!$H$17*12</f>
        <v>#DIV/0!</v>
      </c>
      <c r="Q15" s="590">
        <v>24880</v>
      </c>
      <c r="R15" s="517"/>
    </row>
    <row r="16" spans="1:18" s="25" customFormat="1" ht="12">
      <c r="A16" s="21"/>
      <c r="B16" s="30" t="s">
        <v>28</v>
      </c>
      <c r="C16" s="27"/>
      <c r="D16" s="27"/>
      <c r="E16" s="28">
        <v>14</v>
      </c>
      <c r="F16" s="119">
        <f t="shared" si="3"/>
        <v>0</v>
      </c>
      <c r="G16" s="596"/>
      <c r="H16" s="89"/>
      <c r="I16" s="90"/>
      <c r="J16" s="307"/>
      <c r="K16" s="90"/>
      <c r="L16" s="91"/>
      <c r="M16" s="119"/>
      <c r="N16" s="419"/>
      <c r="O16" s="412">
        <f t="shared" si="1"/>
        <v>0</v>
      </c>
      <c r="P16" s="92">
        <f>P30</f>
        <v>0</v>
      </c>
      <c r="Q16" s="591"/>
      <c r="R16" s="72"/>
    </row>
    <row r="17" spans="1:18" s="25" customFormat="1" ht="12">
      <c r="A17" s="21"/>
      <c r="B17" s="30" t="s">
        <v>30</v>
      </c>
      <c r="C17" s="27"/>
      <c r="D17" s="27"/>
      <c r="E17" s="28">
        <v>15</v>
      </c>
      <c r="F17" s="119">
        <f t="shared" si="3"/>
        <v>0</v>
      </c>
      <c r="G17" s="596"/>
      <c r="H17" s="89"/>
      <c r="I17" s="90"/>
      <c r="J17" s="307"/>
      <c r="K17" s="90"/>
      <c r="L17" s="91"/>
      <c r="M17" s="119"/>
      <c r="N17" s="419"/>
      <c r="O17" s="412">
        <f t="shared" si="1"/>
        <v>0</v>
      </c>
      <c r="P17" s="92">
        <f>P31</f>
        <v>0</v>
      </c>
      <c r="Q17" s="591"/>
      <c r="R17" s="72"/>
    </row>
    <row r="18" spans="1:18" s="25" customFormat="1" ht="12">
      <c r="A18" s="21"/>
      <c r="B18" s="31" t="s">
        <v>32</v>
      </c>
      <c r="C18" s="32"/>
      <c r="D18" s="32"/>
      <c r="E18" s="33">
        <v>16</v>
      </c>
      <c r="F18" s="119">
        <f t="shared" si="3"/>
        <v>0</v>
      </c>
      <c r="G18" s="596"/>
      <c r="H18" s="89"/>
      <c r="I18" s="90"/>
      <c r="J18" s="307"/>
      <c r="K18" s="90"/>
      <c r="L18" s="91"/>
      <c r="M18" s="119"/>
      <c r="N18" s="419"/>
      <c r="O18" s="412">
        <f t="shared" si="1"/>
        <v>0</v>
      </c>
      <c r="P18" s="92">
        <f>P32</f>
        <v>0</v>
      </c>
      <c r="Q18" s="591"/>
      <c r="R18" s="72"/>
    </row>
    <row r="19" spans="1:18" s="25" customFormat="1" ht="12">
      <c r="A19" s="21"/>
      <c r="B19" s="31" t="s">
        <v>34</v>
      </c>
      <c r="C19" s="32"/>
      <c r="D19" s="32"/>
      <c r="E19" s="33">
        <v>17</v>
      </c>
      <c r="F19" s="119">
        <f t="shared" si="3"/>
        <v>0</v>
      </c>
      <c r="G19" s="596"/>
      <c r="H19" s="89"/>
      <c r="I19" s="90"/>
      <c r="J19" s="307"/>
      <c r="K19" s="90"/>
      <c r="L19" s="91"/>
      <c r="M19" s="119"/>
      <c r="N19" s="419"/>
      <c r="O19" s="412">
        <f t="shared" si="1"/>
        <v>0</v>
      </c>
      <c r="P19" s="92">
        <f>P33</f>
        <v>0</v>
      </c>
      <c r="Q19" s="591"/>
      <c r="R19" s="72"/>
    </row>
    <row r="20" spans="1:18" s="25" customFormat="1" ht="12">
      <c r="A20" s="21"/>
      <c r="B20" s="31" t="s">
        <v>36</v>
      </c>
      <c r="C20" s="31"/>
      <c r="D20" s="31"/>
      <c r="E20" s="33">
        <v>18</v>
      </c>
      <c r="F20" s="119">
        <f t="shared" si="3"/>
        <v>0</v>
      </c>
      <c r="G20" s="596"/>
      <c r="H20" s="89"/>
      <c r="I20" s="90"/>
      <c r="J20" s="307"/>
      <c r="K20" s="90"/>
      <c r="L20" s="91"/>
      <c r="M20" s="119"/>
      <c r="N20" s="419"/>
      <c r="O20" s="412">
        <f t="shared" si="1"/>
        <v>0</v>
      </c>
      <c r="P20" s="92">
        <f>P35</f>
        <v>0</v>
      </c>
      <c r="Q20" s="591">
        <v>1189</v>
      </c>
      <c r="R20" s="72"/>
    </row>
    <row r="21" spans="1:18" s="640" customFormat="1" ht="12">
      <c r="A21" s="628"/>
      <c r="B21" s="629" t="s">
        <v>175</v>
      </c>
      <c r="C21" s="629"/>
      <c r="D21" s="629"/>
      <c r="E21" s="630">
        <v>19</v>
      </c>
      <c r="F21" s="631">
        <f t="shared" si="3"/>
        <v>18307</v>
      </c>
      <c r="G21" s="643">
        <v>18307</v>
      </c>
      <c r="H21" s="644"/>
      <c r="I21" s="645"/>
      <c r="J21" s="646"/>
      <c r="K21" s="645"/>
      <c r="L21" s="647"/>
      <c r="M21" s="631"/>
      <c r="N21" s="637"/>
      <c r="O21" s="638">
        <f t="shared" si="1"/>
        <v>0</v>
      </c>
      <c r="P21" s="631">
        <f>N21</f>
        <v>0</v>
      </c>
      <c r="Q21" s="591">
        <v>18307</v>
      </c>
      <c r="R21" s="51"/>
    </row>
    <row r="22" spans="1:18" s="25" customFormat="1" ht="12">
      <c r="A22" s="21"/>
      <c r="B22" s="31" t="s">
        <v>40</v>
      </c>
      <c r="C22" s="31"/>
      <c r="D22" s="31"/>
      <c r="E22" s="33">
        <v>20</v>
      </c>
      <c r="F22" s="119">
        <f t="shared" si="3"/>
        <v>0</v>
      </c>
      <c r="G22" s="596"/>
      <c r="H22" s="89"/>
      <c r="I22" s="90"/>
      <c r="J22" s="307"/>
      <c r="K22" s="90"/>
      <c r="L22" s="91"/>
      <c r="M22" s="119"/>
      <c r="N22" s="419"/>
      <c r="O22" s="412">
        <f t="shared" si="1"/>
        <v>0</v>
      </c>
      <c r="P22" s="92">
        <f>P37</f>
        <v>0</v>
      </c>
      <c r="Q22" s="591"/>
      <c r="R22" s="72"/>
    </row>
    <row r="23" spans="1:18" s="25" customFormat="1" ht="12">
      <c r="A23" s="21"/>
      <c r="B23" s="31" t="s">
        <v>42</v>
      </c>
      <c r="C23" s="31"/>
      <c r="D23" s="31"/>
      <c r="E23" s="33">
        <v>21</v>
      </c>
      <c r="F23" s="119">
        <f t="shared" si="3"/>
        <v>0</v>
      </c>
      <c r="G23" s="596"/>
      <c r="H23" s="89"/>
      <c r="I23" s="90"/>
      <c r="J23" s="307"/>
      <c r="K23" s="90"/>
      <c r="L23" s="91"/>
      <c r="M23" s="119"/>
      <c r="N23" s="419"/>
      <c r="O23" s="412">
        <f t="shared" si="1"/>
        <v>0</v>
      </c>
      <c r="P23" s="92">
        <f>P39</f>
        <v>0</v>
      </c>
      <c r="Q23" s="591"/>
      <c r="R23" s="72"/>
    </row>
    <row r="24" spans="1:18" s="25" customFormat="1" ht="12">
      <c r="A24" s="21"/>
      <c r="B24" s="31" t="s">
        <v>43</v>
      </c>
      <c r="C24" s="31"/>
      <c r="D24" s="31"/>
      <c r="E24" s="33">
        <v>22</v>
      </c>
      <c r="F24" s="119">
        <f t="shared" si="3"/>
        <v>908</v>
      </c>
      <c r="G24" s="596">
        <v>908</v>
      </c>
      <c r="H24" s="89"/>
      <c r="I24" s="90"/>
      <c r="J24" s="307"/>
      <c r="K24" s="90"/>
      <c r="L24" s="91"/>
      <c r="M24" s="119"/>
      <c r="N24" s="419"/>
      <c r="O24" s="412">
        <f t="shared" si="1"/>
        <v>0</v>
      </c>
      <c r="P24" s="92">
        <f>P40</f>
        <v>0</v>
      </c>
      <c r="Q24" s="591">
        <v>1901</v>
      </c>
      <c r="R24" s="72"/>
    </row>
    <row r="25" spans="1:18" s="640" customFormat="1" ht="12">
      <c r="A25" s="628"/>
      <c r="B25" s="629" t="s">
        <v>186</v>
      </c>
      <c r="C25" s="629"/>
      <c r="D25" s="629"/>
      <c r="E25" s="630">
        <v>23</v>
      </c>
      <c r="F25" s="631">
        <f t="shared" si="3"/>
        <v>2590</v>
      </c>
      <c r="G25" s="643">
        <v>2590</v>
      </c>
      <c r="H25" s="644"/>
      <c r="I25" s="645"/>
      <c r="J25" s="646"/>
      <c r="K25" s="645"/>
      <c r="L25" s="647"/>
      <c r="M25" s="631"/>
      <c r="N25" s="637"/>
      <c r="O25" s="638">
        <f aca="true" t="shared" si="4" ref="O25:O31">IF(F25=0,0,N25/F25)</f>
        <v>0</v>
      </c>
      <c r="P25" s="631">
        <f>P41</f>
        <v>2590</v>
      </c>
      <c r="Q25" s="591">
        <v>2581</v>
      </c>
      <c r="R25" s="51"/>
    </row>
    <row r="26" spans="1:18" s="25" customFormat="1" ht="12">
      <c r="A26" s="21"/>
      <c r="B26" s="31" t="s">
        <v>45</v>
      </c>
      <c r="C26" s="31"/>
      <c r="D26" s="31"/>
      <c r="E26" s="33">
        <v>24</v>
      </c>
      <c r="F26" s="119">
        <f t="shared" si="3"/>
        <v>0</v>
      </c>
      <c r="G26" s="596"/>
      <c r="H26" s="89"/>
      <c r="I26" s="90"/>
      <c r="J26" s="307"/>
      <c r="K26" s="90"/>
      <c r="L26" s="91"/>
      <c r="M26" s="119"/>
      <c r="N26" s="419"/>
      <c r="O26" s="412">
        <f t="shared" si="4"/>
        <v>0</v>
      </c>
      <c r="P26" s="92">
        <f>P42</f>
        <v>0</v>
      </c>
      <c r="Q26" s="591">
        <v>2925</v>
      </c>
      <c r="R26" s="72"/>
    </row>
    <row r="27" spans="1:18" s="25" customFormat="1" ht="12.75" thickBot="1">
      <c r="A27" s="21"/>
      <c r="B27" s="30" t="s">
        <v>47</v>
      </c>
      <c r="C27" s="30"/>
      <c r="D27" s="30"/>
      <c r="E27" s="28">
        <v>25</v>
      </c>
      <c r="F27" s="119">
        <f t="shared" si="3"/>
        <v>28500</v>
      </c>
      <c r="G27" s="596">
        <v>28500</v>
      </c>
      <c r="H27" s="89"/>
      <c r="I27" s="90"/>
      <c r="J27" s="307"/>
      <c r="K27" s="90"/>
      <c r="L27" s="91"/>
      <c r="M27" s="119"/>
      <c r="N27" s="419"/>
      <c r="O27" s="412">
        <f t="shared" si="4"/>
        <v>0</v>
      </c>
      <c r="P27" s="522" t="e">
        <f>N27/titl!$H$17*12</f>
        <v>#DIV/0!</v>
      </c>
      <c r="Q27" s="591">
        <v>25078</v>
      </c>
      <c r="R27" s="72"/>
    </row>
    <row r="28" spans="1:17" ht="13.5" thickBot="1">
      <c r="A28" s="37" t="s">
        <v>49</v>
      </c>
      <c r="B28" s="38"/>
      <c r="C28" s="38"/>
      <c r="D28" s="38"/>
      <c r="E28" s="19">
        <v>26</v>
      </c>
      <c r="F28" s="197">
        <f>SUM(F29:F45)</f>
        <v>90104</v>
      </c>
      <c r="G28" s="597">
        <f aca="true" t="shared" si="5" ref="G28:L28">SUM(G29:G45)</f>
        <v>52203</v>
      </c>
      <c r="H28" s="125">
        <f t="shared" si="5"/>
        <v>0</v>
      </c>
      <c r="I28" s="77">
        <f t="shared" si="5"/>
        <v>37650</v>
      </c>
      <c r="J28" s="304">
        <f t="shared" si="5"/>
        <v>0</v>
      </c>
      <c r="K28" s="77">
        <f t="shared" si="5"/>
        <v>251</v>
      </c>
      <c r="L28" s="76">
        <f t="shared" si="5"/>
        <v>0</v>
      </c>
      <c r="M28" s="197">
        <f>SUM(M29:M45)</f>
        <v>0</v>
      </c>
      <c r="N28" s="471">
        <f>SUM(N29:N45)</f>
        <v>0</v>
      </c>
      <c r="O28" s="413">
        <f t="shared" si="4"/>
        <v>0</v>
      </c>
      <c r="P28" s="78" t="e">
        <f>SUM(P29:P45)</f>
        <v>#DIV/0!</v>
      </c>
      <c r="Q28" s="588">
        <f>SUM(Q29:Q45)</f>
        <v>107907</v>
      </c>
    </row>
    <row r="29" spans="1:18" s="25" customFormat="1" ht="12">
      <c r="A29" s="21" t="s">
        <v>14</v>
      </c>
      <c r="B29" s="27" t="s">
        <v>50</v>
      </c>
      <c r="C29" s="27"/>
      <c r="D29" s="27"/>
      <c r="E29" s="28">
        <v>27</v>
      </c>
      <c r="F29" s="119">
        <f t="shared" si="3"/>
        <v>0</v>
      </c>
      <c r="G29" s="594"/>
      <c r="H29" s="112"/>
      <c r="I29" s="81"/>
      <c r="J29" s="305"/>
      <c r="K29" s="81"/>
      <c r="L29" s="80"/>
      <c r="M29" s="198"/>
      <c r="N29" s="417"/>
      <c r="O29" s="410">
        <f t="shared" si="4"/>
        <v>0</v>
      </c>
      <c r="P29" s="82">
        <f>F29</f>
        <v>0</v>
      </c>
      <c r="Q29" s="589"/>
      <c r="R29" s="72"/>
    </row>
    <row r="30" spans="1:18" s="25" customFormat="1" ht="12">
      <c r="A30" s="21"/>
      <c r="B30" s="30" t="s">
        <v>28</v>
      </c>
      <c r="C30" s="30"/>
      <c r="D30" s="30"/>
      <c r="E30" s="28">
        <v>28</v>
      </c>
      <c r="F30" s="119">
        <f t="shared" si="3"/>
        <v>0</v>
      </c>
      <c r="G30" s="499"/>
      <c r="H30" s="126"/>
      <c r="I30" s="95"/>
      <c r="J30" s="308"/>
      <c r="K30" s="95"/>
      <c r="L30" s="94"/>
      <c r="M30" s="472"/>
      <c r="N30" s="420"/>
      <c r="O30" s="414">
        <f t="shared" si="4"/>
        <v>0</v>
      </c>
      <c r="P30" s="96">
        <f aca="true" t="shared" si="6" ref="P30:P41">F30</f>
        <v>0</v>
      </c>
      <c r="Q30" s="519"/>
      <c r="R30" s="72"/>
    </row>
    <row r="31" spans="1:18" s="25" customFormat="1" ht="12">
      <c r="A31" s="21"/>
      <c r="B31" s="30" t="s">
        <v>30</v>
      </c>
      <c r="C31" s="30"/>
      <c r="D31" s="30"/>
      <c r="E31" s="28">
        <v>29</v>
      </c>
      <c r="F31" s="119">
        <f t="shared" si="3"/>
        <v>0</v>
      </c>
      <c r="G31" s="499"/>
      <c r="H31" s="126"/>
      <c r="I31" s="95"/>
      <c r="J31" s="308"/>
      <c r="K31" s="95"/>
      <c r="L31" s="94"/>
      <c r="M31" s="472"/>
      <c r="N31" s="420"/>
      <c r="O31" s="414">
        <f t="shared" si="4"/>
        <v>0</v>
      </c>
      <c r="P31" s="96">
        <f t="shared" si="6"/>
        <v>0</v>
      </c>
      <c r="Q31" s="519"/>
      <c r="R31" s="72"/>
    </row>
    <row r="32" spans="1:18" s="25" customFormat="1" ht="12">
      <c r="A32" s="21"/>
      <c r="B32" s="31" t="s">
        <v>32</v>
      </c>
      <c r="C32" s="32"/>
      <c r="D32" s="32"/>
      <c r="E32" s="33">
        <v>30</v>
      </c>
      <c r="F32" s="119">
        <f t="shared" si="3"/>
        <v>0</v>
      </c>
      <c r="G32" s="499"/>
      <c r="H32" s="126"/>
      <c r="I32" s="95"/>
      <c r="J32" s="308"/>
      <c r="K32" s="95"/>
      <c r="L32" s="94"/>
      <c r="M32" s="472"/>
      <c r="N32" s="420"/>
      <c r="O32" s="414">
        <f aca="true" t="shared" si="7" ref="O32:O40">IF(F32=0,0,N32/F32)</f>
        <v>0</v>
      </c>
      <c r="P32" s="96">
        <f t="shared" si="6"/>
        <v>0</v>
      </c>
      <c r="Q32" s="519"/>
      <c r="R32" s="72"/>
    </row>
    <row r="33" spans="1:18" s="25" customFormat="1" ht="12">
      <c r="A33" s="21"/>
      <c r="B33" s="31" t="s">
        <v>34</v>
      </c>
      <c r="C33" s="31"/>
      <c r="D33" s="31"/>
      <c r="E33" s="33">
        <v>31</v>
      </c>
      <c r="F33" s="119">
        <f t="shared" si="3"/>
        <v>0</v>
      </c>
      <c r="G33" s="499"/>
      <c r="H33" s="126"/>
      <c r="I33" s="95"/>
      <c r="J33" s="308"/>
      <c r="K33" s="95"/>
      <c r="L33" s="94"/>
      <c r="M33" s="472"/>
      <c r="N33" s="420"/>
      <c r="O33" s="414">
        <f t="shared" si="7"/>
        <v>0</v>
      </c>
      <c r="P33" s="96">
        <f t="shared" si="6"/>
        <v>0</v>
      </c>
      <c r="Q33" s="519"/>
      <c r="R33" s="72"/>
    </row>
    <row r="34" spans="1:18" s="25" customFormat="1" ht="12">
      <c r="A34" s="21"/>
      <c r="B34" s="31" t="s">
        <v>52</v>
      </c>
      <c r="C34" s="31"/>
      <c r="D34" s="31"/>
      <c r="E34" s="33">
        <v>32</v>
      </c>
      <c r="F34" s="119">
        <f t="shared" si="3"/>
        <v>0</v>
      </c>
      <c r="G34" s="499"/>
      <c r="H34" s="126"/>
      <c r="I34" s="95"/>
      <c r="J34" s="308"/>
      <c r="K34" s="95"/>
      <c r="L34" s="94"/>
      <c r="M34" s="472"/>
      <c r="N34" s="420"/>
      <c r="O34" s="414">
        <f t="shared" si="7"/>
        <v>0</v>
      </c>
      <c r="P34" s="96">
        <f t="shared" si="6"/>
        <v>0</v>
      </c>
      <c r="Q34" s="519"/>
      <c r="R34" s="72"/>
    </row>
    <row r="35" spans="1:18" s="25" customFormat="1" ht="12">
      <c r="A35" s="21"/>
      <c r="B35" s="31" t="s">
        <v>36</v>
      </c>
      <c r="C35" s="31"/>
      <c r="D35" s="31"/>
      <c r="E35" s="33">
        <v>33</v>
      </c>
      <c r="F35" s="119">
        <f t="shared" si="3"/>
        <v>0</v>
      </c>
      <c r="G35" s="499"/>
      <c r="H35" s="126"/>
      <c r="I35" s="95"/>
      <c r="J35" s="308"/>
      <c r="K35" s="95"/>
      <c r="L35" s="94"/>
      <c r="M35" s="472"/>
      <c r="N35" s="420"/>
      <c r="O35" s="414">
        <f t="shared" si="7"/>
        <v>0</v>
      </c>
      <c r="P35" s="96">
        <f>N35</f>
        <v>0</v>
      </c>
      <c r="Q35" s="519">
        <f>Q20</f>
        <v>1189</v>
      </c>
      <c r="R35" s="72"/>
    </row>
    <row r="36" spans="1:18" s="640" customFormat="1" ht="12">
      <c r="A36" s="628"/>
      <c r="B36" s="629" t="s">
        <v>175</v>
      </c>
      <c r="C36" s="629"/>
      <c r="D36" s="629"/>
      <c r="E36" s="630">
        <v>34</v>
      </c>
      <c r="F36" s="631">
        <f t="shared" si="3"/>
        <v>18307</v>
      </c>
      <c r="G36" s="649">
        <f>G21</f>
        <v>18307</v>
      </c>
      <c r="H36" s="633"/>
      <c r="I36" s="634"/>
      <c r="J36" s="635"/>
      <c r="K36" s="634"/>
      <c r="L36" s="636"/>
      <c r="M36" s="632"/>
      <c r="N36" s="641"/>
      <c r="O36" s="734">
        <f t="shared" si="7"/>
        <v>0</v>
      </c>
      <c r="P36" s="632">
        <f>P21</f>
        <v>0</v>
      </c>
      <c r="Q36" s="519">
        <f>Q21</f>
        <v>18307</v>
      </c>
      <c r="R36" s="51"/>
    </row>
    <row r="37" spans="1:18" s="25" customFormat="1" ht="12">
      <c r="A37" s="21"/>
      <c r="B37" s="31" t="s">
        <v>54</v>
      </c>
      <c r="C37" s="31"/>
      <c r="D37" s="31"/>
      <c r="E37" s="33">
        <v>35</v>
      </c>
      <c r="F37" s="119">
        <f t="shared" si="3"/>
        <v>0</v>
      </c>
      <c r="G37" s="499"/>
      <c r="H37" s="126"/>
      <c r="I37" s="159"/>
      <c r="J37" s="314"/>
      <c r="K37" s="159"/>
      <c r="L37" s="94"/>
      <c r="M37" s="472"/>
      <c r="N37" s="420"/>
      <c r="O37" s="414">
        <f t="shared" si="7"/>
        <v>0</v>
      </c>
      <c r="P37" s="96">
        <f t="shared" si="6"/>
        <v>0</v>
      </c>
      <c r="Q37" s="519"/>
      <c r="R37" s="72"/>
    </row>
    <row r="38" spans="1:18" s="25" customFormat="1" ht="12">
      <c r="A38" s="21"/>
      <c r="B38" s="31" t="s">
        <v>170</v>
      </c>
      <c r="C38" s="31"/>
      <c r="D38" s="31"/>
      <c r="E38" s="33">
        <v>36</v>
      </c>
      <c r="F38" s="119">
        <f t="shared" si="3"/>
        <v>0</v>
      </c>
      <c r="G38" s="499"/>
      <c r="H38" s="126"/>
      <c r="I38" s="159"/>
      <c r="J38" s="314"/>
      <c r="K38" s="159"/>
      <c r="L38" s="94"/>
      <c r="M38" s="472"/>
      <c r="N38" s="420"/>
      <c r="O38" s="414">
        <f t="shared" si="7"/>
        <v>0</v>
      </c>
      <c r="P38" s="96">
        <f t="shared" si="6"/>
        <v>0</v>
      </c>
      <c r="Q38" s="519"/>
      <c r="R38" s="72"/>
    </row>
    <row r="39" spans="1:18" s="25" customFormat="1" ht="12">
      <c r="A39" s="21"/>
      <c r="B39" s="31" t="s">
        <v>56</v>
      </c>
      <c r="C39" s="31"/>
      <c r="D39" s="31"/>
      <c r="E39" s="33">
        <v>37</v>
      </c>
      <c r="F39" s="119">
        <f t="shared" si="3"/>
        <v>0</v>
      </c>
      <c r="G39" s="499"/>
      <c r="H39" s="126"/>
      <c r="I39" s="159"/>
      <c r="J39" s="314"/>
      <c r="K39" s="159"/>
      <c r="L39" s="94"/>
      <c r="M39" s="472"/>
      <c r="N39" s="420"/>
      <c r="O39" s="414">
        <f t="shared" si="7"/>
        <v>0</v>
      </c>
      <c r="P39" s="96">
        <f t="shared" si="6"/>
        <v>0</v>
      </c>
      <c r="Q39" s="519"/>
      <c r="R39" s="72"/>
    </row>
    <row r="40" spans="1:19" s="25" customFormat="1" ht="12">
      <c r="A40" s="21"/>
      <c r="B40" s="31" t="s">
        <v>57</v>
      </c>
      <c r="C40" s="31"/>
      <c r="D40" s="31"/>
      <c r="E40" s="33">
        <v>38</v>
      </c>
      <c r="F40" s="119">
        <f t="shared" si="3"/>
        <v>908</v>
      </c>
      <c r="G40" s="499">
        <f>G24</f>
        <v>908</v>
      </c>
      <c r="H40" s="126"/>
      <c r="I40" s="159"/>
      <c r="J40" s="314"/>
      <c r="K40" s="159"/>
      <c r="L40" s="94"/>
      <c r="M40" s="472"/>
      <c r="N40" s="420"/>
      <c r="O40" s="414">
        <f t="shared" si="7"/>
        <v>0</v>
      </c>
      <c r="P40" s="96">
        <f>M40</f>
        <v>0</v>
      </c>
      <c r="Q40" s="519">
        <f>Q24</f>
        <v>1901</v>
      </c>
      <c r="R40" s="72"/>
      <c r="S40" s="252">
        <v>0</v>
      </c>
    </row>
    <row r="41" spans="1:18" s="640" customFormat="1" ht="12">
      <c r="A41" s="628"/>
      <c r="B41" s="629" t="s">
        <v>186</v>
      </c>
      <c r="C41" s="629"/>
      <c r="D41" s="629"/>
      <c r="E41" s="630">
        <v>39</v>
      </c>
      <c r="F41" s="631">
        <f t="shared" si="3"/>
        <v>2590</v>
      </c>
      <c r="G41" s="893">
        <f>G25</f>
        <v>2590</v>
      </c>
      <c r="H41" s="633"/>
      <c r="I41" s="738"/>
      <c r="J41" s="739"/>
      <c r="K41" s="738"/>
      <c r="L41" s="636"/>
      <c r="M41" s="632"/>
      <c r="N41" s="641"/>
      <c r="O41" s="734">
        <f>IF(F41=0,0,N41/F41)</f>
        <v>0</v>
      </c>
      <c r="P41" s="632">
        <f t="shared" si="6"/>
        <v>2590</v>
      </c>
      <c r="Q41" s="519">
        <f>Q25</f>
        <v>2581</v>
      </c>
      <c r="R41" s="51"/>
    </row>
    <row r="42" spans="1:18" s="25" customFormat="1" ht="12">
      <c r="A42" s="21"/>
      <c r="B42" s="31" t="s">
        <v>58</v>
      </c>
      <c r="C42" s="31"/>
      <c r="D42" s="31"/>
      <c r="E42" s="33">
        <v>40</v>
      </c>
      <c r="F42" s="119">
        <f t="shared" si="3"/>
        <v>0</v>
      </c>
      <c r="G42" s="499">
        <f>G26</f>
        <v>0</v>
      </c>
      <c r="H42" s="126"/>
      <c r="I42" s="159"/>
      <c r="J42" s="314"/>
      <c r="K42" s="159"/>
      <c r="L42" s="94"/>
      <c r="M42" s="472"/>
      <c r="N42" s="420"/>
      <c r="O42" s="414">
        <f>IF(F42=0,0,N42/F42)</f>
        <v>0</v>
      </c>
      <c r="P42" s="96">
        <f>N42</f>
        <v>0</v>
      </c>
      <c r="Q42" s="519">
        <f>Q26</f>
        <v>2925</v>
      </c>
      <c r="R42" s="72"/>
    </row>
    <row r="43" spans="1:18" s="25" customFormat="1" ht="12">
      <c r="A43" s="21"/>
      <c r="B43" s="31" t="s">
        <v>59</v>
      </c>
      <c r="C43" s="31"/>
      <c r="D43" s="31"/>
      <c r="E43" s="33">
        <v>41</v>
      </c>
      <c r="F43" s="119">
        <f t="shared" si="3"/>
        <v>398</v>
      </c>
      <c r="G43" s="886">
        <v>398</v>
      </c>
      <c r="H43" s="126"/>
      <c r="I43" s="159"/>
      <c r="J43" s="314"/>
      <c r="K43" s="159"/>
      <c r="L43" s="94"/>
      <c r="M43" s="472"/>
      <c r="N43" s="420"/>
      <c r="O43" s="414">
        <f>IF(F43=0,0,N43/F43)</f>
        <v>0</v>
      </c>
      <c r="P43" s="96" t="e">
        <f>N43/titl!H17*12</f>
        <v>#DIV/0!</v>
      </c>
      <c r="Q43" s="519">
        <v>54455</v>
      </c>
      <c r="R43" s="72"/>
    </row>
    <row r="44" spans="1:19" s="25" customFormat="1" ht="12">
      <c r="A44" s="21"/>
      <c r="B44" s="31" t="s">
        <v>60</v>
      </c>
      <c r="C44" s="31"/>
      <c r="D44" s="31"/>
      <c r="E44" s="33">
        <v>42</v>
      </c>
      <c r="F44" s="119">
        <f t="shared" si="3"/>
        <v>37901</v>
      </c>
      <c r="G44" s="612"/>
      <c r="H44" s="126"/>
      <c r="I44" s="159">
        <v>37650</v>
      </c>
      <c r="J44" s="314"/>
      <c r="K44" s="159">
        <v>251</v>
      </c>
      <c r="L44" s="94"/>
      <c r="M44" s="472"/>
      <c r="N44" s="420"/>
      <c r="O44" s="414">
        <f>IF(F44=0,0,N44/F44)</f>
        <v>0</v>
      </c>
      <c r="P44" s="96">
        <f>N44</f>
        <v>0</v>
      </c>
      <c r="Q44" s="519">
        <v>251</v>
      </c>
      <c r="R44" s="255"/>
      <c r="S44" s="252">
        <v>49146</v>
      </c>
    </row>
    <row r="45" spans="1:18" s="25" customFormat="1" ht="12.75" thickBot="1">
      <c r="A45" s="40"/>
      <c r="B45" s="41" t="s">
        <v>47</v>
      </c>
      <c r="C45" s="41"/>
      <c r="D45" s="41"/>
      <c r="E45" s="42">
        <v>43</v>
      </c>
      <c r="F45" s="200">
        <f t="shared" si="3"/>
        <v>30000</v>
      </c>
      <c r="G45" s="500">
        <v>30000</v>
      </c>
      <c r="H45" s="174"/>
      <c r="I45" s="99"/>
      <c r="J45" s="309"/>
      <c r="K45" s="99"/>
      <c r="L45" s="98"/>
      <c r="M45" s="200"/>
      <c r="N45" s="421"/>
      <c r="O45" s="415">
        <f>IF(F45=0,0,N45/F45)</f>
        <v>0</v>
      </c>
      <c r="P45" s="522" t="e">
        <f>N45/titl!$H$17*12</f>
        <v>#DIV/0!</v>
      </c>
      <c r="Q45" s="592">
        <v>26298</v>
      </c>
      <c r="R45" s="72"/>
    </row>
    <row r="46" spans="1:18" s="25" customFormat="1" ht="12.75" hidden="1" thickBot="1">
      <c r="A46" s="44" t="s">
        <v>61</v>
      </c>
      <c r="B46" s="45"/>
      <c r="C46" s="45"/>
      <c r="D46" s="45"/>
      <c r="E46" s="28">
        <v>44</v>
      </c>
      <c r="F46" s="201">
        <f>F29+F34+F38+F43+F44+F45-F4-F27</f>
        <v>1500</v>
      </c>
      <c r="G46" s="613">
        <f>G29+G34+G38+G43+G45-G4-G27</f>
        <v>1500</v>
      </c>
      <c r="H46" s="102">
        <f>H29+H34+H38+H43+H44+H45-H4-H27</f>
        <v>0</v>
      </c>
      <c r="I46" s="102">
        <f>I29+I34+I38+I43+I44+I45-I4-I27</f>
        <v>0</v>
      </c>
      <c r="J46" s="102">
        <f>J29+J34+J38+J43+J44+J45-J4-J27</f>
        <v>0</v>
      </c>
      <c r="K46" s="320"/>
      <c r="L46" s="102">
        <f>L29+L34+L38+L43+L44+L45-L4-L27</f>
        <v>0</v>
      </c>
      <c r="M46" s="201">
        <f>M29+M34+M38+M43+M44+M45+-M4-M27</f>
        <v>0</v>
      </c>
      <c r="N46" s="422">
        <f>N29+N34+N38+N43+N44+N45-N4-N27</f>
        <v>0</v>
      </c>
      <c r="O46" s="416"/>
      <c r="P46" s="103" t="e">
        <f>P29+P34+P38+P43+P44+P45-P4-P27</f>
        <v>#DIV/0!</v>
      </c>
      <c r="Q46" s="593">
        <f>Q29+Q34+Q38+Q43+Q44+Q45-Q4-Q27</f>
        <v>1159</v>
      </c>
      <c r="R46" s="72"/>
    </row>
    <row r="47" spans="1:17" ht="13.5" thickBot="1">
      <c r="A47" s="37" t="s">
        <v>62</v>
      </c>
      <c r="B47" s="38"/>
      <c r="C47" s="38"/>
      <c r="D47" s="38"/>
      <c r="E47" s="19">
        <v>45</v>
      </c>
      <c r="F47" s="197">
        <f>F28-F3</f>
        <v>1500</v>
      </c>
      <c r="G47" s="597">
        <f aca="true" t="shared" si="8" ref="G47:N47">G28-G3</f>
        <v>1500</v>
      </c>
      <c r="H47" s="125">
        <f t="shared" si="8"/>
        <v>0</v>
      </c>
      <c r="I47" s="77">
        <f t="shared" si="8"/>
        <v>0</v>
      </c>
      <c r="J47" s="304">
        <f t="shared" si="8"/>
        <v>0</v>
      </c>
      <c r="K47" s="77">
        <f t="shared" si="8"/>
        <v>0</v>
      </c>
      <c r="L47" s="76">
        <f t="shared" si="8"/>
        <v>0</v>
      </c>
      <c r="M47" s="197">
        <f>M28-M3</f>
        <v>0</v>
      </c>
      <c r="N47" s="471">
        <f t="shared" si="8"/>
        <v>0</v>
      </c>
      <c r="O47" s="413"/>
      <c r="P47" s="78" t="e">
        <f>P28-P3</f>
        <v>#DIV/0!</v>
      </c>
      <c r="Q47" s="588">
        <f>Q28-Q3</f>
        <v>1159</v>
      </c>
    </row>
    <row r="48" spans="1:11" ht="12.75">
      <c r="A48" s="47"/>
      <c r="B48" s="47"/>
      <c r="C48" s="47"/>
      <c r="D48" s="47"/>
      <c r="E48" s="48"/>
      <c r="I48" s="336">
        <v>35025149</v>
      </c>
      <c r="J48" s="340"/>
      <c r="K48" s="335"/>
    </row>
    <row r="49" spans="5:18" s="47" customFormat="1" ht="11.25">
      <c r="E49" s="48"/>
      <c r="G49" s="59"/>
      <c r="H49" s="59"/>
      <c r="I49" s="59"/>
      <c r="J49" s="59"/>
      <c r="K49" s="59"/>
      <c r="L49" s="59"/>
      <c r="M49" s="59"/>
      <c r="N49" s="59"/>
      <c r="O49" s="253"/>
      <c r="Q49" s="72"/>
      <c r="R49" s="72"/>
    </row>
    <row r="50" spans="1:18" s="47" customFormat="1" ht="11.25">
      <c r="A50" s="47" t="s">
        <v>166</v>
      </c>
      <c r="E50" s="48"/>
      <c r="F50" s="202"/>
      <c r="G50" s="59"/>
      <c r="I50" s="109"/>
      <c r="L50" s="59"/>
      <c r="M50" s="59"/>
      <c r="N50" s="59"/>
      <c r="O50" s="253"/>
      <c r="Q50" s="72"/>
      <c r="R50" s="72"/>
    </row>
    <row r="51" spans="5:18" s="51" customFormat="1" ht="11.25">
      <c r="E51" s="53"/>
      <c r="G51" s="72"/>
      <c r="H51" s="72"/>
      <c r="I51" s="72"/>
      <c r="J51" s="72"/>
      <c r="K51" s="72"/>
      <c r="L51" s="72"/>
      <c r="M51" s="72"/>
      <c r="N51" s="72"/>
      <c r="O51" s="253"/>
      <c r="Q51" s="72"/>
      <c r="R51" s="72"/>
    </row>
    <row r="52" spans="1:18" s="47" customFormat="1" ht="11.25">
      <c r="A52" s="51"/>
      <c r="B52" s="51"/>
      <c r="C52" s="51"/>
      <c r="D52" s="51"/>
      <c r="E52" s="48"/>
      <c r="G52" s="59"/>
      <c r="H52" s="59"/>
      <c r="I52" s="59"/>
      <c r="J52" s="59"/>
      <c r="K52" s="59"/>
      <c r="L52" s="59"/>
      <c r="M52" s="59"/>
      <c r="N52" s="59"/>
      <c r="O52" s="253"/>
      <c r="Q52" s="72"/>
      <c r="R52" s="72"/>
    </row>
    <row r="53" spans="1:18" s="59" customFormat="1" ht="11.25">
      <c r="A53" s="51"/>
      <c r="B53" s="51"/>
      <c r="C53" s="51"/>
      <c r="D53" s="51"/>
      <c r="E53" s="57"/>
      <c r="F53" s="47"/>
      <c r="O53" s="253"/>
      <c r="Q53" s="72"/>
      <c r="R53" s="72"/>
    </row>
    <row r="54" spans="1:18" s="59" customFormat="1" ht="11.25">
      <c r="A54" s="51"/>
      <c r="B54" s="51"/>
      <c r="C54" s="51"/>
      <c r="D54" s="51"/>
      <c r="E54" s="57"/>
      <c r="F54" s="47"/>
      <c r="O54" s="253"/>
      <c r="Q54" s="72"/>
      <c r="R54" s="72"/>
    </row>
    <row r="55" spans="1:18" s="59" customFormat="1" ht="11.25">
      <c r="A55" s="51"/>
      <c r="B55" s="51"/>
      <c r="C55" s="51"/>
      <c r="D55" s="51"/>
      <c r="E55" s="57"/>
      <c r="F55" s="47"/>
      <c r="O55" s="253"/>
      <c r="Q55" s="72"/>
      <c r="R55" s="72"/>
    </row>
    <row r="58" spans="2:18" s="59" customFormat="1" ht="11.25" hidden="1">
      <c r="B58" s="767" t="s">
        <v>191</v>
      </c>
      <c r="C58" s="340"/>
      <c r="D58" s="340"/>
      <c r="E58" s="817"/>
      <c r="F58" s="782"/>
      <c r="G58" s="340"/>
      <c r="H58" s="340"/>
      <c r="I58" s="340"/>
      <c r="J58" s="340"/>
      <c r="K58" s="340"/>
      <c r="L58" s="340"/>
      <c r="M58" s="340"/>
      <c r="N58" s="811"/>
      <c r="O58" s="804"/>
      <c r="P58" s="787" t="e">
        <f>N58/titl!$H$17*12</f>
        <v>#DIV/0!</v>
      </c>
      <c r="Q58" s="72"/>
      <c r="R58" s="72"/>
    </row>
    <row r="59" spans="2:18" s="59" customFormat="1" ht="11.25" hidden="1">
      <c r="B59" s="818" t="s">
        <v>192</v>
      </c>
      <c r="C59" s="233"/>
      <c r="D59" s="233"/>
      <c r="E59" s="819"/>
      <c r="F59" s="783"/>
      <c r="G59" s="233"/>
      <c r="H59" s="233"/>
      <c r="I59" s="233"/>
      <c r="J59" s="233"/>
      <c r="K59" s="233"/>
      <c r="L59" s="233"/>
      <c r="M59" s="233"/>
      <c r="N59" s="537">
        <f>N43+N45-N58</f>
        <v>0</v>
      </c>
      <c r="O59" s="805"/>
      <c r="P59" s="789" t="e">
        <f>N59/titl!$H$17*12</f>
        <v>#DIV/0!</v>
      </c>
      <c r="Q59" s="72"/>
      <c r="R59" s="72"/>
    </row>
    <row r="60" spans="2:18" s="59" customFormat="1" ht="11.25" hidden="1">
      <c r="B60" s="818" t="s">
        <v>193</v>
      </c>
      <c r="C60" s="233"/>
      <c r="D60" s="233"/>
      <c r="E60" s="819"/>
      <c r="F60" s="783"/>
      <c r="G60" s="233"/>
      <c r="H60" s="233"/>
      <c r="I60" s="233"/>
      <c r="J60" s="233"/>
      <c r="K60" s="233"/>
      <c r="L60" s="233"/>
      <c r="M60" s="233"/>
      <c r="N60" s="109"/>
      <c r="O60" s="805"/>
      <c r="P60" s="789" t="e">
        <f>N60/titl!$H$17*12</f>
        <v>#DIV/0!</v>
      </c>
      <c r="Q60" s="72"/>
      <c r="R60" s="72"/>
    </row>
    <row r="61" spans="2:18" s="59" customFormat="1" ht="11.25" hidden="1">
      <c r="B61" s="818" t="s">
        <v>194</v>
      </c>
      <c r="C61" s="233"/>
      <c r="D61" s="233"/>
      <c r="E61" s="819"/>
      <c r="F61" s="783"/>
      <c r="G61" s="233"/>
      <c r="H61" s="233"/>
      <c r="I61" s="233"/>
      <c r="J61" s="233"/>
      <c r="K61" s="233"/>
      <c r="L61" s="233"/>
      <c r="M61" s="233"/>
      <c r="N61" s="537">
        <f>N59+N60</f>
        <v>0</v>
      </c>
      <c r="O61" s="805"/>
      <c r="P61" s="789" t="e">
        <f>N61/titl!$H$17*12</f>
        <v>#DIV/0!</v>
      </c>
      <c r="Q61" s="72"/>
      <c r="R61" s="72"/>
    </row>
    <row r="62" spans="2:18" s="59" customFormat="1" ht="12" hidden="1" thickBot="1">
      <c r="B62" s="820" t="s">
        <v>195</v>
      </c>
      <c r="C62" s="785"/>
      <c r="D62" s="785"/>
      <c r="E62" s="821"/>
      <c r="F62" s="784"/>
      <c r="G62" s="785"/>
      <c r="H62" s="785"/>
      <c r="I62" s="785"/>
      <c r="J62" s="785"/>
      <c r="K62" s="785"/>
      <c r="L62" s="785"/>
      <c r="M62" s="785"/>
      <c r="N62" s="810">
        <f>N61*4%</f>
        <v>0</v>
      </c>
      <c r="O62" s="801"/>
      <c r="P62" s="790" t="e">
        <f>N62/titl!$H$17*12</f>
        <v>#DIV/0!</v>
      </c>
      <c r="Q62" s="72"/>
      <c r="R62" s="72"/>
    </row>
  </sheetData>
  <mergeCells count="5">
    <mergeCell ref="S1:S2"/>
    <mergeCell ref="A1:D1"/>
    <mergeCell ref="H1:L1"/>
    <mergeCell ref="C2:D2"/>
    <mergeCell ref="R1:R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62"/>
  <sheetViews>
    <sheetView workbookViewId="0" topLeftCell="A1">
      <pane ySplit="3" topLeftCell="BM4" activePane="bottomLeft" state="frozen"/>
      <selection pane="topLeft" activeCell="D38" sqref="D38"/>
      <selection pane="bottomLeft" activeCell="D38" sqref="D38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60" bestFit="1" customWidth="1"/>
    <col min="6" max="6" width="9.25390625" style="47" bestFit="1" customWidth="1"/>
    <col min="7" max="7" width="9.25390625" style="59" bestFit="1" customWidth="1"/>
    <col min="8" max="8" width="6.25390625" style="59" customWidth="1"/>
    <col min="9" max="9" width="7.75390625" style="59" customWidth="1"/>
    <col min="10" max="10" width="6.00390625" style="59" customWidth="1"/>
    <col min="11" max="11" width="7.00390625" style="59" customWidth="1"/>
    <col min="12" max="12" width="6.125" style="59" customWidth="1"/>
    <col min="13" max="13" width="8.125" style="59" hidden="1" customWidth="1"/>
    <col min="14" max="14" width="12.875" style="59" hidden="1" customWidth="1" collapsed="1"/>
    <col min="15" max="15" width="7.25390625" style="253" hidden="1" customWidth="1"/>
    <col min="16" max="16" width="9.25390625" style="0" hidden="1" customWidth="1"/>
    <col min="17" max="17" width="9.25390625" style="0" bestFit="1" customWidth="1" collapsed="1"/>
    <col min="18" max="18" width="7.25390625" style="72" customWidth="1"/>
    <col min="19" max="19" width="7.25390625" style="0" customWidth="1"/>
  </cols>
  <sheetData>
    <row r="1" spans="1:19" ht="15.75" customHeight="1">
      <c r="A1" s="1046" t="s">
        <v>236</v>
      </c>
      <c r="B1" s="1047"/>
      <c r="C1" s="1047"/>
      <c r="D1" s="1048"/>
      <c r="E1" s="1"/>
      <c r="F1" s="543" t="s">
        <v>0</v>
      </c>
      <c r="G1" s="606" t="s">
        <v>2</v>
      </c>
      <c r="H1" s="1050" t="s">
        <v>3</v>
      </c>
      <c r="I1" s="1050"/>
      <c r="J1" s="1050"/>
      <c r="K1" s="1050"/>
      <c r="L1" s="1051"/>
      <c r="M1" s="181" t="s">
        <v>1</v>
      </c>
      <c r="N1" s="538" t="s">
        <v>4</v>
      </c>
      <c r="O1" s="67" t="s">
        <v>144</v>
      </c>
      <c r="P1" s="67" t="s">
        <v>145</v>
      </c>
      <c r="Q1" s="67" t="s">
        <v>4</v>
      </c>
      <c r="R1" s="1056" t="s">
        <v>190</v>
      </c>
      <c r="S1" s="1057" t="s">
        <v>188</v>
      </c>
    </row>
    <row r="2" spans="1:19" s="16" customFormat="1" ht="13.5" thickBot="1">
      <c r="A2" s="6"/>
      <c r="B2" s="7"/>
      <c r="C2" s="1052" t="s">
        <v>214</v>
      </c>
      <c r="D2" s="1053"/>
      <c r="E2" s="9" t="s">
        <v>5</v>
      </c>
      <c r="F2" s="544">
        <v>2011</v>
      </c>
      <c r="G2" s="607" t="s">
        <v>8</v>
      </c>
      <c r="H2" s="69" t="s">
        <v>9</v>
      </c>
      <c r="I2" s="70" t="s">
        <v>10</v>
      </c>
      <c r="J2" s="303" t="s">
        <v>11</v>
      </c>
      <c r="K2" s="248" t="s">
        <v>126</v>
      </c>
      <c r="L2" s="68" t="s">
        <v>12</v>
      </c>
      <c r="M2" s="544" t="s">
        <v>7</v>
      </c>
      <c r="N2" s="539">
        <v>2011</v>
      </c>
      <c r="O2" s="71"/>
      <c r="P2" s="71"/>
      <c r="Q2" s="71">
        <v>2010</v>
      </c>
      <c r="R2" s="1056"/>
      <c r="S2" s="1057"/>
    </row>
    <row r="3" spans="1:17" ht="13.5" thickBot="1">
      <c r="A3" s="17" t="s">
        <v>13</v>
      </c>
      <c r="B3" s="18"/>
      <c r="C3" s="18"/>
      <c r="D3" s="18"/>
      <c r="E3" s="19">
        <v>1</v>
      </c>
      <c r="F3" s="197">
        <f aca="true" t="shared" si="0" ref="F3:N3">SUM(F5:F27)</f>
        <v>4869</v>
      </c>
      <c r="G3" s="597">
        <f t="shared" si="0"/>
        <v>4029</v>
      </c>
      <c r="H3" s="125">
        <f t="shared" si="0"/>
        <v>811</v>
      </c>
      <c r="I3" s="77">
        <f t="shared" si="0"/>
        <v>0</v>
      </c>
      <c r="J3" s="304">
        <f t="shared" si="0"/>
        <v>0</v>
      </c>
      <c r="K3" s="77">
        <f t="shared" si="0"/>
        <v>29</v>
      </c>
      <c r="L3" s="76">
        <f t="shared" si="0"/>
        <v>0</v>
      </c>
      <c r="M3" s="197">
        <f t="shared" si="0"/>
        <v>0</v>
      </c>
      <c r="N3" s="471">
        <f t="shared" si="0"/>
        <v>0</v>
      </c>
      <c r="O3" s="413">
        <f>IF(F3=0,0,N3/F3)</f>
        <v>0</v>
      </c>
      <c r="P3" s="78">
        <f>SUM(P5:P27)</f>
        <v>0</v>
      </c>
      <c r="Q3" s="78">
        <f>SUM(Q5:Q27)</f>
        <v>0</v>
      </c>
    </row>
    <row r="4" spans="1:18" s="25" customFormat="1" ht="12">
      <c r="A4" s="21" t="s">
        <v>14</v>
      </c>
      <c r="B4" s="22" t="s">
        <v>15</v>
      </c>
      <c r="C4" s="22"/>
      <c r="D4" s="22"/>
      <c r="E4" s="23">
        <v>2</v>
      </c>
      <c r="F4" s="198">
        <f aca="true" t="shared" si="1" ref="F4:N4">SUM(F5:F15)</f>
        <v>4362</v>
      </c>
      <c r="G4" s="594">
        <f t="shared" si="1"/>
        <v>3522</v>
      </c>
      <c r="H4" s="112">
        <f t="shared" si="1"/>
        <v>811</v>
      </c>
      <c r="I4" s="81">
        <f t="shared" si="1"/>
        <v>0</v>
      </c>
      <c r="J4" s="305">
        <f t="shared" si="1"/>
        <v>0</v>
      </c>
      <c r="K4" s="81">
        <f t="shared" si="1"/>
        <v>29</v>
      </c>
      <c r="L4" s="80">
        <f t="shared" si="1"/>
        <v>0</v>
      </c>
      <c r="M4" s="198">
        <f t="shared" si="1"/>
        <v>0</v>
      </c>
      <c r="N4" s="417">
        <f t="shared" si="1"/>
        <v>0</v>
      </c>
      <c r="O4" s="410">
        <f>IF(F4=0,0,N4/F4)</f>
        <v>0</v>
      </c>
      <c r="P4" s="82">
        <f>SUM(P5:P15)</f>
        <v>0</v>
      </c>
      <c r="Q4" s="82">
        <f>SUM(Q5:Q15)</f>
        <v>0</v>
      </c>
      <c r="R4" s="72"/>
    </row>
    <row r="5" spans="1:18" s="65" customFormat="1" ht="12">
      <c r="A5" s="61"/>
      <c r="B5" s="62"/>
      <c r="C5" s="62" t="s">
        <v>16</v>
      </c>
      <c r="D5" s="63" t="s">
        <v>17</v>
      </c>
      <c r="E5" s="64">
        <v>3</v>
      </c>
      <c r="F5" s="199">
        <f aca="true" t="shared" si="2" ref="F5:F27">SUM(G5:L5)</f>
        <v>2147</v>
      </c>
      <c r="G5" s="609">
        <v>1336</v>
      </c>
      <c r="H5" s="84">
        <v>811</v>
      </c>
      <c r="I5" s="84"/>
      <c r="J5" s="306"/>
      <c r="K5" s="85"/>
      <c r="L5" s="86"/>
      <c r="M5" s="199"/>
      <c r="N5" s="418"/>
      <c r="O5" s="428"/>
      <c r="P5" s="850"/>
      <c r="Q5" s="87"/>
      <c r="R5" s="517"/>
    </row>
    <row r="6" spans="1:18" s="65" customFormat="1" ht="12">
      <c r="A6" s="61"/>
      <c r="B6" s="62"/>
      <c r="C6" s="62"/>
      <c r="D6" s="63" t="s">
        <v>18</v>
      </c>
      <c r="E6" s="64">
        <v>4</v>
      </c>
      <c r="F6" s="199">
        <f t="shared" si="2"/>
        <v>100</v>
      </c>
      <c r="G6" s="609">
        <v>100</v>
      </c>
      <c r="H6" s="84"/>
      <c r="I6" s="84"/>
      <c r="J6" s="306"/>
      <c r="K6" s="85"/>
      <c r="L6" s="86"/>
      <c r="M6" s="199"/>
      <c r="N6" s="418"/>
      <c r="O6" s="428"/>
      <c r="P6" s="850"/>
      <c r="Q6" s="87"/>
      <c r="R6" s="517"/>
    </row>
    <row r="7" spans="1:18" s="65" customFormat="1" ht="12">
      <c r="A7" s="61"/>
      <c r="B7" s="62"/>
      <c r="C7" s="62"/>
      <c r="D7" s="63" t="s">
        <v>19</v>
      </c>
      <c r="E7" s="64">
        <v>5</v>
      </c>
      <c r="F7" s="199">
        <f t="shared" si="2"/>
        <v>751</v>
      </c>
      <c r="G7" s="609">
        <v>751</v>
      </c>
      <c r="H7" s="84"/>
      <c r="I7" s="84"/>
      <c r="J7" s="306"/>
      <c r="K7" s="85"/>
      <c r="L7" s="86"/>
      <c r="M7" s="199"/>
      <c r="N7" s="418"/>
      <c r="O7" s="428"/>
      <c r="P7" s="850"/>
      <c r="Q7" s="87"/>
      <c r="R7" s="517"/>
    </row>
    <row r="8" spans="1:18" s="65" customFormat="1" ht="12">
      <c r="A8" s="61"/>
      <c r="B8" s="62"/>
      <c r="C8" s="62"/>
      <c r="D8" s="63" t="s">
        <v>20</v>
      </c>
      <c r="E8" s="64">
        <v>6</v>
      </c>
      <c r="F8" s="199">
        <f t="shared" si="2"/>
        <v>70</v>
      </c>
      <c r="G8" s="609">
        <v>70</v>
      </c>
      <c r="H8" s="84"/>
      <c r="I8" s="84"/>
      <c r="J8" s="306"/>
      <c r="K8" s="85"/>
      <c r="L8" s="86"/>
      <c r="M8" s="199"/>
      <c r="N8" s="418"/>
      <c r="O8" s="428"/>
      <c r="P8" s="87"/>
      <c r="Q8" s="87"/>
      <c r="R8" s="517"/>
    </row>
    <row r="9" spans="1:18" s="65" customFormat="1" ht="12">
      <c r="A9" s="61"/>
      <c r="B9" s="62"/>
      <c r="C9" s="62"/>
      <c r="D9" s="63" t="s">
        <v>21</v>
      </c>
      <c r="E9" s="64">
        <v>7</v>
      </c>
      <c r="F9" s="199">
        <f t="shared" si="2"/>
        <v>7</v>
      </c>
      <c r="G9" s="609">
        <v>7</v>
      </c>
      <c r="H9" s="84"/>
      <c r="I9" s="84"/>
      <c r="J9" s="306"/>
      <c r="K9" s="85"/>
      <c r="L9" s="86"/>
      <c r="M9" s="199"/>
      <c r="N9" s="418"/>
      <c r="O9" s="428"/>
      <c r="P9" s="87"/>
      <c r="Q9" s="87"/>
      <c r="R9" s="517"/>
    </row>
    <row r="10" spans="1:18" s="65" customFormat="1" ht="12">
      <c r="A10" s="61"/>
      <c r="B10" s="62"/>
      <c r="C10" s="62"/>
      <c r="D10" s="63" t="s">
        <v>22</v>
      </c>
      <c r="E10" s="64">
        <v>8</v>
      </c>
      <c r="F10" s="199">
        <f t="shared" si="2"/>
        <v>34</v>
      </c>
      <c r="G10" s="609">
        <v>34</v>
      </c>
      <c r="H10" s="84"/>
      <c r="I10" s="84"/>
      <c r="J10" s="306"/>
      <c r="K10" s="85"/>
      <c r="L10" s="86"/>
      <c r="M10" s="199"/>
      <c r="N10" s="418"/>
      <c r="O10" s="428"/>
      <c r="P10" s="87"/>
      <c r="Q10" s="87"/>
      <c r="R10" s="517"/>
    </row>
    <row r="11" spans="1:18" s="65" customFormat="1" ht="12">
      <c r="A11" s="61"/>
      <c r="B11" s="62"/>
      <c r="C11" s="62"/>
      <c r="D11" s="63" t="s">
        <v>23</v>
      </c>
      <c r="E11" s="64">
        <v>9</v>
      </c>
      <c r="F11" s="199">
        <f t="shared" si="2"/>
        <v>767</v>
      </c>
      <c r="G11" s="609">
        <v>767</v>
      </c>
      <c r="H11" s="84"/>
      <c r="I11" s="84"/>
      <c r="J11" s="306"/>
      <c r="K11" s="85"/>
      <c r="L11" s="86"/>
      <c r="M11" s="199"/>
      <c r="N11" s="418"/>
      <c r="O11" s="428"/>
      <c r="P11" s="87"/>
      <c r="Q11" s="87"/>
      <c r="R11" s="517"/>
    </row>
    <row r="12" spans="1:18" s="65" customFormat="1" ht="12">
      <c r="A12" s="61"/>
      <c r="B12" s="62"/>
      <c r="C12" s="62"/>
      <c r="D12" s="63" t="s">
        <v>24</v>
      </c>
      <c r="E12" s="64">
        <v>10</v>
      </c>
      <c r="F12" s="199">
        <f t="shared" si="2"/>
        <v>120</v>
      </c>
      <c r="G12" s="609">
        <v>120</v>
      </c>
      <c r="H12" s="84"/>
      <c r="I12" s="84"/>
      <c r="J12" s="306"/>
      <c r="K12" s="85"/>
      <c r="L12" s="86"/>
      <c r="M12" s="199"/>
      <c r="N12" s="418"/>
      <c r="O12" s="428"/>
      <c r="P12" s="87"/>
      <c r="Q12" s="87"/>
      <c r="R12" s="517"/>
    </row>
    <row r="13" spans="1:18" s="65" customFormat="1" ht="12">
      <c r="A13" s="61"/>
      <c r="B13" s="62"/>
      <c r="C13" s="62"/>
      <c r="D13" s="63" t="s">
        <v>25</v>
      </c>
      <c r="E13" s="64">
        <v>11</v>
      </c>
      <c r="F13" s="199">
        <f t="shared" si="2"/>
        <v>29</v>
      </c>
      <c r="G13" s="609">
        <v>29</v>
      </c>
      <c r="H13" s="84"/>
      <c r="I13" s="84"/>
      <c r="J13" s="306"/>
      <c r="K13" s="85"/>
      <c r="L13" s="86"/>
      <c r="M13" s="199"/>
      <c r="N13" s="418"/>
      <c r="O13" s="428"/>
      <c r="P13" s="850"/>
      <c r="Q13" s="87"/>
      <c r="R13" s="517"/>
    </row>
    <row r="14" spans="1:18" s="65" customFormat="1" ht="12">
      <c r="A14" s="61"/>
      <c r="B14" s="62"/>
      <c r="C14" s="62"/>
      <c r="D14" s="63" t="s">
        <v>26</v>
      </c>
      <c r="E14" s="64">
        <v>12</v>
      </c>
      <c r="F14" s="199">
        <f t="shared" si="2"/>
        <v>0</v>
      </c>
      <c r="G14" s="609"/>
      <c r="H14" s="84"/>
      <c r="I14" s="84"/>
      <c r="J14" s="306"/>
      <c r="K14" s="85"/>
      <c r="L14" s="86"/>
      <c r="M14" s="199"/>
      <c r="N14" s="418"/>
      <c r="O14" s="428"/>
      <c r="P14" s="87"/>
      <c r="Q14" s="87"/>
      <c r="R14" s="517"/>
    </row>
    <row r="15" spans="1:18" s="65" customFormat="1" ht="12">
      <c r="A15" s="61"/>
      <c r="B15" s="62"/>
      <c r="C15" s="63"/>
      <c r="D15" s="63" t="s">
        <v>27</v>
      </c>
      <c r="E15" s="64">
        <v>13</v>
      </c>
      <c r="F15" s="199">
        <f t="shared" si="2"/>
        <v>337</v>
      </c>
      <c r="G15" s="609">
        <v>308</v>
      </c>
      <c r="H15" s="84"/>
      <c r="I15" s="84"/>
      <c r="J15" s="306"/>
      <c r="K15" s="242">
        <v>29</v>
      </c>
      <c r="L15" s="86"/>
      <c r="M15" s="199"/>
      <c r="N15" s="418"/>
      <c r="O15" s="428"/>
      <c r="P15" s="87"/>
      <c r="Q15" s="87"/>
      <c r="R15" s="517"/>
    </row>
    <row r="16" spans="1:18" s="25" customFormat="1" ht="12">
      <c r="A16" s="21"/>
      <c r="B16" s="30" t="s">
        <v>28</v>
      </c>
      <c r="C16" s="27"/>
      <c r="D16" s="27"/>
      <c r="E16" s="28">
        <v>14</v>
      </c>
      <c r="F16" s="119">
        <f t="shared" si="2"/>
        <v>0</v>
      </c>
      <c r="G16" s="596"/>
      <c r="H16" s="89"/>
      <c r="I16" s="90"/>
      <c r="J16" s="307"/>
      <c r="K16" s="90"/>
      <c r="L16" s="91"/>
      <c r="M16" s="119"/>
      <c r="N16" s="419"/>
      <c r="O16" s="412"/>
      <c r="P16" s="92"/>
      <c r="Q16" s="92"/>
      <c r="R16" s="72"/>
    </row>
    <row r="17" spans="1:18" s="25" customFormat="1" ht="12">
      <c r="A17" s="21"/>
      <c r="B17" s="30" t="s">
        <v>30</v>
      </c>
      <c r="C17" s="27"/>
      <c r="D17" s="27"/>
      <c r="E17" s="28">
        <v>15</v>
      </c>
      <c r="F17" s="119">
        <f t="shared" si="2"/>
        <v>0</v>
      </c>
      <c r="G17" s="596"/>
      <c r="H17" s="89"/>
      <c r="I17" s="90"/>
      <c r="J17" s="307"/>
      <c r="K17" s="90"/>
      <c r="L17" s="91"/>
      <c r="M17" s="119"/>
      <c r="N17" s="419"/>
      <c r="O17" s="412"/>
      <c r="P17" s="92"/>
      <c r="Q17" s="92"/>
      <c r="R17" s="72"/>
    </row>
    <row r="18" spans="1:18" s="25" customFormat="1" ht="12">
      <c r="A18" s="21"/>
      <c r="B18" s="31" t="s">
        <v>32</v>
      </c>
      <c r="C18" s="32"/>
      <c r="D18" s="32"/>
      <c r="E18" s="33">
        <v>16</v>
      </c>
      <c r="F18" s="119">
        <f t="shared" si="2"/>
        <v>0</v>
      </c>
      <c r="G18" s="596"/>
      <c r="H18" s="89"/>
      <c r="I18" s="90"/>
      <c r="J18" s="307"/>
      <c r="K18" s="90"/>
      <c r="L18" s="91"/>
      <c r="M18" s="119"/>
      <c r="N18" s="419"/>
      <c r="O18" s="412"/>
      <c r="P18" s="92"/>
      <c r="Q18" s="92"/>
      <c r="R18" s="72"/>
    </row>
    <row r="19" spans="1:18" s="25" customFormat="1" ht="12">
      <c r="A19" s="21"/>
      <c r="B19" s="31" t="s">
        <v>34</v>
      </c>
      <c r="C19" s="32"/>
      <c r="D19" s="32"/>
      <c r="E19" s="33">
        <v>17</v>
      </c>
      <c r="F19" s="119">
        <f t="shared" si="2"/>
        <v>0</v>
      </c>
      <c r="G19" s="596"/>
      <c r="H19" s="89"/>
      <c r="I19" s="90"/>
      <c r="J19" s="307"/>
      <c r="K19" s="90"/>
      <c r="L19" s="91"/>
      <c r="M19" s="119"/>
      <c r="N19" s="419"/>
      <c r="O19" s="412"/>
      <c r="P19" s="92"/>
      <c r="Q19" s="92"/>
      <c r="R19" s="72"/>
    </row>
    <row r="20" spans="1:18" s="25" customFormat="1" ht="12">
      <c r="A20" s="21"/>
      <c r="B20" s="31" t="s">
        <v>36</v>
      </c>
      <c r="C20" s="31"/>
      <c r="D20" s="31"/>
      <c r="E20" s="33">
        <v>18</v>
      </c>
      <c r="F20" s="119">
        <f t="shared" si="2"/>
        <v>0</v>
      </c>
      <c r="G20" s="596"/>
      <c r="H20" s="89"/>
      <c r="I20" s="90"/>
      <c r="J20" s="307"/>
      <c r="K20" s="90"/>
      <c r="L20" s="91"/>
      <c r="M20" s="119"/>
      <c r="N20" s="419"/>
      <c r="O20" s="412"/>
      <c r="P20" s="92"/>
      <c r="Q20" s="92"/>
      <c r="R20" s="72"/>
    </row>
    <row r="21" spans="1:18" s="640" customFormat="1" ht="12">
      <c r="A21" s="628"/>
      <c r="B21" s="629" t="s">
        <v>175</v>
      </c>
      <c r="C21" s="629"/>
      <c r="D21" s="629"/>
      <c r="E21" s="630">
        <v>19</v>
      </c>
      <c r="F21" s="631">
        <f t="shared" si="2"/>
        <v>0</v>
      </c>
      <c r="G21" s="643"/>
      <c r="H21" s="644"/>
      <c r="I21" s="645"/>
      <c r="J21" s="646"/>
      <c r="K21" s="645"/>
      <c r="L21" s="647"/>
      <c r="M21" s="631"/>
      <c r="N21" s="637"/>
      <c r="O21" s="638"/>
      <c r="P21" s="631"/>
      <c r="Q21" s="631"/>
      <c r="R21" s="51"/>
    </row>
    <row r="22" spans="1:18" s="25" customFormat="1" ht="12">
      <c r="A22" s="21"/>
      <c r="B22" s="31" t="s">
        <v>40</v>
      </c>
      <c r="C22" s="31"/>
      <c r="D22" s="31"/>
      <c r="E22" s="33">
        <v>20</v>
      </c>
      <c r="F22" s="119">
        <f t="shared" si="2"/>
        <v>507</v>
      </c>
      <c r="G22" s="596">
        <v>507</v>
      </c>
      <c r="H22" s="89"/>
      <c r="I22" s="90"/>
      <c r="J22" s="307"/>
      <c r="K22" s="90"/>
      <c r="L22" s="91"/>
      <c r="M22" s="119"/>
      <c r="N22" s="419"/>
      <c r="O22" s="412"/>
      <c r="P22" s="92"/>
      <c r="Q22" s="92"/>
      <c r="R22" s="72"/>
    </row>
    <row r="23" spans="1:18" s="25" customFormat="1" ht="12">
      <c r="A23" s="21"/>
      <c r="B23" s="31" t="s">
        <v>42</v>
      </c>
      <c r="C23" s="31"/>
      <c r="D23" s="31"/>
      <c r="E23" s="33">
        <v>21</v>
      </c>
      <c r="F23" s="119">
        <f t="shared" si="2"/>
        <v>0</v>
      </c>
      <c r="G23" s="596"/>
      <c r="H23" s="89"/>
      <c r="I23" s="90"/>
      <c r="J23" s="307"/>
      <c r="K23" s="90"/>
      <c r="L23" s="91"/>
      <c r="M23" s="119"/>
      <c r="N23" s="419"/>
      <c r="O23" s="412"/>
      <c r="P23" s="92"/>
      <c r="Q23" s="92"/>
      <c r="R23" s="72"/>
    </row>
    <row r="24" spans="1:18" s="25" customFormat="1" ht="12">
      <c r="A24" s="21"/>
      <c r="B24" s="31" t="s">
        <v>43</v>
      </c>
      <c r="C24" s="31"/>
      <c r="D24" s="31"/>
      <c r="E24" s="33">
        <v>22</v>
      </c>
      <c r="F24" s="119">
        <f t="shared" si="2"/>
        <v>0</v>
      </c>
      <c r="G24" s="596"/>
      <c r="H24" s="89"/>
      <c r="I24" s="90"/>
      <c r="J24" s="307"/>
      <c r="K24" s="90"/>
      <c r="L24" s="91"/>
      <c r="M24" s="119"/>
      <c r="N24" s="419"/>
      <c r="O24" s="412"/>
      <c r="P24" s="92"/>
      <c r="Q24" s="92"/>
      <c r="R24" s="72"/>
    </row>
    <row r="25" spans="1:18" s="640" customFormat="1" ht="12">
      <c r="A25" s="628"/>
      <c r="B25" s="629" t="s">
        <v>186</v>
      </c>
      <c r="C25" s="629"/>
      <c r="D25" s="629"/>
      <c r="E25" s="630">
        <v>23</v>
      </c>
      <c r="F25" s="631">
        <f t="shared" si="2"/>
        <v>0</v>
      </c>
      <c r="G25" s="643"/>
      <c r="H25" s="644"/>
      <c r="I25" s="645"/>
      <c r="J25" s="646"/>
      <c r="K25" s="645"/>
      <c r="L25" s="647"/>
      <c r="M25" s="631"/>
      <c r="N25" s="637"/>
      <c r="O25" s="638"/>
      <c r="P25" s="631"/>
      <c r="Q25" s="631"/>
      <c r="R25" s="51"/>
    </row>
    <row r="26" spans="1:18" s="25" customFormat="1" ht="12">
      <c r="A26" s="21"/>
      <c r="B26" s="31" t="s">
        <v>45</v>
      </c>
      <c r="C26" s="31"/>
      <c r="D26" s="31"/>
      <c r="E26" s="33">
        <v>24</v>
      </c>
      <c r="F26" s="119">
        <f t="shared" si="2"/>
        <v>0</v>
      </c>
      <c r="G26" s="596"/>
      <c r="H26" s="89"/>
      <c r="I26" s="90"/>
      <c r="J26" s="307"/>
      <c r="K26" s="90"/>
      <c r="L26" s="91"/>
      <c r="M26" s="119"/>
      <c r="N26" s="419"/>
      <c r="O26" s="412"/>
      <c r="P26" s="92"/>
      <c r="Q26" s="92"/>
      <c r="R26" s="72"/>
    </row>
    <row r="27" spans="1:18" s="25" customFormat="1" ht="12.75" thickBot="1">
      <c r="A27" s="21"/>
      <c r="B27" s="30" t="s">
        <v>47</v>
      </c>
      <c r="C27" s="30"/>
      <c r="D27" s="30"/>
      <c r="E27" s="28">
        <v>25</v>
      </c>
      <c r="F27" s="119">
        <f t="shared" si="2"/>
        <v>0</v>
      </c>
      <c r="G27" s="596"/>
      <c r="H27" s="89"/>
      <c r="I27" s="90"/>
      <c r="J27" s="307"/>
      <c r="K27" s="90"/>
      <c r="L27" s="91"/>
      <c r="M27" s="119"/>
      <c r="N27" s="419"/>
      <c r="O27" s="412"/>
      <c r="P27" s="522"/>
      <c r="Q27" s="92"/>
      <c r="R27" s="72"/>
    </row>
    <row r="28" spans="1:17" ht="13.5" thickBot="1">
      <c r="A28" s="37" t="s">
        <v>49</v>
      </c>
      <c r="B28" s="38"/>
      <c r="C28" s="38"/>
      <c r="D28" s="38"/>
      <c r="E28" s="19">
        <v>26</v>
      </c>
      <c r="F28" s="197">
        <f aca="true" t="shared" si="3" ref="F28:N28">SUM(F29:F45)</f>
        <v>4869</v>
      </c>
      <c r="G28" s="597">
        <f t="shared" si="3"/>
        <v>4029</v>
      </c>
      <c r="H28" s="125">
        <f t="shared" si="3"/>
        <v>811</v>
      </c>
      <c r="I28" s="77">
        <f t="shared" si="3"/>
        <v>0</v>
      </c>
      <c r="J28" s="304">
        <f t="shared" si="3"/>
        <v>0</v>
      </c>
      <c r="K28" s="77">
        <f t="shared" si="3"/>
        <v>29</v>
      </c>
      <c r="L28" s="76">
        <f t="shared" si="3"/>
        <v>0</v>
      </c>
      <c r="M28" s="197">
        <f t="shared" si="3"/>
        <v>0</v>
      </c>
      <c r="N28" s="471">
        <f t="shared" si="3"/>
        <v>0</v>
      </c>
      <c r="O28" s="413">
        <f>IF(F28=0,0,N28/F28)</f>
        <v>0</v>
      </c>
      <c r="P28" s="78">
        <f>SUM(P29:P45)</f>
        <v>0</v>
      </c>
      <c r="Q28" s="78">
        <f>SUM(Q29:Q45)</f>
        <v>0</v>
      </c>
    </row>
    <row r="29" spans="1:18" s="25" customFormat="1" ht="12">
      <c r="A29" s="21" t="s">
        <v>14</v>
      </c>
      <c r="B29" s="27" t="s">
        <v>50</v>
      </c>
      <c r="C29" s="27"/>
      <c r="D29" s="27"/>
      <c r="E29" s="28">
        <v>27</v>
      </c>
      <c r="F29" s="119">
        <f aca="true" t="shared" si="4" ref="F29:F45">SUM(G29:L29)</f>
        <v>3500</v>
      </c>
      <c r="G29" s="594">
        <v>3500</v>
      </c>
      <c r="H29" s="112"/>
      <c r="I29" s="81"/>
      <c r="J29" s="305"/>
      <c r="K29" s="81"/>
      <c r="L29" s="80"/>
      <c r="M29" s="198"/>
      <c r="N29" s="417"/>
      <c r="O29" s="410"/>
      <c r="P29" s="82"/>
      <c r="Q29" s="82"/>
      <c r="R29" s="72"/>
    </row>
    <row r="30" spans="1:18" s="25" customFormat="1" ht="12">
      <c r="A30" s="21"/>
      <c r="B30" s="30" t="s">
        <v>28</v>
      </c>
      <c r="C30" s="30"/>
      <c r="D30" s="30"/>
      <c r="E30" s="28">
        <v>28</v>
      </c>
      <c r="F30" s="119">
        <f t="shared" si="4"/>
        <v>0</v>
      </c>
      <c r="G30" s="499"/>
      <c r="H30" s="126"/>
      <c r="I30" s="95"/>
      <c r="J30" s="308"/>
      <c r="K30" s="95"/>
      <c r="L30" s="94"/>
      <c r="M30" s="472"/>
      <c r="N30" s="420"/>
      <c r="O30" s="414"/>
      <c r="P30" s="96"/>
      <c r="Q30" s="96"/>
      <c r="R30" s="72"/>
    </row>
    <row r="31" spans="1:18" s="25" customFormat="1" ht="12">
      <c r="A31" s="21"/>
      <c r="B31" s="30" t="s">
        <v>30</v>
      </c>
      <c r="C31" s="30"/>
      <c r="D31" s="30"/>
      <c r="E31" s="28">
        <v>29</v>
      </c>
      <c r="F31" s="119">
        <f t="shared" si="4"/>
        <v>0</v>
      </c>
      <c r="G31" s="499"/>
      <c r="H31" s="126"/>
      <c r="I31" s="95"/>
      <c r="J31" s="308"/>
      <c r="K31" s="95"/>
      <c r="L31" s="94"/>
      <c r="M31" s="472"/>
      <c r="N31" s="420"/>
      <c r="O31" s="414"/>
      <c r="P31" s="96"/>
      <c r="Q31" s="96"/>
      <c r="R31" s="72"/>
    </row>
    <row r="32" spans="1:18" s="25" customFormat="1" ht="12">
      <c r="A32" s="21"/>
      <c r="B32" s="31" t="s">
        <v>32</v>
      </c>
      <c r="C32" s="32"/>
      <c r="D32" s="32"/>
      <c r="E32" s="33">
        <v>30</v>
      </c>
      <c r="F32" s="119">
        <f t="shared" si="4"/>
        <v>0</v>
      </c>
      <c r="G32" s="499"/>
      <c r="H32" s="126"/>
      <c r="I32" s="95"/>
      <c r="J32" s="308"/>
      <c r="K32" s="95"/>
      <c r="L32" s="94"/>
      <c r="M32" s="472"/>
      <c r="N32" s="420"/>
      <c r="O32" s="414"/>
      <c r="P32" s="96"/>
      <c r="Q32" s="96"/>
      <c r="R32" s="72"/>
    </row>
    <row r="33" spans="1:18" s="25" customFormat="1" ht="12">
      <c r="A33" s="21"/>
      <c r="B33" s="31" t="s">
        <v>34</v>
      </c>
      <c r="C33" s="31"/>
      <c r="D33" s="31"/>
      <c r="E33" s="33">
        <v>31</v>
      </c>
      <c r="F33" s="119">
        <f t="shared" si="4"/>
        <v>0</v>
      </c>
      <c r="G33" s="499"/>
      <c r="H33" s="126"/>
      <c r="I33" s="95"/>
      <c r="J33" s="308"/>
      <c r="K33" s="95"/>
      <c r="L33" s="94"/>
      <c r="M33" s="472"/>
      <c r="N33" s="420"/>
      <c r="O33" s="414"/>
      <c r="P33" s="96"/>
      <c r="Q33" s="96"/>
      <c r="R33" s="72"/>
    </row>
    <row r="34" spans="1:18" s="25" customFormat="1" ht="12">
      <c r="A34" s="21"/>
      <c r="B34" s="31" t="s">
        <v>52</v>
      </c>
      <c r="C34" s="31"/>
      <c r="D34" s="31"/>
      <c r="E34" s="33">
        <v>32</v>
      </c>
      <c r="F34" s="119">
        <f t="shared" si="4"/>
        <v>0</v>
      </c>
      <c r="G34" s="499"/>
      <c r="H34" s="126"/>
      <c r="I34" s="95"/>
      <c r="J34" s="308"/>
      <c r="K34" s="95"/>
      <c r="L34" s="94"/>
      <c r="M34" s="472"/>
      <c r="N34" s="420"/>
      <c r="O34" s="414"/>
      <c r="P34" s="96"/>
      <c r="Q34" s="96"/>
      <c r="R34" s="72"/>
    </row>
    <row r="35" spans="1:18" s="25" customFormat="1" ht="12">
      <c r="A35" s="21"/>
      <c r="B35" s="31" t="s">
        <v>36</v>
      </c>
      <c r="C35" s="31"/>
      <c r="D35" s="31"/>
      <c r="E35" s="33">
        <v>33</v>
      </c>
      <c r="F35" s="119">
        <f t="shared" si="4"/>
        <v>0</v>
      </c>
      <c r="G35" s="499"/>
      <c r="H35" s="126"/>
      <c r="I35" s="95"/>
      <c r="J35" s="308"/>
      <c r="K35" s="95"/>
      <c r="L35" s="94"/>
      <c r="M35" s="472"/>
      <c r="N35" s="420"/>
      <c r="O35" s="414"/>
      <c r="P35" s="96"/>
      <c r="Q35" s="96"/>
      <c r="R35" s="72"/>
    </row>
    <row r="36" spans="1:18" s="640" customFormat="1" ht="12">
      <c r="A36" s="628"/>
      <c r="B36" s="629" t="s">
        <v>175</v>
      </c>
      <c r="C36" s="629"/>
      <c r="D36" s="629"/>
      <c r="E36" s="630">
        <v>34</v>
      </c>
      <c r="F36" s="631">
        <f t="shared" si="4"/>
        <v>0</v>
      </c>
      <c r="G36" s="649"/>
      <c r="H36" s="633"/>
      <c r="I36" s="634"/>
      <c r="J36" s="635"/>
      <c r="K36" s="634"/>
      <c r="L36" s="636"/>
      <c r="M36" s="632"/>
      <c r="N36" s="641"/>
      <c r="O36" s="734"/>
      <c r="P36" s="632"/>
      <c r="Q36" s="632"/>
      <c r="R36" s="51"/>
    </row>
    <row r="37" spans="1:18" s="25" customFormat="1" ht="12">
      <c r="A37" s="21"/>
      <c r="B37" s="31" t="s">
        <v>54</v>
      </c>
      <c r="C37" s="31"/>
      <c r="D37" s="31"/>
      <c r="E37" s="33">
        <v>35</v>
      </c>
      <c r="F37" s="119">
        <f t="shared" si="4"/>
        <v>507</v>
      </c>
      <c r="G37" s="499">
        <f>G22</f>
        <v>507</v>
      </c>
      <c r="H37" s="126"/>
      <c r="I37" s="159"/>
      <c r="J37" s="314"/>
      <c r="K37" s="159"/>
      <c r="L37" s="94"/>
      <c r="M37" s="472"/>
      <c r="N37" s="420"/>
      <c r="O37" s="414"/>
      <c r="P37" s="96"/>
      <c r="Q37" s="96"/>
      <c r="R37" s="72"/>
    </row>
    <row r="38" spans="1:18" s="25" customFormat="1" ht="12">
      <c r="A38" s="21"/>
      <c r="B38" s="31" t="s">
        <v>170</v>
      </c>
      <c r="C38" s="31"/>
      <c r="D38" s="31"/>
      <c r="E38" s="33">
        <v>36</v>
      </c>
      <c r="F38" s="119">
        <f t="shared" si="4"/>
        <v>0</v>
      </c>
      <c r="G38" s="499"/>
      <c r="H38" s="126"/>
      <c r="I38" s="159"/>
      <c r="J38" s="314"/>
      <c r="K38" s="159"/>
      <c r="L38" s="94"/>
      <c r="M38" s="472"/>
      <c r="N38" s="420"/>
      <c r="O38" s="414"/>
      <c r="P38" s="96"/>
      <c r="Q38" s="96"/>
      <c r="R38" s="72"/>
    </row>
    <row r="39" spans="1:18" s="25" customFormat="1" ht="12">
      <c r="A39" s="21"/>
      <c r="B39" s="31" t="s">
        <v>56</v>
      </c>
      <c r="C39" s="31"/>
      <c r="D39" s="31"/>
      <c r="E39" s="33">
        <v>37</v>
      </c>
      <c r="F39" s="119">
        <f t="shared" si="4"/>
        <v>0</v>
      </c>
      <c r="G39" s="499"/>
      <c r="H39" s="126"/>
      <c r="I39" s="159"/>
      <c r="J39" s="314"/>
      <c r="K39" s="159"/>
      <c r="L39" s="94"/>
      <c r="M39" s="472"/>
      <c r="N39" s="420"/>
      <c r="O39" s="414"/>
      <c r="P39" s="96"/>
      <c r="Q39" s="96"/>
      <c r="R39" s="72"/>
    </row>
    <row r="40" spans="1:19" s="25" customFormat="1" ht="12">
      <c r="A40" s="21"/>
      <c r="B40" s="31" t="s">
        <v>57</v>
      </c>
      <c r="C40" s="31"/>
      <c r="D40" s="31"/>
      <c r="E40" s="33">
        <v>38</v>
      </c>
      <c r="F40" s="119">
        <f t="shared" si="4"/>
        <v>0</v>
      </c>
      <c r="G40" s="499"/>
      <c r="H40" s="126"/>
      <c r="I40" s="159"/>
      <c r="J40" s="314"/>
      <c r="K40" s="159"/>
      <c r="L40" s="94"/>
      <c r="M40" s="472"/>
      <c r="N40" s="420"/>
      <c r="O40" s="414"/>
      <c r="P40" s="96"/>
      <c r="Q40" s="96"/>
      <c r="R40" s="72"/>
      <c r="S40" s="252">
        <v>0</v>
      </c>
    </row>
    <row r="41" spans="1:18" s="640" customFormat="1" ht="12">
      <c r="A41" s="628"/>
      <c r="B41" s="629" t="s">
        <v>186</v>
      </c>
      <c r="C41" s="629"/>
      <c r="D41" s="629"/>
      <c r="E41" s="630">
        <v>39</v>
      </c>
      <c r="F41" s="631">
        <f t="shared" si="4"/>
        <v>0</v>
      </c>
      <c r="G41" s="891"/>
      <c r="H41" s="633"/>
      <c r="I41" s="738"/>
      <c r="J41" s="739"/>
      <c r="K41" s="738"/>
      <c r="L41" s="636"/>
      <c r="M41" s="632"/>
      <c r="N41" s="641"/>
      <c r="O41" s="734"/>
      <c r="P41" s="632"/>
      <c r="Q41" s="632"/>
      <c r="R41" s="51"/>
    </row>
    <row r="42" spans="1:18" s="25" customFormat="1" ht="12">
      <c r="A42" s="21"/>
      <c r="B42" s="31" t="s">
        <v>58</v>
      </c>
      <c r="C42" s="31"/>
      <c r="D42" s="31"/>
      <c r="E42" s="33">
        <v>40</v>
      </c>
      <c r="F42" s="119">
        <f t="shared" si="4"/>
        <v>0</v>
      </c>
      <c r="G42" s="499"/>
      <c r="H42" s="126"/>
      <c r="I42" s="159"/>
      <c r="J42" s="314"/>
      <c r="K42" s="159"/>
      <c r="L42" s="94"/>
      <c r="M42" s="472"/>
      <c r="N42" s="420"/>
      <c r="O42" s="414"/>
      <c r="P42" s="96"/>
      <c r="Q42" s="96"/>
      <c r="R42" s="72"/>
    </row>
    <row r="43" spans="1:18" s="25" customFormat="1" ht="12">
      <c r="A43" s="21"/>
      <c r="B43" s="31" t="s">
        <v>59</v>
      </c>
      <c r="C43" s="31"/>
      <c r="D43" s="31"/>
      <c r="E43" s="33">
        <v>41</v>
      </c>
      <c r="F43" s="119">
        <f t="shared" si="4"/>
        <v>22</v>
      </c>
      <c r="G43" s="886">
        <v>22</v>
      </c>
      <c r="H43" s="126"/>
      <c r="I43" s="159"/>
      <c r="J43" s="314"/>
      <c r="K43" s="159"/>
      <c r="L43" s="94"/>
      <c r="M43" s="472"/>
      <c r="N43" s="420"/>
      <c r="O43" s="414"/>
      <c r="P43" s="96"/>
      <c r="Q43" s="96"/>
      <c r="R43" s="72"/>
    </row>
    <row r="44" spans="1:19" s="25" customFormat="1" ht="12">
      <c r="A44" s="21"/>
      <c r="B44" s="31" t="s">
        <v>60</v>
      </c>
      <c r="C44" s="31"/>
      <c r="D44" s="31"/>
      <c r="E44" s="33">
        <v>42</v>
      </c>
      <c r="F44" s="119">
        <f t="shared" si="4"/>
        <v>840</v>
      </c>
      <c r="G44" s="612"/>
      <c r="H44" s="126">
        <f>H3</f>
        <v>811</v>
      </c>
      <c r="I44" s="159"/>
      <c r="J44" s="314"/>
      <c r="K44" s="159">
        <f>K3</f>
        <v>29</v>
      </c>
      <c r="L44" s="94"/>
      <c r="M44" s="472"/>
      <c r="N44" s="420"/>
      <c r="O44" s="414"/>
      <c r="P44" s="96"/>
      <c r="Q44" s="96"/>
      <c r="R44" s="255"/>
      <c r="S44" s="252">
        <v>49146</v>
      </c>
    </row>
    <row r="45" spans="1:18" s="25" customFormat="1" ht="12.75" thickBot="1">
      <c r="A45" s="40"/>
      <c r="B45" s="41" t="s">
        <v>47</v>
      </c>
      <c r="C45" s="41"/>
      <c r="D45" s="41"/>
      <c r="E45" s="42">
        <v>43</v>
      </c>
      <c r="F45" s="200">
        <f t="shared" si="4"/>
        <v>0</v>
      </c>
      <c r="G45" s="500"/>
      <c r="H45" s="174"/>
      <c r="I45" s="99"/>
      <c r="J45" s="309"/>
      <c r="K45" s="99"/>
      <c r="L45" s="98"/>
      <c r="M45" s="200"/>
      <c r="N45" s="421"/>
      <c r="O45" s="415"/>
      <c r="P45" s="522"/>
      <c r="Q45" s="100"/>
      <c r="R45" s="72"/>
    </row>
    <row r="46" spans="1:18" s="25" customFormat="1" ht="12.75" hidden="1" thickBot="1">
      <c r="A46" s="44" t="s">
        <v>61</v>
      </c>
      <c r="B46" s="45"/>
      <c r="C46" s="45"/>
      <c r="D46" s="45"/>
      <c r="E46" s="28">
        <v>44</v>
      </c>
      <c r="F46" s="201">
        <f>F29+F34+F38+F43+F44+F45-F4-F27</f>
        <v>0</v>
      </c>
      <c r="G46" s="613">
        <f>G29+G34+G38+G43+G45-G4-G27</f>
        <v>0</v>
      </c>
      <c r="H46" s="102">
        <f>H29+H34+H38+H43+H44+H45-H4-H27</f>
        <v>0</v>
      </c>
      <c r="I46" s="102">
        <f>I29+I34+I38+I43+I44+I45-I4-I27</f>
        <v>0</v>
      </c>
      <c r="J46" s="102">
        <f>J29+J34+J38+J43+J44+J45-J4-J27</f>
        <v>0</v>
      </c>
      <c r="K46" s="320"/>
      <c r="L46" s="102">
        <f>L29+L34+L38+L43+L44+L45-L4-L27</f>
        <v>0</v>
      </c>
      <c r="M46" s="201">
        <f>M29+M34+M38+M43+M44+M45+-M4-M27</f>
        <v>0</v>
      </c>
      <c r="N46" s="422">
        <f>N29+N34+N38+N43+N44+N45-N4-N27</f>
        <v>0</v>
      </c>
      <c r="O46" s="416"/>
      <c r="P46" s="103">
        <f>P29+P34+P38+P43+P44+P45-P4-P27</f>
        <v>0</v>
      </c>
      <c r="Q46" s="103">
        <f>Q29+Q34+Q38+Q43+Q44+Q45-Q4-Q27</f>
        <v>0</v>
      </c>
      <c r="R46" s="72"/>
    </row>
    <row r="47" spans="1:17" ht="13.5" thickBot="1">
      <c r="A47" s="37" t="s">
        <v>62</v>
      </c>
      <c r="B47" s="38"/>
      <c r="C47" s="38"/>
      <c r="D47" s="38"/>
      <c r="E47" s="19">
        <v>45</v>
      </c>
      <c r="F47" s="197">
        <f aca="true" t="shared" si="5" ref="F47:N47">F28-F3</f>
        <v>0</v>
      </c>
      <c r="G47" s="597">
        <f t="shared" si="5"/>
        <v>0</v>
      </c>
      <c r="H47" s="125">
        <f t="shared" si="5"/>
        <v>0</v>
      </c>
      <c r="I47" s="77">
        <f t="shared" si="5"/>
        <v>0</v>
      </c>
      <c r="J47" s="304">
        <f t="shared" si="5"/>
        <v>0</v>
      </c>
      <c r="K47" s="77">
        <f t="shared" si="5"/>
        <v>0</v>
      </c>
      <c r="L47" s="76">
        <f t="shared" si="5"/>
        <v>0</v>
      </c>
      <c r="M47" s="197">
        <f t="shared" si="5"/>
        <v>0</v>
      </c>
      <c r="N47" s="471">
        <f t="shared" si="5"/>
        <v>0</v>
      </c>
      <c r="O47" s="413"/>
      <c r="P47" s="78">
        <f>P28-P3</f>
        <v>0</v>
      </c>
      <c r="Q47" s="78">
        <f>Q28-Q3</f>
        <v>0</v>
      </c>
    </row>
    <row r="48" spans="1:11" ht="12.75">
      <c r="A48" s="47"/>
      <c r="B48" s="47"/>
      <c r="C48" s="47"/>
      <c r="D48" s="47"/>
      <c r="E48" s="48"/>
      <c r="I48" s="336">
        <v>35025149</v>
      </c>
      <c r="J48" s="340"/>
      <c r="K48" s="335"/>
    </row>
    <row r="49" spans="5:18" s="47" customFormat="1" ht="11.25">
      <c r="E49" s="48"/>
      <c r="G49" s="59"/>
      <c r="H49" s="59"/>
      <c r="I49" s="59"/>
      <c r="J49" s="59"/>
      <c r="K49" s="59"/>
      <c r="L49" s="59"/>
      <c r="M49" s="59"/>
      <c r="N49" s="59"/>
      <c r="O49" s="253"/>
      <c r="R49" s="72"/>
    </row>
    <row r="50" spans="1:18" s="47" customFormat="1" ht="11.25">
      <c r="A50" s="47" t="s">
        <v>166</v>
      </c>
      <c r="E50" s="48"/>
      <c r="F50" s="202"/>
      <c r="G50" s="59"/>
      <c r="I50" s="109"/>
      <c r="L50" s="59"/>
      <c r="M50" s="59"/>
      <c r="N50" s="59"/>
      <c r="O50" s="253"/>
      <c r="R50" s="72"/>
    </row>
    <row r="51" spans="5:18" s="51" customFormat="1" ht="11.25">
      <c r="E51" s="53"/>
      <c r="G51" s="72"/>
      <c r="H51" s="72"/>
      <c r="I51" s="72"/>
      <c r="J51" s="72"/>
      <c r="K51" s="72"/>
      <c r="L51" s="72"/>
      <c r="M51" s="72"/>
      <c r="N51" s="72"/>
      <c r="O51" s="253"/>
      <c r="R51" s="72"/>
    </row>
    <row r="52" spans="1:18" s="47" customFormat="1" ht="11.25">
      <c r="A52" s="51"/>
      <c r="B52" s="51"/>
      <c r="C52" s="51"/>
      <c r="D52" s="51"/>
      <c r="E52" s="48"/>
      <c r="G52" s="59"/>
      <c r="H52" s="59"/>
      <c r="I52" s="59"/>
      <c r="J52" s="59"/>
      <c r="K52" s="59"/>
      <c r="L52" s="59"/>
      <c r="M52" s="59"/>
      <c r="N52" s="59"/>
      <c r="O52" s="253"/>
      <c r="R52" s="72"/>
    </row>
    <row r="53" spans="1:18" s="59" customFormat="1" ht="11.25">
      <c r="A53" s="51"/>
      <c r="B53" s="51"/>
      <c r="C53" s="51"/>
      <c r="D53" s="51"/>
      <c r="E53" s="57"/>
      <c r="F53" s="47"/>
      <c r="O53" s="253"/>
      <c r="R53" s="72"/>
    </row>
    <row r="54" spans="1:18" s="59" customFormat="1" ht="11.25">
      <c r="A54" s="51"/>
      <c r="B54" s="51"/>
      <c r="C54" s="51"/>
      <c r="D54" s="51"/>
      <c r="E54" s="57"/>
      <c r="F54" s="47"/>
      <c r="O54" s="253"/>
      <c r="R54" s="72"/>
    </row>
    <row r="55" spans="1:18" s="59" customFormat="1" ht="11.25">
      <c r="A55" s="51"/>
      <c r="B55" s="51"/>
      <c r="C55" s="51"/>
      <c r="D55" s="51"/>
      <c r="E55" s="57"/>
      <c r="F55" s="47"/>
      <c r="O55" s="253"/>
      <c r="R55" s="72"/>
    </row>
    <row r="58" spans="2:18" s="59" customFormat="1" ht="11.25" hidden="1">
      <c r="B58" s="767" t="s">
        <v>191</v>
      </c>
      <c r="C58" s="340"/>
      <c r="D58" s="340"/>
      <c r="E58" s="817"/>
      <c r="F58" s="782"/>
      <c r="G58" s="340"/>
      <c r="H58" s="340"/>
      <c r="I58" s="340"/>
      <c r="J58" s="340"/>
      <c r="K58" s="340"/>
      <c r="L58" s="340"/>
      <c r="M58" s="340"/>
      <c r="N58" s="811"/>
      <c r="O58" s="804"/>
      <c r="P58" s="787" t="e">
        <f>N58/titl!$H$17*12</f>
        <v>#DIV/0!</v>
      </c>
      <c r="R58" s="72"/>
    </row>
    <row r="59" spans="2:18" s="59" customFormat="1" ht="11.25" hidden="1">
      <c r="B59" s="818" t="s">
        <v>192</v>
      </c>
      <c r="C59" s="233"/>
      <c r="D59" s="233"/>
      <c r="E59" s="819"/>
      <c r="F59" s="783"/>
      <c r="G59" s="233"/>
      <c r="H59" s="233"/>
      <c r="I59" s="233"/>
      <c r="J59" s="233"/>
      <c r="K59" s="233"/>
      <c r="L59" s="233"/>
      <c r="M59" s="233"/>
      <c r="N59" s="537">
        <f>N43+N45-N58</f>
        <v>0</v>
      </c>
      <c r="O59" s="805"/>
      <c r="P59" s="789" t="e">
        <f>N59/titl!$H$17*12</f>
        <v>#DIV/0!</v>
      </c>
      <c r="R59" s="72"/>
    </row>
    <row r="60" spans="2:18" s="59" customFormat="1" ht="11.25" hidden="1">
      <c r="B60" s="818" t="s">
        <v>193</v>
      </c>
      <c r="C60" s="233"/>
      <c r="D60" s="233"/>
      <c r="E60" s="819"/>
      <c r="F60" s="783"/>
      <c r="G60" s="233"/>
      <c r="H60" s="233"/>
      <c r="I60" s="233"/>
      <c r="J60" s="233"/>
      <c r="K60" s="233"/>
      <c r="L60" s="233"/>
      <c r="M60" s="233"/>
      <c r="N60" s="109"/>
      <c r="O60" s="805"/>
      <c r="P60" s="789" t="e">
        <f>N60/titl!$H$17*12</f>
        <v>#DIV/0!</v>
      </c>
      <c r="R60" s="72"/>
    </row>
    <row r="61" spans="2:18" s="59" customFormat="1" ht="11.25" hidden="1">
      <c r="B61" s="818" t="s">
        <v>194</v>
      </c>
      <c r="C61" s="233"/>
      <c r="D61" s="233"/>
      <c r="E61" s="819"/>
      <c r="F61" s="783"/>
      <c r="G61" s="233"/>
      <c r="H61" s="233"/>
      <c r="I61" s="233"/>
      <c r="J61" s="233"/>
      <c r="K61" s="233"/>
      <c r="L61" s="233"/>
      <c r="M61" s="233"/>
      <c r="N61" s="537">
        <f>N59+N60</f>
        <v>0</v>
      </c>
      <c r="O61" s="805"/>
      <c r="P61" s="789" t="e">
        <f>N61/titl!$H$17*12</f>
        <v>#DIV/0!</v>
      </c>
      <c r="R61" s="72"/>
    </row>
    <row r="62" spans="2:18" s="59" customFormat="1" ht="12" hidden="1" thickBot="1">
      <c r="B62" s="820" t="s">
        <v>195</v>
      </c>
      <c r="C62" s="785"/>
      <c r="D62" s="785"/>
      <c r="E62" s="821"/>
      <c r="F62" s="784"/>
      <c r="G62" s="785"/>
      <c r="H62" s="785"/>
      <c r="I62" s="785"/>
      <c r="J62" s="785"/>
      <c r="K62" s="785"/>
      <c r="L62" s="785"/>
      <c r="M62" s="785"/>
      <c r="N62" s="810">
        <f>N61*4%</f>
        <v>0</v>
      </c>
      <c r="O62" s="801"/>
      <c r="P62" s="790" t="e">
        <f>N62/titl!$H$17*12</f>
        <v>#DIV/0!</v>
      </c>
      <c r="R62" s="72"/>
    </row>
    <row r="63" ht="12.75" hidden="1"/>
  </sheetData>
  <mergeCells count="5">
    <mergeCell ref="S1:S2"/>
    <mergeCell ref="A1:D1"/>
    <mergeCell ref="H1:L1"/>
    <mergeCell ref="C2:D2"/>
    <mergeCell ref="R1:R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57"/>
  <sheetViews>
    <sheetView workbookViewId="0" topLeftCell="A1">
      <pane ySplit="3" topLeftCell="BM4" activePane="bottomLeft" state="frozen"/>
      <selection pane="topLeft" activeCell="D38" sqref="D38"/>
      <selection pane="bottomLeft" activeCell="D38" sqref="D38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60" bestFit="1" customWidth="1"/>
    <col min="6" max="6" width="9.625" style="47" bestFit="1" customWidth="1"/>
    <col min="7" max="7" width="9.625" style="59" bestFit="1" customWidth="1"/>
    <col min="8" max="8" width="10.00390625" style="59" customWidth="1"/>
    <col min="9" max="9" width="8.625" style="59" customWidth="1"/>
    <col min="10" max="10" width="7.25390625" style="59" customWidth="1"/>
    <col min="11" max="11" width="6.25390625" style="59" customWidth="1"/>
    <col min="12" max="12" width="7.125" style="59" customWidth="1"/>
    <col min="13" max="13" width="10.25390625" style="59" hidden="1" customWidth="1"/>
    <col min="14" max="14" width="11.25390625" style="59" hidden="1" customWidth="1"/>
    <col min="15" max="15" width="7.00390625" style="401" hidden="1" customWidth="1"/>
    <col min="16" max="16" width="10.25390625" style="401" hidden="1" customWidth="1"/>
    <col min="17" max="17" width="9.625" style="255" bestFit="1" customWidth="1"/>
    <col min="18" max="18" width="7.00390625" style="255" customWidth="1"/>
    <col min="19" max="19" width="6.875" style="72" customWidth="1"/>
  </cols>
  <sheetData>
    <row r="1" spans="1:19" ht="15.75" customHeight="1">
      <c r="A1" s="1046" t="s">
        <v>236</v>
      </c>
      <c r="B1" s="1047"/>
      <c r="C1" s="1047"/>
      <c r="D1" s="1048"/>
      <c r="E1" s="1"/>
      <c r="F1" s="543" t="s">
        <v>0</v>
      </c>
      <c r="G1" s="606" t="s">
        <v>2</v>
      </c>
      <c r="H1" s="1050" t="s">
        <v>3</v>
      </c>
      <c r="I1" s="1050"/>
      <c r="J1" s="1050"/>
      <c r="K1" s="1050"/>
      <c r="L1" s="1051"/>
      <c r="M1" s="181" t="s">
        <v>1</v>
      </c>
      <c r="N1" s="538" t="s">
        <v>4</v>
      </c>
      <c r="O1" s="67" t="s">
        <v>144</v>
      </c>
      <c r="P1" s="67" t="s">
        <v>145</v>
      </c>
      <c r="Q1" s="947" t="s">
        <v>4</v>
      </c>
      <c r="R1" s="1056" t="s">
        <v>190</v>
      </c>
      <c r="S1" s="1057" t="s">
        <v>188</v>
      </c>
    </row>
    <row r="2" spans="1:19" s="16" customFormat="1" ht="13.5" thickBot="1">
      <c r="A2" s="6"/>
      <c r="B2" s="7"/>
      <c r="C2" s="1052" t="s">
        <v>87</v>
      </c>
      <c r="D2" s="1053"/>
      <c r="E2" s="9" t="s">
        <v>5</v>
      </c>
      <c r="F2" s="544">
        <v>2011</v>
      </c>
      <c r="G2" s="607" t="s">
        <v>8</v>
      </c>
      <c r="H2" s="69" t="s">
        <v>9</v>
      </c>
      <c r="I2" s="70" t="s">
        <v>10</v>
      </c>
      <c r="J2" s="303" t="s">
        <v>11</v>
      </c>
      <c r="K2" s="248" t="s">
        <v>126</v>
      </c>
      <c r="L2" s="68" t="s">
        <v>12</v>
      </c>
      <c r="M2" s="544" t="s">
        <v>7</v>
      </c>
      <c r="N2" s="539">
        <v>2011</v>
      </c>
      <c r="O2" s="71"/>
      <c r="P2" s="71"/>
      <c r="Q2" s="948">
        <v>2010</v>
      </c>
      <c r="R2" s="1056"/>
      <c r="S2" s="1057"/>
    </row>
    <row r="3" spans="1:17" ht="13.5" thickBot="1">
      <c r="A3" s="17" t="s">
        <v>13</v>
      </c>
      <c r="B3" s="18"/>
      <c r="C3" s="18"/>
      <c r="D3" s="18"/>
      <c r="E3" s="19">
        <v>1</v>
      </c>
      <c r="F3" s="197">
        <f>SUM(F5:F27)</f>
        <v>214793</v>
      </c>
      <c r="G3" s="597">
        <f aca="true" t="shared" si="0" ref="G3:L3">SUM(G5:G27)</f>
        <v>210025</v>
      </c>
      <c r="H3" s="125">
        <f t="shared" si="0"/>
        <v>4703</v>
      </c>
      <c r="I3" s="77">
        <f t="shared" si="0"/>
        <v>65</v>
      </c>
      <c r="J3" s="304">
        <f t="shared" si="0"/>
        <v>0</v>
      </c>
      <c r="K3" s="77">
        <f t="shared" si="0"/>
        <v>0</v>
      </c>
      <c r="L3" s="76">
        <f t="shared" si="0"/>
        <v>0</v>
      </c>
      <c r="M3" s="197">
        <f>SUM(M5:M27)</f>
        <v>0</v>
      </c>
      <c r="N3" s="471">
        <f>SUM(N5:N27)</f>
        <v>0</v>
      </c>
      <c r="O3" s="413">
        <f aca="true" t="shared" si="1" ref="O3:O19">IF(F3=0,0,N3/F3)</f>
        <v>0</v>
      </c>
      <c r="P3" s="78" t="e">
        <f>SUM(P5:P27)</f>
        <v>#DIV/0!</v>
      </c>
      <c r="Q3" s="588">
        <f>SUM(Q5:Q27)</f>
        <v>233627.56263000003</v>
      </c>
    </row>
    <row r="4" spans="1:19" s="25" customFormat="1" ht="12">
      <c r="A4" s="21" t="s">
        <v>14</v>
      </c>
      <c r="B4" s="22" t="s">
        <v>15</v>
      </c>
      <c r="C4" s="22"/>
      <c r="D4" s="22"/>
      <c r="E4" s="23">
        <v>2</v>
      </c>
      <c r="F4" s="198">
        <f aca="true" t="shared" si="2" ref="F4:N4">SUM(F5:F15)</f>
        <v>174582</v>
      </c>
      <c r="G4" s="594">
        <f t="shared" si="2"/>
        <v>169857</v>
      </c>
      <c r="H4" s="112">
        <f t="shared" si="2"/>
        <v>4703</v>
      </c>
      <c r="I4" s="81">
        <f t="shared" si="2"/>
        <v>22</v>
      </c>
      <c r="J4" s="81">
        <f t="shared" si="2"/>
        <v>0</v>
      </c>
      <c r="K4" s="81">
        <f t="shared" si="2"/>
        <v>0</v>
      </c>
      <c r="L4" s="81">
        <f t="shared" si="2"/>
        <v>0</v>
      </c>
      <c r="M4" s="198">
        <f t="shared" si="2"/>
        <v>0</v>
      </c>
      <c r="N4" s="417">
        <f t="shared" si="2"/>
        <v>0</v>
      </c>
      <c r="O4" s="410">
        <f t="shared" si="1"/>
        <v>0</v>
      </c>
      <c r="P4" s="82" t="e">
        <f>SUM(P5:P15)</f>
        <v>#DIV/0!</v>
      </c>
      <c r="Q4" s="589">
        <f>SUM(Q5:Q15)</f>
        <v>187830.65747</v>
      </c>
      <c r="R4" s="255"/>
      <c r="S4" s="72"/>
    </row>
    <row r="5" spans="1:19" s="65" customFormat="1" ht="12">
      <c r="A5" s="61"/>
      <c r="B5" s="62"/>
      <c r="C5" s="62" t="s">
        <v>16</v>
      </c>
      <c r="D5" s="63" t="s">
        <v>17</v>
      </c>
      <c r="E5" s="64">
        <v>3</v>
      </c>
      <c r="F5" s="199">
        <f>SUM(G5:L5)</f>
        <v>60000</v>
      </c>
      <c r="G5" s="976">
        <v>60000</v>
      </c>
      <c r="H5" s="84"/>
      <c r="I5" s="85"/>
      <c r="J5" s="977"/>
      <c r="K5" s="286"/>
      <c r="L5" s="83"/>
      <c r="M5" s="199"/>
      <c r="N5" s="419"/>
      <c r="O5" s="428">
        <f t="shared" si="1"/>
        <v>0</v>
      </c>
      <c r="P5" s="852">
        <f>N5</f>
        <v>0</v>
      </c>
      <c r="Q5" s="591">
        <f>60460834.9/1000</f>
        <v>60460.8349</v>
      </c>
      <c r="R5" s="546"/>
      <c r="S5" s="517"/>
    </row>
    <row r="6" spans="1:19" s="65" customFormat="1" ht="12">
      <c r="A6" s="61"/>
      <c r="B6" s="62"/>
      <c r="C6" s="62"/>
      <c r="D6" s="63" t="s">
        <v>18</v>
      </c>
      <c r="E6" s="64">
        <v>4</v>
      </c>
      <c r="F6" s="199">
        <f aca="true" t="shared" si="3" ref="F6:F45">SUM(G6:L6)</f>
        <v>3300</v>
      </c>
      <c r="G6" s="610">
        <v>3300</v>
      </c>
      <c r="H6" s="84"/>
      <c r="I6" s="85"/>
      <c r="J6" s="977"/>
      <c r="K6" s="286"/>
      <c r="L6" s="83"/>
      <c r="M6" s="199"/>
      <c r="N6" s="419"/>
      <c r="O6" s="428">
        <f t="shared" si="1"/>
        <v>0</v>
      </c>
      <c r="P6" s="852">
        <f>N6</f>
        <v>0</v>
      </c>
      <c r="Q6" s="591">
        <f>3294867.5/1000</f>
        <v>3294.8675</v>
      </c>
      <c r="R6" s="546"/>
      <c r="S6" s="517"/>
    </row>
    <row r="7" spans="1:19" s="65" customFormat="1" ht="12">
      <c r="A7" s="61"/>
      <c r="B7" s="62"/>
      <c r="C7" s="62"/>
      <c r="D7" s="63" t="s">
        <v>19</v>
      </c>
      <c r="E7" s="64">
        <v>5</v>
      </c>
      <c r="F7" s="199">
        <f t="shared" si="3"/>
        <v>22000</v>
      </c>
      <c r="G7" s="610">
        <v>22000</v>
      </c>
      <c r="H7" s="84"/>
      <c r="I7" s="85"/>
      <c r="J7" s="977"/>
      <c r="K7" s="286"/>
      <c r="L7" s="83"/>
      <c r="M7" s="199"/>
      <c r="N7" s="419"/>
      <c r="O7" s="428">
        <f t="shared" si="1"/>
        <v>0</v>
      </c>
      <c r="P7" s="852">
        <f>N7</f>
        <v>0</v>
      </c>
      <c r="Q7" s="591">
        <f>22642763.3/1000</f>
        <v>22642.763300000002</v>
      </c>
      <c r="R7" s="546"/>
      <c r="S7" s="517"/>
    </row>
    <row r="8" spans="1:19" s="65" customFormat="1" ht="12">
      <c r="A8" s="61"/>
      <c r="B8" s="62"/>
      <c r="C8" s="62"/>
      <c r="D8" s="63" t="s">
        <v>20</v>
      </c>
      <c r="E8" s="64">
        <v>6</v>
      </c>
      <c r="F8" s="199">
        <f t="shared" si="3"/>
        <v>5400</v>
      </c>
      <c r="G8" s="610">
        <v>5400</v>
      </c>
      <c r="H8" s="84"/>
      <c r="I8" s="85"/>
      <c r="J8" s="977"/>
      <c r="K8" s="286"/>
      <c r="L8" s="83"/>
      <c r="M8" s="199"/>
      <c r="N8" s="419"/>
      <c r="O8" s="428">
        <f t="shared" si="1"/>
        <v>0</v>
      </c>
      <c r="P8" s="92" t="e">
        <f>N8/titl!$H$17*12</f>
        <v>#DIV/0!</v>
      </c>
      <c r="Q8" s="591">
        <f>6413258.27/1000</f>
        <v>6413.258269999999</v>
      </c>
      <c r="R8" s="546"/>
      <c r="S8" s="517"/>
    </row>
    <row r="9" spans="1:19" s="65" customFormat="1" ht="12">
      <c r="A9" s="61"/>
      <c r="B9" s="62"/>
      <c r="C9" s="62"/>
      <c r="D9" s="63" t="s">
        <v>21</v>
      </c>
      <c r="E9" s="64">
        <v>7</v>
      </c>
      <c r="F9" s="199">
        <f t="shared" si="3"/>
        <v>3400</v>
      </c>
      <c r="G9" s="610">
        <v>3400</v>
      </c>
      <c r="H9" s="84"/>
      <c r="I9" s="85"/>
      <c r="J9" s="977"/>
      <c r="K9" s="286"/>
      <c r="L9" s="83"/>
      <c r="M9" s="199"/>
      <c r="N9" s="419"/>
      <c r="O9" s="428">
        <f t="shared" si="1"/>
        <v>0</v>
      </c>
      <c r="P9" s="92" t="e">
        <f>N9/titl!$H$17*12</f>
        <v>#DIV/0!</v>
      </c>
      <c r="Q9" s="591">
        <f>3397864.81/1000</f>
        <v>3397.86481</v>
      </c>
      <c r="R9" s="546"/>
      <c r="S9" s="517"/>
    </row>
    <row r="10" spans="1:19" s="65" customFormat="1" ht="12">
      <c r="A10" s="61"/>
      <c r="B10" s="62"/>
      <c r="C10" s="62"/>
      <c r="D10" s="63" t="s">
        <v>22</v>
      </c>
      <c r="E10" s="64">
        <v>8</v>
      </c>
      <c r="F10" s="199">
        <f t="shared" si="3"/>
        <v>8276</v>
      </c>
      <c r="G10" s="610">
        <v>8276</v>
      </c>
      <c r="H10" s="84"/>
      <c r="I10" s="85"/>
      <c r="J10" s="977"/>
      <c r="K10" s="286"/>
      <c r="L10" s="83"/>
      <c r="M10" s="199"/>
      <c r="N10" s="419"/>
      <c r="O10" s="428">
        <f t="shared" si="1"/>
        <v>0</v>
      </c>
      <c r="P10" s="92" t="e">
        <f>N10/titl!$H$17*12</f>
        <v>#DIV/0!</v>
      </c>
      <c r="Q10" s="591">
        <f>9773918.75/1000</f>
        <v>9773.91875</v>
      </c>
      <c r="R10" s="546"/>
      <c r="S10" s="517"/>
    </row>
    <row r="11" spans="1:19" s="65" customFormat="1" ht="12">
      <c r="A11" s="61"/>
      <c r="B11" s="62"/>
      <c r="C11" s="62"/>
      <c r="D11" s="63" t="s">
        <v>23</v>
      </c>
      <c r="E11" s="64">
        <v>9</v>
      </c>
      <c r="F11" s="199">
        <f t="shared" si="3"/>
        <v>23703</v>
      </c>
      <c r="G11" s="610">
        <v>19000</v>
      </c>
      <c r="H11" s="84">
        <v>4703</v>
      </c>
      <c r="I11" s="85"/>
      <c r="J11" s="977"/>
      <c r="K11" s="286"/>
      <c r="L11" s="83"/>
      <c r="M11" s="199"/>
      <c r="N11" s="419"/>
      <c r="O11" s="428">
        <f t="shared" si="1"/>
        <v>0</v>
      </c>
      <c r="P11" s="92" t="e">
        <f>N11/titl!$H$17*12</f>
        <v>#DIV/0!</v>
      </c>
      <c r="Q11" s="591">
        <f>33102346.3/1000</f>
        <v>33102.3463</v>
      </c>
      <c r="R11" s="546"/>
      <c r="S11" s="517"/>
    </row>
    <row r="12" spans="1:19" s="65" customFormat="1" ht="12">
      <c r="A12" s="61"/>
      <c r="B12" s="62"/>
      <c r="C12" s="62"/>
      <c r="D12" s="63" t="s">
        <v>24</v>
      </c>
      <c r="E12" s="64">
        <v>10</v>
      </c>
      <c r="F12" s="199">
        <f t="shared" si="3"/>
        <v>722</v>
      </c>
      <c r="G12" s="610">
        <v>700</v>
      </c>
      <c r="H12" s="84"/>
      <c r="I12" s="85">
        <v>22</v>
      </c>
      <c r="J12" s="977"/>
      <c r="K12" s="286"/>
      <c r="L12" s="83"/>
      <c r="M12" s="199"/>
      <c r="N12" s="419"/>
      <c r="O12" s="428">
        <f t="shared" si="1"/>
        <v>0</v>
      </c>
      <c r="P12" s="92" t="e">
        <f>N12/titl!$H$17*12</f>
        <v>#DIV/0!</v>
      </c>
      <c r="Q12" s="591">
        <f>710863.76/1000</f>
        <v>710.86376</v>
      </c>
      <c r="R12" s="546"/>
      <c r="S12" s="517"/>
    </row>
    <row r="13" spans="1:19" s="65" customFormat="1" ht="12">
      <c r="A13" s="61"/>
      <c r="B13" s="62"/>
      <c r="C13" s="62"/>
      <c r="D13" s="63" t="s">
        <v>25</v>
      </c>
      <c r="E13" s="64">
        <v>11</v>
      </c>
      <c r="F13" s="199">
        <f t="shared" si="3"/>
        <v>47781</v>
      </c>
      <c r="G13" s="610">
        <v>47781</v>
      </c>
      <c r="H13" s="84"/>
      <c r="I13" s="85"/>
      <c r="J13" s="977"/>
      <c r="K13" s="286"/>
      <c r="L13" s="83"/>
      <c r="M13" s="199"/>
      <c r="N13" s="419"/>
      <c r="O13" s="428">
        <f t="shared" si="1"/>
        <v>0</v>
      </c>
      <c r="P13" s="852">
        <f>N13</f>
        <v>0</v>
      </c>
      <c r="Q13" s="591">
        <f>47968605.12/1000</f>
        <v>47968.60512</v>
      </c>
      <c r="R13" s="546"/>
      <c r="S13" s="517"/>
    </row>
    <row r="14" spans="1:19" s="65" customFormat="1" ht="12">
      <c r="A14" s="61"/>
      <c r="B14" s="62"/>
      <c r="C14" s="62"/>
      <c r="D14" s="63" t="s">
        <v>26</v>
      </c>
      <c r="E14" s="64">
        <v>12</v>
      </c>
      <c r="F14" s="199">
        <f t="shared" si="3"/>
        <v>0</v>
      </c>
      <c r="G14" s="610"/>
      <c r="H14" s="84"/>
      <c r="I14" s="85"/>
      <c r="J14" s="977"/>
      <c r="K14" s="286"/>
      <c r="L14" s="83"/>
      <c r="M14" s="199"/>
      <c r="N14" s="419"/>
      <c r="O14" s="428">
        <f t="shared" si="1"/>
        <v>0</v>
      </c>
      <c r="P14" s="92" t="e">
        <f>N14/titl!$H$17*12</f>
        <v>#DIV/0!</v>
      </c>
      <c r="Q14" s="591">
        <f>8000/1000</f>
        <v>8</v>
      </c>
      <c r="R14" s="546"/>
      <c r="S14" s="517"/>
    </row>
    <row r="15" spans="1:19" s="65" customFormat="1" ht="12">
      <c r="A15" s="61"/>
      <c r="B15" s="62"/>
      <c r="C15" s="63"/>
      <c r="D15" s="63" t="s">
        <v>27</v>
      </c>
      <c r="E15" s="64">
        <v>13</v>
      </c>
      <c r="F15" s="199">
        <f t="shared" si="3"/>
        <v>0</v>
      </c>
      <c r="G15" s="610"/>
      <c r="H15" s="84"/>
      <c r="I15" s="85"/>
      <c r="J15" s="977"/>
      <c r="K15" s="121"/>
      <c r="L15" s="83"/>
      <c r="M15" s="199"/>
      <c r="N15" s="419"/>
      <c r="O15" s="428">
        <f t="shared" si="1"/>
        <v>0</v>
      </c>
      <c r="P15" s="92" t="e">
        <f>N15/titl!$H$17*12</f>
        <v>#DIV/0!</v>
      </c>
      <c r="Q15" s="591">
        <f>57334.76/1000</f>
        <v>57.33476</v>
      </c>
      <c r="R15" s="546"/>
      <c r="S15" s="517"/>
    </row>
    <row r="16" spans="1:19" s="25" customFormat="1" ht="12">
      <c r="A16" s="21"/>
      <c r="B16" s="30" t="s">
        <v>28</v>
      </c>
      <c r="C16" s="27"/>
      <c r="D16" s="27"/>
      <c r="E16" s="28">
        <v>14</v>
      </c>
      <c r="F16" s="119">
        <f t="shared" si="3"/>
        <v>0</v>
      </c>
      <c r="G16" s="611"/>
      <c r="H16" s="89"/>
      <c r="I16" s="90"/>
      <c r="J16" s="321"/>
      <c r="K16" s="138"/>
      <c r="L16" s="139"/>
      <c r="M16" s="119">
        <f>M30</f>
        <v>0</v>
      </c>
      <c r="N16" s="419"/>
      <c r="O16" s="412">
        <f t="shared" si="1"/>
        <v>0</v>
      </c>
      <c r="P16" s="92">
        <f>P30</f>
        <v>0</v>
      </c>
      <c r="Q16" s="591"/>
      <c r="R16" s="255"/>
      <c r="S16" s="72"/>
    </row>
    <row r="17" spans="1:19" s="25" customFormat="1" ht="12">
      <c r="A17" s="21"/>
      <c r="B17" s="30" t="s">
        <v>30</v>
      </c>
      <c r="C17" s="27"/>
      <c r="D17" s="27"/>
      <c r="E17" s="28">
        <v>15</v>
      </c>
      <c r="F17" s="119">
        <f t="shared" si="3"/>
        <v>0</v>
      </c>
      <c r="G17" s="611"/>
      <c r="H17" s="89"/>
      <c r="I17" s="90"/>
      <c r="J17" s="321"/>
      <c r="K17" s="138"/>
      <c r="L17" s="139"/>
      <c r="M17" s="119">
        <f>M31</f>
        <v>0</v>
      </c>
      <c r="N17" s="419"/>
      <c r="O17" s="412">
        <f t="shared" si="1"/>
        <v>0</v>
      </c>
      <c r="P17" s="92">
        <f>P31</f>
        <v>0</v>
      </c>
      <c r="Q17" s="591"/>
      <c r="R17" s="255"/>
      <c r="S17" s="72"/>
    </row>
    <row r="18" spans="1:19" s="25" customFormat="1" ht="12">
      <c r="A18" s="21"/>
      <c r="B18" s="31" t="s">
        <v>32</v>
      </c>
      <c r="C18" s="32"/>
      <c r="D18" s="32"/>
      <c r="E18" s="33">
        <v>16</v>
      </c>
      <c r="F18" s="119">
        <f t="shared" si="3"/>
        <v>16382</v>
      </c>
      <c r="G18" s="611">
        <v>16382</v>
      </c>
      <c r="H18" s="89"/>
      <c r="I18" s="90"/>
      <c r="J18" s="321"/>
      <c r="K18" s="138"/>
      <c r="L18" s="139"/>
      <c r="M18" s="119">
        <f>M32</f>
        <v>0</v>
      </c>
      <c r="N18" s="419"/>
      <c r="O18" s="412">
        <f t="shared" si="1"/>
        <v>0</v>
      </c>
      <c r="P18" s="92">
        <f>P32</f>
        <v>0</v>
      </c>
      <c r="Q18" s="591">
        <f>5828000/1000</f>
        <v>5828</v>
      </c>
      <c r="R18" s="255"/>
      <c r="S18" s="72"/>
    </row>
    <row r="19" spans="1:19" s="25" customFormat="1" ht="12">
      <c r="A19" s="21"/>
      <c r="B19" s="31" t="s">
        <v>34</v>
      </c>
      <c r="C19" s="32"/>
      <c r="D19" s="32"/>
      <c r="E19" s="33">
        <v>17</v>
      </c>
      <c r="F19" s="119">
        <f t="shared" si="3"/>
        <v>0</v>
      </c>
      <c r="G19" s="611"/>
      <c r="H19" s="89"/>
      <c r="I19" s="90"/>
      <c r="J19" s="321"/>
      <c r="K19" s="138"/>
      <c r="L19" s="139"/>
      <c r="M19" s="119">
        <f>M33</f>
        <v>0</v>
      </c>
      <c r="N19" s="419"/>
      <c r="O19" s="412">
        <f t="shared" si="1"/>
        <v>0</v>
      </c>
      <c r="P19" s="92">
        <f>P33</f>
        <v>0</v>
      </c>
      <c r="Q19" s="591">
        <f>485000/1000</f>
        <v>485</v>
      </c>
      <c r="R19" s="255"/>
      <c r="S19" s="72"/>
    </row>
    <row r="20" spans="1:19" s="25" customFormat="1" ht="12">
      <c r="A20" s="21"/>
      <c r="B20" s="31" t="s">
        <v>36</v>
      </c>
      <c r="C20" s="31"/>
      <c r="D20" s="31"/>
      <c r="E20" s="33">
        <v>18</v>
      </c>
      <c r="F20" s="119">
        <f t="shared" si="3"/>
        <v>5800</v>
      </c>
      <c r="G20" s="611">
        <v>5800</v>
      </c>
      <c r="H20" s="89"/>
      <c r="I20" s="90"/>
      <c r="J20" s="321"/>
      <c r="K20" s="138"/>
      <c r="L20" s="139"/>
      <c r="M20" s="119"/>
      <c r="N20" s="419"/>
      <c r="O20" s="412">
        <f aca="true" t="shared" si="4" ref="O20:O45">IF(F20=0,0,N20/F20)</f>
        <v>0</v>
      </c>
      <c r="P20" s="92">
        <f>P35</f>
        <v>5800</v>
      </c>
      <c r="Q20" s="591">
        <f>5954254.54/1000</f>
        <v>5954.25454</v>
      </c>
      <c r="R20" s="255"/>
      <c r="S20" s="72"/>
    </row>
    <row r="21" spans="1:19" s="640" customFormat="1" ht="12">
      <c r="A21" s="628"/>
      <c r="B21" s="629" t="s">
        <v>175</v>
      </c>
      <c r="C21" s="629"/>
      <c r="D21" s="629"/>
      <c r="E21" s="630">
        <v>19</v>
      </c>
      <c r="F21" s="631">
        <f t="shared" si="3"/>
        <v>5500</v>
      </c>
      <c r="G21" s="890">
        <v>5500</v>
      </c>
      <c r="H21" s="644"/>
      <c r="I21" s="645"/>
      <c r="J21" s="727"/>
      <c r="K21" s="728"/>
      <c r="L21" s="729"/>
      <c r="M21" s="631"/>
      <c r="N21" s="637"/>
      <c r="O21" s="638">
        <f t="shared" si="4"/>
        <v>0</v>
      </c>
      <c r="P21" s="631">
        <f>N21</f>
        <v>0</v>
      </c>
      <c r="Q21" s="591">
        <f>5467738.45/1000</f>
        <v>5467.73845</v>
      </c>
      <c r="R21" s="252"/>
      <c r="S21" s="51"/>
    </row>
    <row r="22" spans="1:19" s="25" customFormat="1" ht="12">
      <c r="A22" s="21"/>
      <c r="B22" s="31" t="s">
        <v>40</v>
      </c>
      <c r="C22" s="31"/>
      <c r="D22" s="31"/>
      <c r="E22" s="33">
        <v>20</v>
      </c>
      <c r="F22" s="119">
        <f t="shared" si="3"/>
        <v>0</v>
      </c>
      <c r="G22" s="611"/>
      <c r="H22" s="89"/>
      <c r="I22" s="90"/>
      <c r="J22" s="321"/>
      <c r="K22" s="138"/>
      <c r="L22" s="139"/>
      <c r="M22" s="119"/>
      <c r="N22" s="419"/>
      <c r="O22" s="412">
        <f t="shared" si="4"/>
        <v>0</v>
      </c>
      <c r="P22" s="92">
        <f>P37</f>
        <v>0</v>
      </c>
      <c r="Q22" s="591">
        <f>148174/1000</f>
        <v>148.174</v>
      </c>
      <c r="R22" s="255"/>
      <c r="S22" s="72"/>
    </row>
    <row r="23" spans="1:19" s="25" customFormat="1" ht="12">
      <c r="A23" s="21"/>
      <c r="B23" s="31" t="s">
        <v>42</v>
      </c>
      <c r="C23" s="31"/>
      <c r="D23" s="31"/>
      <c r="E23" s="33">
        <v>21</v>
      </c>
      <c r="F23" s="515">
        <f t="shared" si="3"/>
        <v>43</v>
      </c>
      <c r="G23" s="611"/>
      <c r="H23" s="89"/>
      <c r="I23" s="90">
        <v>43</v>
      </c>
      <c r="J23" s="321"/>
      <c r="K23" s="138"/>
      <c r="L23" s="139"/>
      <c r="M23" s="119">
        <f>M39</f>
        <v>0</v>
      </c>
      <c r="N23" s="419"/>
      <c r="O23" s="412">
        <f t="shared" si="4"/>
        <v>0</v>
      </c>
      <c r="P23" s="92">
        <f>P39</f>
        <v>0</v>
      </c>
      <c r="Q23" s="591">
        <f>930950/1000</f>
        <v>930.95</v>
      </c>
      <c r="R23" s="255"/>
      <c r="S23" s="72"/>
    </row>
    <row r="24" spans="1:19" s="25" customFormat="1" ht="12">
      <c r="A24" s="21"/>
      <c r="B24" s="31" t="s">
        <v>43</v>
      </c>
      <c r="C24" s="31"/>
      <c r="D24" s="31"/>
      <c r="E24" s="33">
        <v>22</v>
      </c>
      <c r="F24" s="119">
        <f t="shared" si="3"/>
        <v>3029</v>
      </c>
      <c r="G24" s="611">
        <v>3029</v>
      </c>
      <c r="H24" s="89"/>
      <c r="I24" s="90"/>
      <c r="J24" s="321"/>
      <c r="K24" s="138"/>
      <c r="L24" s="139"/>
      <c r="M24" s="119">
        <f>M40</f>
        <v>0</v>
      </c>
      <c r="N24" s="419"/>
      <c r="O24" s="412">
        <f t="shared" si="4"/>
        <v>0</v>
      </c>
      <c r="P24" s="92">
        <f>P40</f>
        <v>0</v>
      </c>
      <c r="Q24" s="591">
        <f>1334000/1000</f>
        <v>1334</v>
      </c>
      <c r="R24" s="255"/>
      <c r="S24" s="72"/>
    </row>
    <row r="25" spans="1:19" s="640" customFormat="1" ht="12">
      <c r="A25" s="628"/>
      <c r="B25" s="629" t="s">
        <v>186</v>
      </c>
      <c r="C25" s="629"/>
      <c r="D25" s="629"/>
      <c r="E25" s="630">
        <v>23</v>
      </c>
      <c r="F25" s="631">
        <f t="shared" si="3"/>
        <v>457</v>
      </c>
      <c r="G25" s="890">
        <v>457</v>
      </c>
      <c r="H25" s="644"/>
      <c r="I25" s="645"/>
      <c r="J25" s="727"/>
      <c r="K25" s="728"/>
      <c r="L25" s="729"/>
      <c r="M25" s="631"/>
      <c r="N25" s="637"/>
      <c r="O25" s="638">
        <f t="shared" si="4"/>
        <v>0</v>
      </c>
      <c r="P25" s="631">
        <f>P41</f>
        <v>457</v>
      </c>
      <c r="Q25" s="591">
        <f>477000/1000</f>
        <v>477</v>
      </c>
      <c r="R25" s="252"/>
      <c r="S25" s="51"/>
    </row>
    <row r="26" spans="1:19" s="25" customFormat="1" ht="12">
      <c r="A26" s="21"/>
      <c r="B26" s="31" t="s">
        <v>45</v>
      </c>
      <c r="C26" s="31"/>
      <c r="D26" s="31"/>
      <c r="E26" s="33">
        <v>24</v>
      </c>
      <c r="F26" s="119">
        <f t="shared" si="3"/>
        <v>0</v>
      </c>
      <c r="G26" s="611"/>
      <c r="H26" s="89"/>
      <c r="I26" s="90"/>
      <c r="J26" s="321"/>
      <c r="K26" s="138"/>
      <c r="L26" s="139"/>
      <c r="M26" s="119"/>
      <c r="N26" s="419"/>
      <c r="O26" s="412">
        <f t="shared" si="4"/>
        <v>0</v>
      </c>
      <c r="P26" s="92">
        <f>P42</f>
        <v>0</v>
      </c>
      <c r="Q26" s="591"/>
      <c r="R26" s="255"/>
      <c r="S26" s="72"/>
    </row>
    <row r="27" spans="1:19" s="25" customFormat="1" ht="12.75" thickBot="1">
      <c r="A27" s="21"/>
      <c r="B27" s="30" t="s">
        <v>47</v>
      </c>
      <c r="C27" s="30"/>
      <c r="D27" s="30"/>
      <c r="E27" s="28">
        <v>25</v>
      </c>
      <c r="F27" s="119">
        <f t="shared" si="3"/>
        <v>9000</v>
      </c>
      <c r="G27" s="894">
        <v>9000</v>
      </c>
      <c r="H27" s="89"/>
      <c r="I27" s="90"/>
      <c r="J27" s="321"/>
      <c r="K27" s="138"/>
      <c r="L27" s="139"/>
      <c r="M27" s="119"/>
      <c r="N27" s="419"/>
      <c r="O27" s="412">
        <f t="shared" si="4"/>
        <v>0</v>
      </c>
      <c r="P27" s="92" t="e">
        <f>N27/titl!$H$17*12</f>
        <v>#DIV/0!</v>
      </c>
      <c r="Q27" s="591">
        <f>25171788.17/1000</f>
        <v>25171.788170000003</v>
      </c>
      <c r="R27" s="255"/>
      <c r="S27" s="72"/>
    </row>
    <row r="28" spans="1:17" ht="13.5" thickBot="1">
      <c r="A28" s="37" t="s">
        <v>49</v>
      </c>
      <c r="B28" s="38"/>
      <c r="C28" s="38"/>
      <c r="D28" s="38"/>
      <c r="E28" s="19">
        <v>26</v>
      </c>
      <c r="F28" s="197">
        <f>SUM(F29:F45)</f>
        <v>215413</v>
      </c>
      <c r="G28" s="597">
        <f aca="true" t="shared" si="5" ref="G28:L28">SUM(G29:G45)</f>
        <v>210645</v>
      </c>
      <c r="H28" s="125">
        <f t="shared" si="5"/>
        <v>4703</v>
      </c>
      <c r="I28" s="77">
        <f t="shared" si="5"/>
        <v>65</v>
      </c>
      <c r="J28" s="304">
        <f t="shared" si="5"/>
        <v>0</v>
      </c>
      <c r="K28" s="77">
        <f t="shared" si="5"/>
        <v>0</v>
      </c>
      <c r="L28" s="76">
        <f t="shared" si="5"/>
        <v>0</v>
      </c>
      <c r="M28" s="197">
        <f>SUM(M29:M45)</f>
        <v>0</v>
      </c>
      <c r="N28" s="76">
        <f>SUM(N29:N45)</f>
        <v>0</v>
      </c>
      <c r="O28" s="413">
        <f t="shared" si="4"/>
        <v>0</v>
      </c>
      <c r="P28" s="78" t="e">
        <f>SUM(P29:P45)</f>
        <v>#DIV/0!</v>
      </c>
      <c r="Q28" s="588">
        <f>SUM(Q29:Q45)</f>
        <v>235819.89500000002</v>
      </c>
    </row>
    <row r="29" spans="1:19" s="25" customFormat="1" ht="12">
      <c r="A29" s="21" t="s">
        <v>14</v>
      </c>
      <c r="B29" s="27" t="s">
        <v>50</v>
      </c>
      <c r="C29" s="27"/>
      <c r="D29" s="27"/>
      <c r="E29" s="28">
        <v>27</v>
      </c>
      <c r="F29" s="119">
        <f t="shared" si="3"/>
        <v>128441</v>
      </c>
      <c r="G29" s="594">
        <v>128441</v>
      </c>
      <c r="H29" s="112"/>
      <c r="I29" s="81"/>
      <c r="J29" s="305"/>
      <c r="K29" s="81"/>
      <c r="L29" s="80"/>
      <c r="M29" s="198"/>
      <c r="N29" s="417"/>
      <c r="O29" s="414">
        <f t="shared" si="4"/>
        <v>0</v>
      </c>
      <c r="P29" s="82">
        <f>M29</f>
        <v>0</v>
      </c>
      <c r="Q29" s="589">
        <f>139036000/1000</f>
        <v>139036</v>
      </c>
      <c r="R29" s="255">
        <v>4703</v>
      </c>
      <c r="S29" s="72"/>
    </row>
    <row r="30" spans="1:19" s="25" customFormat="1" ht="12">
      <c r="A30" s="21"/>
      <c r="B30" s="30" t="s">
        <v>28</v>
      </c>
      <c r="C30" s="30"/>
      <c r="D30" s="30"/>
      <c r="E30" s="28">
        <v>28</v>
      </c>
      <c r="F30" s="119">
        <f t="shared" si="3"/>
        <v>0</v>
      </c>
      <c r="G30" s="499"/>
      <c r="H30" s="126"/>
      <c r="I30" s="95"/>
      <c r="J30" s="308"/>
      <c r="K30" s="95"/>
      <c r="L30" s="94"/>
      <c r="M30" s="472"/>
      <c r="N30" s="420"/>
      <c r="O30" s="414">
        <f t="shared" si="4"/>
        <v>0</v>
      </c>
      <c r="P30" s="96">
        <f aca="true" t="shared" si="6" ref="P30:P42">F30</f>
        <v>0</v>
      </c>
      <c r="Q30" s="519"/>
      <c r="R30" s="255"/>
      <c r="S30" s="72"/>
    </row>
    <row r="31" spans="1:19" s="25" customFormat="1" ht="12">
      <c r="A31" s="21"/>
      <c r="B31" s="30" t="s">
        <v>30</v>
      </c>
      <c r="C31" s="30"/>
      <c r="D31" s="30"/>
      <c r="E31" s="28">
        <v>29</v>
      </c>
      <c r="F31" s="119">
        <f t="shared" si="3"/>
        <v>0</v>
      </c>
      <c r="G31" s="499"/>
      <c r="H31" s="126"/>
      <c r="I31" s="95"/>
      <c r="J31" s="308"/>
      <c r="K31" s="95"/>
      <c r="L31" s="94"/>
      <c r="M31" s="472"/>
      <c r="N31" s="420"/>
      <c r="O31" s="414">
        <f t="shared" si="4"/>
        <v>0</v>
      </c>
      <c r="P31" s="96">
        <f t="shared" si="6"/>
        <v>0</v>
      </c>
      <c r="Q31" s="519"/>
      <c r="R31" s="255"/>
      <c r="S31" s="72"/>
    </row>
    <row r="32" spans="1:19" s="25" customFormat="1" ht="12">
      <c r="A32" s="21"/>
      <c r="B32" s="31" t="s">
        <v>32</v>
      </c>
      <c r="C32" s="32"/>
      <c r="D32" s="32"/>
      <c r="E32" s="33">
        <v>30</v>
      </c>
      <c r="F32" s="119">
        <f t="shared" si="3"/>
        <v>16382</v>
      </c>
      <c r="G32" s="499">
        <f>G18</f>
        <v>16382</v>
      </c>
      <c r="H32" s="126"/>
      <c r="I32" s="95"/>
      <c r="J32" s="308"/>
      <c r="K32" s="95"/>
      <c r="L32" s="94"/>
      <c r="M32" s="472"/>
      <c r="N32" s="420"/>
      <c r="O32" s="414">
        <f t="shared" si="4"/>
        <v>0</v>
      </c>
      <c r="P32" s="96">
        <f>M32</f>
        <v>0</v>
      </c>
      <c r="Q32" s="519">
        <f>5828000/1000</f>
        <v>5828</v>
      </c>
      <c r="R32" s="255"/>
      <c r="S32" s="72"/>
    </row>
    <row r="33" spans="1:19" s="25" customFormat="1" ht="12">
      <c r="A33" s="21"/>
      <c r="B33" s="31" t="s">
        <v>34</v>
      </c>
      <c r="C33" s="31"/>
      <c r="D33" s="31"/>
      <c r="E33" s="33">
        <v>31</v>
      </c>
      <c r="F33" s="119">
        <f t="shared" si="3"/>
        <v>0</v>
      </c>
      <c r="G33" s="499">
        <f>G19</f>
        <v>0</v>
      </c>
      <c r="H33" s="126"/>
      <c r="I33" s="95"/>
      <c r="J33" s="308"/>
      <c r="K33" s="95"/>
      <c r="L33" s="94"/>
      <c r="M33" s="472"/>
      <c r="N33" s="420"/>
      <c r="O33" s="414">
        <f t="shared" si="4"/>
        <v>0</v>
      </c>
      <c r="P33" s="96">
        <f>M32</f>
        <v>0</v>
      </c>
      <c r="Q33" s="519">
        <f>485000/1000</f>
        <v>485</v>
      </c>
      <c r="R33" s="255"/>
      <c r="S33" s="72"/>
    </row>
    <row r="34" spans="1:19" s="25" customFormat="1" ht="12">
      <c r="A34" s="21"/>
      <c r="B34" s="31" t="s">
        <v>52</v>
      </c>
      <c r="C34" s="31"/>
      <c r="D34" s="31"/>
      <c r="E34" s="33">
        <v>32</v>
      </c>
      <c r="F34" s="119">
        <f t="shared" si="3"/>
        <v>0</v>
      </c>
      <c r="G34" s="499"/>
      <c r="H34" s="126"/>
      <c r="I34" s="95"/>
      <c r="J34" s="308"/>
      <c r="K34" s="95"/>
      <c r="L34" s="94"/>
      <c r="M34" s="472"/>
      <c r="N34" s="420"/>
      <c r="O34" s="414">
        <f t="shared" si="4"/>
        <v>0</v>
      </c>
      <c r="P34" s="96">
        <f t="shared" si="6"/>
        <v>0</v>
      </c>
      <c r="Q34" s="519"/>
      <c r="R34" s="255"/>
      <c r="S34" s="72"/>
    </row>
    <row r="35" spans="1:19" s="25" customFormat="1" ht="12">
      <c r="A35" s="21"/>
      <c r="B35" s="31" t="s">
        <v>36</v>
      </c>
      <c r="C35" s="31"/>
      <c r="D35" s="31"/>
      <c r="E35" s="33">
        <v>33</v>
      </c>
      <c r="F35" s="119">
        <f t="shared" si="3"/>
        <v>5800</v>
      </c>
      <c r="G35" s="895">
        <f>G20</f>
        <v>5800</v>
      </c>
      <c r="H35" s="126"/>
      <c r="I35" s="95"/>
      <c r="J35" s="308"/>
      <c r="K35" s="95"/>
      <c r="L35" s="94"/>
      <c r="M35" s="472"/>
      <c r="N35" s="420"/>
      <c r="O35" s="414">
        <f t="shared" si="4"/>
        <v>0</v>
      </c>
      <c r="P35" s="96">
        <f t="shared" si="6"/>
        <v>5800</v>
      </c>
      <c r="Q35" s="519">
        <f>5954254.54/1000</f>
        <v>5954.25454</v>
      </c>
      <c r="R35" s="255"/>
      <c r="S35" s="72"/>
    </row>
    <row r="36" spans="1:19" s="640" customFormat="1" ht="12">
      <c r="A36" s="628"/>
      <c r="B36" s="629" t="s">
        <v>175</v>
      </c>
      <c r="C36" s="629"/>
      <c r="D36" s="629"/>
      <c r="E36" s="630">
        <v>34</v>
      </c>
      <c r="F36" s="631">
        <f t="shared" si="3"/>
        <v>5500</v>
      </c>
      <c r="G36" s="649">
        <f>G21</f>
        <v>5500</v>
      </c>
      <c r="H36" s="633"/>
      <c r="I36" s="634"/>
      <c r="J36" s="635"/>
      <c r="K36" s="634"/>
      <c r="L36" s="636"/>
      <c r="M36" s="632"/>
      <c r="N36" s="641"/>
      <c r="O36" s="734">
        <f t="shared" si="4"/>
        <v>0</v>
      </c>
      <c r="P36" s="632">
        <f>P21</f>
        <v>0</v>
      </c>
      <c r="Q36" s="519">
        <f>5467738.45/1000</f>
        <v>5467.73845</v>
      </c>
      <c r="R36" s="252"/>
      <c r="S36" s="51"/>
    </row>
    <row r="37" spans="1:19" s="25" customFormat="1" ht="12">
      <c r="A37" s="21"/>
      <c r="B37" s="31" t="s">
        <v>54</v>
      </c>
      <c r="C37" s="31"/>
      <c r="D37" s="31"/>
      <c r="E37" s="33">
        <v>35</v>
      </c>
      <c r="F37" s="119">
        <f t="shared" si="3"/>
        <v>0</v>
      </c>
      <c r="G37" s="649"/>
      <c r="H37" s="126"/>
      <c r="I37" s="95"/>
      <c r="J37" s="308"/>
      <c r="K37" s="95"/>
      <c r="L37" s="94"/>
      <c r="M37" s="472"/>
      <c r="N37" s="420"/>
      <c r="O37" s="414">
        <f t="shared" si="4"/>
        <v>0</v>
      </c>
      <c r="P37" s="96">
        <f t="shared" si="6"/>
        <v>0</v>
      </c>
      <c r="Q37" s="519">
        <f>148174/1000</f>
        <v>148.174</v>
      </c>
      <c r="R37" s="255"/>
      <c r="S37" s="72"/>
    </row>
    <row r="38" spans="1:19" s="25" customFormat="1" ht="12">
      <c r="A38" s="21"/>
      <c r="B38" s="31" t="s">
        <v>170</v>
      </c>
      <c r="C38" s="31"/>
      <c r="D38" s="31"/>
      <c r="E38" s="33">
        <v>36</v>
      </c>
      <c r="F38" s="119">
        <f t="shared" si="3"/>
        <v>200</v>
      </c>
      <c r="G38" s="499">
        <v>200</v>
      </c>
      <c r="H38" s="126"/>
      <c r="I38" s="95"/>
      <c r="J38" s="308"/>
      <c r="K38" s="95"/>
      <c r="L38" s="94"/>
      <c r="M38" s="472"/>
      <c r="N38" s="420"/>
      <c r="O38" s="414">
        <f t="shared" si="4"/>
        <v>0</v>
      </c>
      <c r="P38" s="96">
        <f>M38</f>
        <v>0</v>
      </c>
      <c r="Q38" s="519">
        <f>463000/1000</f>
        <v>463</v>
      </c>
      <c r="R38" s="255"/>
      <c r="S38" s="72"/>
    </row>
    <row r="39" spans="1:19" s="25" customFormat="1" ht="12">
      <c r="A39" s="21"/>
      <c r="B39" s="31" t="s">
        <v>56</v>
      </c>
      <c r="C39" s="31"/>
      <c r="D39" s="31"/>
      <c r="E39" s="33">
        <v>37</v>
      </c>
      <c r="F39" s="515">
        <f t="shared" si="3"/>
        <v>0</v>
      </c>
      <c r="G39" s="499"/>
      <c r="H39" s="126"/>
      <c r="I39" s="95"/>
      <c r="J39" s="308"/>
      <c r="K39" s="95"/>
      <c r="L39" s="94"/>
      <c r="M39" s="472"/>
      <c r="N39" s="420"/>
      <c r="O39" s="414">
        <f t="shared" si="4"/>
        <v>0</v>
      </c>
      <c r="P39" s="96">
        <f t="shared" si="6"/>
        <v>0</v>
      </c>
      <c r="Q39" s="519">
        <f>930950/1000</f>
        <v>930.95</v>
      </c>
      <c r="R39" s="255"/>
      <c r="S39" s="72"/>
    </row>
    <row r="40" spans="1:19" s="25" customFormat="1" ht="12">
      <c r="A40" s="21"/>
      <c r="B40" s="31" t="s">
        <v>57</v>
      </c>
      <c r="C40" s="31"/>
      <c r="D40" s="31"/>
      <c r="E40" s="33">
        <v>38</v>
      </c>
      <c r="F40" s="119">
        <f t="shared" si="3"/>
        <v>3029</v>
      </c>
      <c r="G40" s="499">
        <f>G24</f>
        <v>3029</v>
      </c>
      <c r="H40" s="126"/>
      <c r="I40" s="95"/>
      <c r="J40" s="308"/>
      <c r="K40" s="95"/>
      <c r="L40" s="94"/>
      <c r="M40" s="472"/>
      <c r="N40" s="420"/>
      <c r="O40" s="414">
        <f t="shared" si="4"/>
        <v>0</v>
      </c>
      <c r="P40" s="96">
        <f>M40</f>
        <v>0</v>
      </c>
      <c r="Q40" s="519">
        <f>1334000/1000</f>
        <v>1334</v>
      </c>
      <c r="R40" s="255"/>
      <c r="S40" s="72"/>
    </row>
    <row r="41" spans="1:19" s="640" customFormat="1" ht="12">
      <c r="A41" s="628"/>
      <c r="B41" s="629" t="s">
        <v>186</v>
      </c>
      <c r="C41" s="629"/>
      <c r="D41" s="629"/>
      <c r="E41" s="630">
        <v>39</v>
      </c>
      <c r="F41" s="631">
        <f t="shared" si="3"/>
        <v>457</v>
      </c>
      <c r="G41" s="649">
        <f>G25</f>
        <v>457</v>
      </c>
      <c r="H41" s="633"/>
      <c r="I41" s="634"/>
      <c r="J41" s="635"/>
      <c r="K41" s="634"/>
      <c r="L41" s="636"/>
      <c r="M41" s="632"/>
      <c r="N41" s="641"/>
      <c r="O41" s="734">
        <f t="shared" si="4"/>
        <v>0</v>
      </c>
      <c r="P41" s="632">
        <f t="shared" si="6"/>
        <v>457</v>
      </c>
      <c r="Q41" s="519">
        <f>477000/1000</f>
        <v>477</v>
      </c>
      <c r="R41" s="252"/>
      <c r="S41" s="51"/>
    </row>
    <row r="42" spans="1:19" s="25" customFormat="1" ht="12">
      <c r="A42" s="21"/>
      <c r="B42" s="31" t="s">
        <v>58</v>
      </c>
      <c r="C42" s="31"/>
      <c r="D42" s="31"/>
      <c r="E42" s="33">
        <v>40</v>
      </c>
      <c r="F42" s="119">
        <f t="shared" si="3"/>
        <v>0</v>
      </c>
      <c r="G42" s="499">
        <f>G26</f>
        <v>0</v>
      </c>
      <c r="H42" s="126"/>
      <c r="I42" s="95"/>
      <c r="J42" s="308"/>
      <c r="K42" s="95"/>
      <c r="L42" s="94"/>
      <c r="M42" s="472"/>
      <c r="N42" s="420"/>
      <c r="O42" s="414">
        <f t="shared" si="4"/>
        <v>0</v>
      </c>
      <c r="P42" s="96">
        <f t="shared" si="6"/>
        <v>0</v>
      </c>
      <c r="Q42" s="519"/>
      <c r="R42" s="255"/>
      <c r="S42" s="72"/>
    </row>
    <row r="43" spans="1:19" s="25" customFormat="1" ht="12">
      <c r="A43" s="21"/>
      <c r="B43" s="31" t="s">
        <v>59</v>
      </c>
      <c r="C43" s="31"/>
      <c r="D43" s="31"/>
      <c r="E43" s="33">
        <v>41</v>
      </c>
      <c r="F43" s="119">
        <f t="shared" si="3"/>
        <v>41336</v>
      </c>
      <c r="G43" s="499">
        <v>41336</v>
      </c>
      <c r="H43" s="126"/>
      <c r="I43" s="95"/>
      <c r="J43" s="308"/>
      <c r="K43" s="95"/>
      <c r="L43" s="94"/>
      <c r="M43" s="472"/>
      <c r="N43" s="420"/>
      <c r="O43" s="414">
        <f t="shared" si="4"/>
        <v>0</v>
      </c>
      <c r="P43" s="96" t="e">
        <f>N43/titl!H17*12</f>
        <v>#DIV/0!</v>
      </c>
      <c r="Q43" s="519">
        <f>42097888.12/1000</f>
        <v>42097.888119999996</v>
      </c>
      <c r="R43" s="255"/>
      <c r="S43" s="72"/>
    </row>
    <row r="44" spans="1:19" s="25" customFormat="1" ht="12">
      <c r="A44" s="21"/>
      <c r="B44" s="31" t="s">
        <v>60</v>
      </c>
      <c r="C44" s="31"/>
      <c r="D44" s="31"/>
      <c r="E44" s="33">
        <v>42</v>
      </c>
      <c r="F44" s="119">
        <f t="shared" si="3"/>
        <v>4768</v>
      </c>
      <c r="G44" s="612"/>
      <c r="H44" s="126">
        <f>H3</f>
        <v>4703</v>
      </c>
      <c r="I44" s="95">
        <f>I3</f>
        <v>65</v>
      </c>
      <c r="J44" s="308"/>
      <c r="K44" s="95"/>
      <c r="L44" s="94"/>
      <c r="M44" s="472"/>
      <c r="N44" s="420"/>
      <c r="O44" s="414">
        <f t="shared" si="4"/>
        <v>0</v>
      </c>
      <c r="P44" s="96">
        <f>N44</f>
        <v>0</v>
      </c>
      <c r="Q44" s="519">
        <f>6347130/1000</f>
        <v>6347.13</v>
      </c>
      <c r="R44" s="255"/>
      <c r="S44" s="255"/>
    </row>
    <row r="45" spans="1:19" s="25" customFormat="1" ht="12.75" thickBot="1">
      <c r="A45" s="40"/>
      <c r="B45" s="41" t="s">
        <v>47</v>
      </c>
      <c r="C45" s="41"/>
      <c r="D45" s="41"/>
      <c r="E45" s="42">
        <v>43</v>
      </c>
      <c r="F45" s="200">
        <f t="shared" si="3"/>
        <v>9500</v>
      </c>
      <c r="G45" s="500">
        <v>9500</v>
      </c>
      <c r="H45" s="174"/>
      <c r="I45" s="99"/>
      <c r="J45" s="309"/>
      <c r="K45" s="99"/>
      <c r="L45" s="98"/>
      <c r="M45" s="200"/>
      <c r="N45" s="421"/>
      <c r="O45" s="415">
        <f t="shared" si="4"/>
        <v>0</v>
      </c>
      <c r="P45" s="92" t="e">
        <f>N45/titl!$H$17*12</f>
        <v>#DIV/0!</v>
      </c>
      <c r="Q45" s="592">
        <f>27250759.89/1000</f>
        <v>27250.75989</v>
      </c>
      <c r="R45" s="255"/>
      <c r="S45" s="72"/>
    </row>
    <row r="46" spans="1:19" s="25" customFormat="1" ht="12.75" hidden="1" thickBot="1">
      <c r="A46" s="44" t="s">
        <v>61</v>
      </c>
      <c r="B46" s="45"/>
      <c r="C46" s="45"/>
      <c r="D46" s="45"/>
      <c r="E46" s="28">
        <v>44</v>
      </c>
      <c r="F46" s="201">
        <f>F29+F34+F38+F43+F44+F45-F4-F27</f>
        <v>663</v>
      </c>
      <c r="G46" s="613">
        <f>G29+G34+G38+G43+G45-G4-G27</f>
        <v>620</v>
      </c>
      <c r="H46" s="102">
        <f>H29+H34+H38+H43+H44+H45-H4-H27</f>
        <v>0</v>
      </c>
      <c r="I46" s="102">
        <f>I29+I34+I38+I43+I44+I45-I4-I27</f>
        <v>43</v>
      </c>
      <c r="J46" s="102">
        <f>J29+J34+J38+J43+J44+J45-J4-J27</f>
        <v>0</v>
      </c>
      <c r="K46" s="320"/>
      <c r="L46" s="102">
        <f>L29+L34+L38+L43+L44+L45-L4-L27</f>
        <v>0</v>
      </c>
      <c r="M46" s="201">
        <f>M29+M34+M38+M43+M44+M45+-M4-M27</f>
        <v>0</v>
      </c>
      <c r="N46" s="422">
        <f>N29+N34+N38+N43+N44+N45-N4-N27</f>
        <v>0</v>
      </c>
      <c r="O46" s="416"/>
      <c r="P46" s="103" t="e">
        <f>P29+P34+P38+P43+P44+P45-P4-P27</f>
        <v>#DIV/0!</v>
      </c>
      <c r="Q46" s="593">
        <f>Q29+Q34+Q38+Q43+Q44+Q45-Q4-Q27</f>
        <v>2192.33237</v>
      </c>
      <c r="R46" s="255"/>
      <c r="S46" s="72"/>
    </row>
    <row r="47" spans="1:17" ht="13.5" thickBot="1">
      <c r="A47" s="37" t="s">
        <v>62</v>
      </c>
      <c r="B47" s="38"/>
      <c r="C47" s="38"/>
      <c r="D47" s="38"/>
      <c r="E47" s="19">
        <v>45</v>
      </c>
      <c r="F47" s="197">
        <f>F28-F3</f>
        <v>620</v>
      </c>
      <c r="G47" s="597">
        <f aca="true" t="shared" si="7" ref="G47:N47">G28-G3</f>
        <v>620</v>
      </c>
      <c r="H47" s="125">
        <f t="shared" si="7"/>
        <v>0</v>
      </c>
      <c r="I47" s="77">
        <f t="shared" si="7"/>
        <v>0</v>
      </c>
      <c r="J47" s="304">
        <f t="shared" si="7"/>
        <v>0</v>
      </c>
      <c r="K47" s="77">
        <f t="shared" si="7"/>
        <v>0</v>
      </c>
      <c r="L47" s="76">
        <f t="shared" si="7"/>
        <v>0</v>
      </c>
      <c r="M47" s="197">
        <f>M28-M3</f>
        <v>0</v>
      </c>
      <c r="N47" s="471">
        <f t="shared" si="7"/>
        <v>0</v>
      </c>
      <c r="O47" s="413"/>
      <c r="P47" s="78" t="e">
        <f>P28-P3</f>
        <v>#DIV/0!</v>
      </c>
      <c r="Q47" s="588">
        <f>Q28-Q3</f>
        <v>2192.332369999989</v>
      </c>
    </row>
    <row r="48" spans="1:5" ht="12.75">
      <c r="A48" s="47"/>
      <c r="B48" s="47"/>
      <c r="C48" s="47"/>
      <c r="D48" s="47"/>
      <c r="E48" s="48"/>
    </row>
    <row r="49" spans="5:19" s="47" customFormat="1" ht="11.25">
      <c r="E49" s="48"/>
      <c r="G49" s="59"/>
      <c r="H49" s="59"/>
      <c r="I49" s="59"/>
      <c r="J49" s="59"/>
      <c r="K49" s="59"/>
      <c r="L49" s="59"/>
      <c r="M49" s="59"/>
      <c r="N49" s="59"/>
      <c r="O49" s="401"/>
      <c r="P49" s="401"/>
      <c r="Q49" s="255"/>
      <c r="R49" s="255"/>
      <c r="S49" s="72"/>
    </row>
    <row r="50" spans="1:19" s="47" customFormat="1" ht="11.25">
      <c r="A50" s="51" t="s">
        <v>166</v>
      </c>
      <c r="E50" s="48"/>
      <c r="F50" s="202"/>
      <c r="G50" s="59"/>
      <c r="H50" s="59"/>
      <c r="I50" s="109"/>
      <c r="L50" s="59"/>
      <c r="M50" s="59"/>
      <c r="N50" s="59"/>
      <c r="O50" s="401"/>
      <c r="P50" s="401"/>
      <c r="Q50" s="255"/>
      <c r="R50" s="255"/>
      <c r="S50" s="72"/>
    </row>
    <row r="51" spans="5:19" s="51" customFormat="1" ht="11.25">
      <c r="E51" s="53"/>
      <c r="G51" s="72"/>
      <c r="H51" s="72"/>
      <c r="I51" s="72"/>
      <c r="J51" s="72"/>
      <c r="K51" s="72"/>
      <c r="L51" s="72"/>
      <c r="M51" s="72"/>
      <c r="N51" s="72"/>
      <c r="O51" s="401"/>
      <c r="P51" s="401"/>
      <c r="Q51" s="255"/>
      <c r="R51" s="255"/>
      <c r="S51" s="72"/>
    </row>
    <row r="52" ht="14.25" customHeight="1"/>
    <row r="53" spans="2:19" s="59" customFormat="1" ht="11.25" hidden="1">
      <c r="B53" s="791" t="s">
        <v>191</v>
      </c>
      <c r="C53" s="792"/>
      <c r="D53" s="792"/>
      <c r="E53" s="822"/>
      <c r="F53" s="792"/>
      <c r="G53" s="792"/>
      <c r="H53" s="792"/>
      <c r="I53" s="792"/>
      <c r="J53" s="792"/>
      <c r="K53" s="792"/>
      <c r="L53" s="792"/>
      <c r="M53" s="792"/>
      <c r="N53" s="812"/>
      <c r="O53" s="806"/>
      <c r="P53" s="793" t="e">
        <f>N53/titl!$H$17*12</f>
        <v>#DIV/0!</v>
      </c>
      <c r="Q53" s="255"/>
      <c r="R53" s="255"/>
      <c r="S53" s="72"/>
    </row>
    <row r="54" spans="2:19" s="59" customFormat="1" ht="11.25" hidden="1">
      <c r="B54" s="823" t="s">
        <v>192</v>
      </c>
      <c r="C54" s="794"/>
      <c r="D54" s="794"/>
      <c r="E54" s="824"/>
      <c r="F54" s="794"/>
      <c r="G54" s="794"/>
      <c r="H54" s="794"/>
      <c r="I54" s="794"/>
      <c r="J54" s="794"/>
      <c r="K54" s="794"/>
      <c r="L54" s="794"/>
      <c r="M54" s="794"/>
      <c r="N54" s="813">
        <f>N43+N45-N53</f>
        <v>0</v>
      </c>
      <c r="O54" s="807"/>
      <c r="P54" s="795" t="e">
        <f>N54/titl!$H$17*12</f>
        <v>#DIV/0!</v>
      </c>
      <c r="Q54" s="255"/>
      <c r="R54" s="255"/>
      <c r="S54" s="72"/>
    </row>
    <row r="55" spans="2:19" s="59" customFormat="1" ht="11.25" hidden="1">
      <c r="B55" s="823" t="s">
        <v>193</v>
      </c>
      <c r="C55" s="794"/>
      <c r="D55" s="794"/>
      <c r="E55" s="824"/>
      <c r="F55" s="794"/>
      <c r="G55" s="794"/>
      <c r="H55" s="794"/>
      <c r="I55" s="794"/>
      <c r="J55" s="794"/>
      <c r="K55" s="794"/>
      <c r="L55" s="794"/>
      <c r="M55" s="794"/>
      <c r="N55" s="814"/>
      <c r="O55" s="807"/>
      <c r="P55" s="795" t="e">
        <f>N55/titl!$H$17*12</f>
        <v>#DIV/0!</v>
      </c>
      <c r="Q55" s="255"/>
      <c r="R55" s="255"/>
      <c r="S55" s="72"/>
    </row>
    <row r="56" spans="2:19" s="59" customFormat="1" ht="11.25" hidden="1">
      <c r="B56" s="823" t="s">
        <v>194</v>
      </c>
      <c r="C56" s="794"/>
      <c r="D56" s="794"/>
      <c r="E56" s="824"/>
      <c r="F56" s="794"/>
      <c r="G56" s="794"/>
      <c r="H56" s="794"/>
      <c r="I56" s="794"/>
      <c r="J56" s="794"/>
      <c r="K56" s="794"/>
      <c r="L56" s="794"/>
      <c r="M56" s="794"/>
      <c r="N56" s="813">
        <f>N54+N55</f>
        <v>0</v>
      </c>
      <c r="O56" s="807"/>
      <c r="P56" s="795" t="e">
        <f>N56/titl!$H$17*12</f>
        <v>#DIV/0!</v>
      </c>
      <c r="Q56" s="255"/>
      <c r="R56" s="255"/>
      <c r="S56" s="72"/>
    </row>
    <row r="57" spans="2:19" s="59" customFormat="1" ht="12" hidden="1" thickBot="1">
      <c r="B57" s="820" t="s">
        <v>195</v>
      </c>
      <c r="C57" s="785"/>
      <c r="D57" s="785"/>
      <c r="E57" s="821"/>
      <c r="F57" s="784"/>
      <c r="G57" s="785"/>
      <c r="H57" s="785"/>
      <c r="I57" s="785"/>
      <c r="J57" s="785"/>
      <c r="K57" s="785"/>
      <c r="L57" s="785"/>
      <c r="M57" s="785"/>
      <c r="N57" s="810">
        <f>N56*4%</f>
        <v>0</v>
      </c>
      <c r="O57" s="803"/>
      <c r="P57" s="796" t="e">
        <f>N57/titl!$H$17*12</f>
        <v>#DIV/0!</v>
      </c>
      <c r="Q57" s="255"/>
      <c r="R57" s="255"/>
      <c r="S57" s="72"/>
    </row>
  </sheetData>
  <mergeCells count="5">
    <mergeCell ref="S1:S2"/>
    <mergeCell ref="A1:D1"/>
    <mergeCell ref="H1:L1"/>
    <mergeCell ref="C2:D2"/>
    <mergeCell ref="R1:R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A1">
      <pane ySplit="3" topLeftCell="BM4" activePane="bottomLeft" state="frozen"/>
      <selection pane="topLeft" activeCell="D38" sqref="D38"/>
      <selection pane="bottomLeft" activeCell="D38" sqref="D38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60" bestFit="1" customWidth="1"/>
    <col min="6" max="6" width="9.25390625" style="47" bestFit="1" customWidth="1"/>
    <col min="7" max="7" width="9.25390625" style="59" bestFit="1" customWidth="1"/>
    <col min="8" max="8" width="8.875" style="59" customWidth="1"/>
    <col min="9" max="9" width="8.00390625" style="59" customWidth="1"/>
    <col min="10" max="10" width="7.25390625" style="59" customWidth="1"/>
    <col min="11" max="11" width="8.00390625" style="59" customWidth="1"/>
    <col min="12" max="12" width="7.125" style="59" customWidth="1"/>
    <col min="13" max="13" width="9.00390625" style="59" hidden="1" customWidth="1"/>
    <col min="14" max="14" width="12.875" style="59" hidden="1" customWidth="1" collapsed="1"/>
    <col min="15" max="15" width="7.75390625" style="253" hidden="1" customWidth="1"/>
    <col min="16" max="16" width="10.125" style="0" hidden="1" customWidth="1"/>
    <col min="17" max="17" width="9.875" style="949" customWidth="1" collapsed="1"/>
    <col min="18" max="18" width="7.125" style="255" customWidth="1"/>
    <col min="19" max="19" width="6.75390625" style="72" customWidth="1"/>
  </cols>
  <sheetData>
    <row r="1" spans="1:19" ht="15.75" customHeight="1">
      <c r="A1" s="1046" t="s">
        <v>236</v>
      </c>
      <c r="B1" s="1047"/>
      <c r="C1" s="1047"/>
      <c r="D1" s="1048"/>
      <c r="E1" s="1"/>
      <c r="F1" s="543" t="s">
        <v>0</v>
      </c>
      <c r="G1" s="606" t="s">
        <v>2</v>
      </c>
      <c r="H1" s="1050" t="s">
        <v>3</v>
      </c>
      <c r="I1" s="1050"/>
      <c r="J1" s="1050"/>
      <c r="K1" s="1050"/>
      <c r="L1" s="1051"/>
      <c r="M1" s="181" t="s">
        <v>1</v>
      </c>
      <c r="N1" s="538" t="s">
        <v>4</v>
      </c>
      <c r="O1" s="67" t="s">
        <v>144</v>
      </c>
      <c r="P1" s="175" t="s">
        <v>145</v>
      </c>
      <c r="Q1" s="978" t="s">
        <v>4</v>
      </c>
      <c r="R1" s="1056" t="s">
        <v>190</v>
      </c>
      <c r="S1" s="1057" t="s">
        <v>188</v>
      </c>
    </row>
    <row r="2" spans="1:19" s="16" customFormat="1" ht="13.5" thickBot="1">
      <c r="A2" s="6"/>
      <c r="B2" s="7"/>
      <c r="C2" s="1052" t="s">
        <v>88</v>
      </c>
      <c r="D2" s="1053"/>
      <c r="E2" s="9" t="s">
        <v>5</v>
      </c>
      <c r="F2" s="544">
        <v>2011</v>
      </c>
      <c r="G2" s="607" t="s">
        <v>8</v>
      </c>
      <c r="H2" s="69" t="s">
        <v>9</v>
      </c>
      <c r="I2" s="70" t="s">
        <v>10</v>
      </c>
      <c r="J2" s="303" t="s">
        <v>11</v>
      </c>
      <c r="K2" s="248" t="s">
        <v>126</v>
      </c>
      <c r="L2" s="68" t="s">
        <v>12</v>
      </c>
      <c r="M2" s="544" t="s">
        <v>7</v>
      </c>
      <c r="N2" s="539">
        <v>2011</v>
      </c>
      <c r="O2" s="71"/>
      <c r="P2" s="176"/>
      <c r="Q2" s="979">
        <v>2010</v>
      </c>
      <c r="R2" s="1056"/>
      <c r="S2" s="1057"/>
    </row>
    <row r="3" spans="1:17" ht="13.5" thickBot="1">
      <c r="A3" s="17" t="s">
        <v>13</v>
      </c>
      <c r="B3" s="18"/>
      <c r="C3" s="18"/>
      <c r="D3" s="18"/>
      <c r="E3" s="19">
        <v>1</v>
      </c>
      <c r="F3" s="197">
        <f>SUM(F5:F27)</f>
        <v>34735</v>
      </c>
      <c r="G3" s="597">
        <f aca="true" t="shared" si="0" ref="G3:L3">SUM(G5:G27)</f>
        <v>34244</v>
      </c>
      <c r="H3" s="125">
        <f t="shared" si="0"/>
        <v>111</v>
      </c>
      <c r="I3" s="77">
        <f t="shared" si="0"/>
        <v>143</v>
      </c>
      <c r="J3" s="304">
        <f t="shared" si="0"/>
        <v>37</v>
      </c>
      <c r="K3" s="77">
        <f t="shared" si="0"/>
        <v>200</v>
      </c>
      <c r="L3" s="76">
        <f t="shared" si="0"/>
        <v>0</v>
      </c>
      <c r="M3" s="197">
        <f>SUM(M5:M27)</f>
        <v>0</v>
      </c>
      <c r="N3" s="471">
        <f>SUM(N5:N27)</f>
        <v>0</v>
      </c>
      <c r="O3" s="413">
        <f aca="true" t="shared" si="1" ref="O3:O28">IF(F3=0,0,N3/F3)</f>
        <v>0</v>
      </c>
      <c r="P3" s="573" t="e">
        <f>SUM(P5:P27)</f>
        <v>#DIV/0!</v>
      </c>
      <c r="Q3" s="588">
        <f>SUM(Q5:Q27)</f>
        <v>35181</v>
      </c>
    </row>
    <row r="4" spans="1:19" s="25" customFormat="1" ht="12">
      <c r="A4" s="21" t="s">
        <v>14</v>
      </c>
      <c r="B4" s="22" t="s">
        <v>15</v>
      </c>
      <c r="C4" s="22"/>
      <c r="D4" s="22"/>
      <c r="E4" s="23">
        <v>2</v>
      </c>
      <c r="F4" s="198">
        <f aca="true" t="shared" si="2" ref="F4:N4">SUM(F5:F15)</f>
        <v>28587</v>
      </c>
      <c r="G4" s="594">
        <f t="shared" si="2"/>
        <v>28239</v>
      </c>
      <c r="H4" s="896">
        <f t="shared" si="2"/>
        <v>111</v>
      </c>
      <c r="I4" s="105">
        <f t="shared" si="2"/>
        <v>0</v>
      </c>
      <c r="J4" s="322">
        <f t="shared" si="2"/>
        <v>37</v>
      </c>
      <c r="K4" s="105">
        <f t="shared" si="2"/>
        <v>200</v>
      </c>
      <c r="L4" s="106">
        <f t="shared" si="2"/>
        <v>0</v>
      </c>
      <c r="M4" s="198">
        <f>SUM(M5:M15)</f>
        <v>0</v>
      </c>
      <c r="N4" s="417">
        <f t="shared" si="2"/>
        <v>0</v>
      </c>
      <c r="O4" s="410">
        <f t="shared" si="1"/>
        <v>0</v>
      </c>
      <c r="P4" s="477" t="e">
        <f>SUM(P5:P15)</f>
        <v>#DIV/0!</v>
      </c>
      <c r="Q4" s="589">
        <f>SUM(Q5:Q15)</f>
        <v>29708</v>
      </c>
      <c r="R4" s="255"/>
      <c r="S4" s="72"/>
    </row>
    <row r="5" spans="1:19" s="65" customFormat="1" ht="12">
      <c r="A5" s="61"/>
      <c r="B5" s="62"/>
      <c r="C5" s="62" t="s">
        <v>16</v>
      </c>
      <c r="D5" s="63" t="s">
        <v>17</v>
      </c>
      <c r="E5" s="64">
        <v>3</v>
      </c>
      <c r="F5" s="199">
        <f>SUM(G5:L5)</f>
        <v>19319</v>
      </c>
      <c r="G5" s="899">
        <v>19282</v>
      </c>
      <c r="H5" s="84"/>
      <c r="I5" s="85"/>
      <c r="J5" s="306">
        <v>37</v>
      </c>
      <c r="K5" s="85"/>
      <c r="L5" s="86"/>
      <c r="M5" s="199"/>
      <c r="N5" s="448"/>
      <c r="O5" s="430">
        <f t="shared" si="1"/>
        <v>0</v>
      </c>
      <c r="P5" s="856">
        <f>N5</f>
        <v>0</v>
      </c>
      <c r="Q5" s="701">
        <v>20182</v>
      </c>
      <c r="R5" s="546"/>
      <c r="S5" s="517"/>
    </row>
    <row r="6" spans="1:19" s="65" customFormat="1" ht="12">
      <c r="A6" s="61"/>
      <c r="B6" s="62"/>
      <c r="C6" s="62"/>
      <c r="D6" s="63" t="s">
        <v>18</v>
      </c>
      <c r="E6" s="64">
        <v>4</v>
      </c>
      <c r="F6" s="199">
        <f aca="true" t="shared" si="3" ref="F6:F45">SUM(G6:L6)</f>
        <v>694</v>
      </c>
      <c r="G6" s="899">
        <v>694</v>
      </c>
      <c r="H6" s="84"/>
      <c r="I6" s="85"/>
      <c r="J6" s="306"/>
      <c r="K6" s="85"/>
      <c r="L6" s="86"/>
      <c r="M6" s="199"/>
      <c r="N6" s="448"/>
      <c r="O6" s="430">
        <f t="shared" si="1"/>
        <v>0</v>
      </c>
      <c r="P6" s="856">
        <f>N6</f>
        <v>0</v>
      </c>
      <c r="Q6" s="701">
        <v>674</v>
      </c>
      <c r="R6" s="546"/>
      <c r="S6" s="517"/>
    </row>
    <row r="7" spans="1:19" s="65" customFormat="1" ht="12">
      <c r="A7" s="61"/>
      <c r="B7" s="62"/>
      <c r="C7" s="62"/>
      <c r="D7" s="63" t="s">
        <v>19</v>
      </c>
      <c r="E7" s="64">
        <v>5</v>
      </c>
      <c r="F7" s="199">
        <f t="shared" si="3"/>
        <v>6970</v>
      </c>
      <c r="G7" s="899">
        <v>6970</v>
      </c>
      <c r="H7" s="84"/>
      <c r="I7" s="85"/>
      <c r="J7" s="306"/>
      <c r="K7" s="85"/>
      <c r="L7" s="86"/>
      <c r="M7" s="199"/>
      <c r="N7" s="448"/>
      <c r="O7" s="430">
        <f t="shared" si="1"/>
        <v>0</v>
      </c>
      <c r="P7" s="856">
        <f>N7</f>
        <v>0</v>
      </c>
      <c r="Q7" s="701">
        <v>7434</v>
      </c>
      <c r="R7" s="546"/>
      <c r="S7" s="517"/>
    </row>
    <row r="8" spans="1:19" s="65" customFormat="1" ht="12">
      <c r="A8" s="61"/>
      <c r="B8" s="62"/>
      <c r="C8" s="62"/>
      <c r="D8" s="63" t="s">
        <v>20</v>
      </c>
      <c r="E8" s="64">
        <v>6</v>
      </c>
      <c r="F8" s="199">
        <f t="shared" si="3"/>
        <v>150</v>
      </c>
      <c r="G8" s="899">
        <v>150</v>
      </c>
      <c r="H8" s="84"/>
      <c r="I8" s="85"/>
      <c r="J8" s="306"/>
      <c r="K8" s="85"/>
      <c r="L8" s="86"/>
      <c r="M8" s="199"/>
      <c r="N8" s="448"/>
      <c r="O8" s="430">
        <f t="shared" si="1"/>
        <v>0</v>
      </c>
      <c r="P8" s="332" t="e">
        <f>N8/titl!$H$17*12</f>
        <v>#DIV/0!</v>
      </c>
      <c r="Q8" s="701">
        <v>84</v>
      </c>
      <c r="R8" s="546"/>
      <c r="S8" s="517"/>
    </row>
    <row r="9" spans="1:19" s="65" customFormat="1" ht="12">
      <c r="A9" s="61"/>
      <c r="B9" s="62"/>
      <c r="C9" s="62"/>
      <c r="D9" s="63" t="s">
        <v>21</v>
      </c>
      <c r="E9" s="64">
        <v>7</v>
      </c>
      <c r="F9" s="199">
        <f t="shared" si="3"/>
        <v>50</v>
      </c>
      <c r="G9" s="899">
        <v>50</v>
      </c>
      <c r="H9" s="84"/>
      <c r="I9" s="85"/>
      <c r="J9" s="306"/>
      <c r="K9" s="85"/>
      <c r="L9" s="86"/>
      <c r="M9" s="199"/>
      <c r="N9" s="448"/>
      <c r="O9" s="430">
        <f t="shared" si="1"/>
        <v>0</v>
      </c>
      <c r="P9" s="332" t="e">
        <f>N9/titl!$H$17*12</f>
        <v>#DIV/0!</v>
      </c>
      <c r="Q9" s="701">
        <v>32</v>
      </c>
      <c r="R9" s="546"/>
      <c r="S9" s="517"/>
    </row>
    <row r="10" spans="1:19" s="65" customFormat="1" ht="12">
      <c r="A10" s="61"/>
      <c r="B10" s="62"/>
      <c r="C10" s="62"/>
      <c r="D10" s="63" t="s">
        <v>22</v>
      </c>
      <c r="E10" s="64">
        <v>8</v>
      </c>
      <c r="F10" s="199">
        <f t="shared" si="3"/>
        <v>501</v>
      </c>
      <c r="G10" s="899">
        <v>390</v>
      </c>
      <c r="H10" s="84">
        <v>111</v>
      </c>
      <c r="I10" s="85"/>
      <c r="J10" s="306"/>
      <c r="K10" s="85"/>
      <c r="L10" s="86"/>
      <c r="M10" s="199"/>
      <c r="N10" s="448"/>
      <c r="O10" s="430">
        <f t="shared" si="1"/>
        <v>0</v>
      </c>
      <c r="P10" s="332" t="e">
        <f>N10/titl!$H$17*12</f>
        <v>#DIV/0!</v>
      </c>
      <c r="Q10" s="701">
        <v>480</v>
      </c>
      <c r="R10" s="546"/>
      <c r="S10" s="517"/>
    </row>
    <row r="11" spans="1:19" s="65" customFormat="1" ht="12">
      <c r="A11" s="61"/>
      <c r="B11" s="62"/>
      <c r="C11" s="62"/>
      <c r="D11" s="63" t="s">
        <v>23</v>
      </c>
      <c r="E11" s="64">
        <v>9</v>
      </c>
      <c r="F11" s="199">
        <f t="shared" si="3"/>
        <v>300</v>
      </c>
      <c r="G11" s="899">
        <v>300</v>
      </c>
      <c r="H11" s="84"/>
      <c r="I11" s="85"/>
      <c r="J11" s="306"/>
      <c r="K11" s="85"/>
      <c r="L11" s="86"/>
      <c r="M11" s="199"/>
      <c r="N11" s="448"/>
      <c r="O11" s="430">
        <f t="shared" si="1"/>
        <v>0</v>
      </c>
      <c r="P11" s="332" t="e">
        <f>N11/titl!$H$17*12</f>
        <v>#DIV/0!</v>
      </c>
      <c r="Q11" s="701">
        <v>225</v>
      </c>
      <c r="R11" s="546"/>
      <c r="S11" s="517"/>
    </row>
    <row r="12" spans="1:19" s="65" customFormat="1" ht="12">
      <c r="A12" s="61"/>
      <c r="B12" s="62"/>
      <c r="C12" s="62"/>
      <c r="D12" s="63" t="s">
        <v>24</v>
      </c>
      <c r="E12" s="64">
        <v>10</v>
      </c>
      <c r="F12" s="199">
        <f t="shared" si="3"/>
        <v>100</v>
      </c>
      <c r="G12" s="899">
        <v>100</v>
      </c>
      <c r="H12" s="84"/>
      <c r="I12" s="85"/>
      <c r="J12" s="306"/>
      <c r="K12" s="85"/>
      <c r="L12" s="86"/>
      <c r="M12" s="199"/>
      <c r="N12" s="448"/>
      <c r="O12" s="430">
        <f t="shared" si="1"/>
        <v>0</v>
      </c>
      <c r="P12" s="332" t="e">
        <f>N12/titl!$H$17*12</f>
        <v>#DIV/0!</v>
      </c>
      <c r="Q12" s="701">
        <v>94</v>
      </c>
      <c r="R12" s="546"/>
      <c r="S12" s="517"/>
    </row>
    <row r="13" spans="1:19" s="65" customFormat="1" ht="12">
      <c r="A13" s="61"/>
      <c r="B13" s="62"/>
      <c r="C13" s="62"/>
      <c r="D13" s="63" t="s">
        <v>25</v>
      </c>
      <c r="E13" s="64">
        <v>11</v>
      </c>
      <c r="F13" s="199">
        <f t="shared" si="3"/>
        <v>183</v>
      </c>
      <c r="G13" s="899">
        <v>183</v>
      </c>
      <c r="H13" s="84"/>
      <c r="I13" s="85"/>
      <c r="J13" s="306"/>
      <c r="K13" s="85"/>
      <c r="L13" s="86"/>
      <c r="M13" s="199"/>
      <c r="N13" s="448"/>
      <c r="O13" s="430">
        <f t="shared" si="1"/>
        <v>0</v>
      </c>
      <c r="P13" s="856">
        <f>N13</f>
        <v>0</v>
      </c>
      <c r="Q13" s="701">
        <v>183</v>
      </c>
      <c r="R13" s="546"/>
      <c r="S13" s="517"/>
    </row>
    <row r="14" spans="1:19" s="65" customFormat="1" ht="12">
      <c r="A14" s="61"/>
      <c r="B14" s="62"/>
      <c r="C14" s="62"/>
      <c r="D14" s="63" t="s">
        <v>26</v>
      </c>
      <c r="E14" s="64">
        <v>12</v>
      </c>
      <c r="F14" s="199">
        <f t="shared" si="3"/>
        <v>0</v>
      </c>
      <c r="G14" s="899"/>
      <c r="H14" s="84"/>
      <c r="I14" s="85"/>
      <c r="J14" s="306"/>
      <c r="K14" s="85"/>
      <c r="L14" s="86"/>
      <c r="M14" s="199"/>
      <c r="N14" s="448"/>
      <c r="O14" s="430">
        <f t="shared" si="1"/>
        <v>0</v>
      </c>
      <c r="P14" s="332" t="e">
        <f>N14/titl!$H$17*12</f>
        <v>#DIV/0!</v>
      </c>
      <c r="Q14" s="701"/>
      <c r="R14" s="546"/>
      <c r="S14" s="517"/>
    </row>
    <row r="15" spans="1:19" s="65" customFormat="1" ht="12">
      <c r="A15" s="61"/>
      <c r="B15" s="62"/>
      <c r="C15" s="63"/>
      <c r="D15" s="63" t="s">
        <v>27</v>
      </c>
      <c r="E15" s="64">
        <v>13</v>
      </c>
      <c r="F15" s="199">
        <f t="shared" si="3"/>
        <v>320</v>
      </c>
      <c r="G15" s="900">
        <v>120</v>
      </c>
      <c r="H15" s="84"/>
      <c r="I15" s="85"/>
      <c r="J15" s="306"/>
      <c r="K15" s="85">
        <v>200</v>
      </c>
      <c r="L15" s="86"/>
      <c r="M15" s="199"/>
      <c r="N15" s="448"/>
      <c r="O15" s="430">
        <f t="shared" si="1"/>
        <v>0</v>
      </c>
      <c r="P15" s="332" t="e">
        <f>N15/titl!$H$17*12</f>
        <v>#DIV/0!</v>
      </c>
      <c r="Q15" s="701">
        <v>320</v>
      </c>
      <c r="R15" s="546"/>
      <c r="S15" s="517"/>
    </row>
    <row r="16" spans="1:19" s="25" customFormat="1" ht="12">
      <c r="A16" s="21"/>
      <c r="B16" s="30" t="s">
        <v>28</v>
      </c>
      <c r="C16" s="27"/>
      <c r="D16" s="27"/>
      <c r="E16" s="28">
        <v>14</v>
      </c>
      <c r="F16" s="119">
        <f t="shared" si="3"/>
        <v>0</v>
      </c>
      <c r="G16" s="596"/>
      <c r="H16" s="89"/>
      <c r="I16" s="90"/>
      <c r="J16" s="307"/>
      <c r="K16" s="90"/>
      <c r="L16" s="91"/>
      <c r="M16" s="119"/>
      <c r="N16" s="448"/>
      <c r="O16" s="430">
        <f t="shared" si="1"/>
        <v>0</v>
      </c>
      <c r="P16" s="574">
        <f>P30</f>
        <v>0</v>
      </c>
      <c r="Q16" s="701"/>
      <c r="R16" s="255"/>
      <c r="S16" s="72"/>
    </row>
    <row r="17" spans="1:19" s="25" customFormat="1" ht="12">
      <c r="A17" s="21"/>
      <c r="B17" s="30" t="s">
        <v>30</v>
      </c>
      <c r="C17" s="27"/>
      <c r="D17" s="27"/>
      <c r="E17" s="28">
        <v>15</v>
      </c>
      <c r="F17" s="119">
        <f t="shared" si="3"/>
        <v>0</v>
      </c>
      <c r="G17" s="596"/>
      <c r="H17" s="89"/>
      <c r="I17" s="90"/>
      <c r="J17" s="307"/>
      <c r="K17" s="90"/>
      <c r="L17" s="91"/>
      <c r="M17" s="119"/>
      <c r="N17" s="448"/>
      <c r="O17" s="430">
        <f t="shared" si="1"/>
        <v>0</v>
      </c>
      <c r="P17" s="574">
        <f>P31</f>
        <v>0</v>
      </c>
      <c r="Q17" s="701"/>
      <c r="R17" s="255"/>
      <c r="S17" s="72"/>
    </row>
    <row r="18" spans="1:19" s="25" customFormat="1" ht="12">
      <c r="A18" s="21"/>
      <c r="B18" s="31" t="s">
        <v>32</v>
      </c>
      <c r="C18" s="32"/>
      <c r="D18" s="32"/>
      <c r="E18" s="33">
        <v>16</v>
      </c>
      <c r="F18" s="119">
        <f t="shared" si="3"/>
        <v>324</v>
      </c>
      <c r="G18" s="596">
        <v>324</v>
      </c>
      <c r="H18" s="89"/>
      <c r="I18" s="90"/>
      <c r="J18" s="307"/>
      <c r="K18" s="90"/>
      <c r="L18" s="91"/>
      <c r="M18" s="119"/>
      <c r="N18" s="448"/>
      <c r="O18" s="430">
        <f t="shared" si="1"/>
        <v>0</v>
      </c>
      <c r="P18" s="574">
        <f>P32</f>
        <v>324</v>
      </c>
      <c r="Q18" s="701"/>
      <c r="R18" s="255"/>
      <c r="S18" s="72"/>
    </row>
    <row r="19" spans="1:19" s="25" customFormat="1" ht="12">
      <c r="A19" s="21"/>
      <c r="B19" s="31" t="s">
        <v>34</v>
      </c>
      <c r="C19" s="32"/>
      <c r="D19" s="32"/>
      <c r="E19" s="33">
        <v>17</v>
      </c>
      <c r="F19" s="119">
        <f t="shared" si="3"/>
        <v>0</v>
      </c>
      <c r="G19" s="596"/>
      <c r="H19" s="89"/>
      <c r="I19" s="90"/>
      <c r="J19" s="307"/>
      <c r="K19" s="90"/>
      <c r="L19" s="91"/>
      <c r="M19" s="119"/>
      <c r="N19" s="419"/>
      <c r="O19" s="412">
        <f t="shared" si="1"/>
        <v>0</v>
      </c>
      <c r="P19" s="574">
        <f>P33</f>
        <v>0</v>
      </c>
      <c r="Q19" s="591"/>
      <c r="R19" s="255"/>
      <c r="S19" s="72"/>
    </row>
    <row r="20" spans="1:19" s="25" customFormat="1" ht="12">
      <c r="A20" s="21"/>
      <c r="B20" s="31" t="s">
        <v>36</v>
      </c>
      <c r="C20" s="31"/>
      <c r="D20" s="31"/>
      <c r="E20" s="33">
        <v>18</v>
      </c>
      <c r="F20" s="119">
        <f t="shared" si="3"/>
        <v>0</v>
      </c>
      <c r="G20" s="596"/>
      <c r="H20" s="89"/>
      <c r="I20" s="90"/>
      <c r="J20" s="307"/>
      <c r="K20" s="90"/>
      <c r="L20" s="91"/>
      <c r="M20" s="119"/>
      <c r="N20" s="419"/>
      <c r="O20" s="412">
        <f t="shared" si="1"/>
        <v>0</v>
      </c>
      <c r="P20" s="574">
        <f>P35</f>
        <v>0</v>
      </c>
      <c r="Q20" s="591"/>
      <c r="R20" s="255"/>
      <c r="S20" s="72"/>
    </row>
    <row r="21" spans="1:19" s="640" customFormat="1" ht="12">
      <c r="A21" s="628"/>
      <c r="B21" s="629" t="s">
        <v>175</v>
      </c>
      <c r="C21" s="629"/>
      <c r="D21" s="629"/>
      <c r="E21" s="630">
        <v>19</v>
      </c>
      <c r="F21" s="631">
        <f t="shared" si="3"/>
        <v>5262</v>
      </c>
      <c r="G21" s="901">
        <v>5262</v>
      </c>
      <c r="H21" s="644"/>
      <c r="I21" s="645"/>
      <c r="J21" s="646"/>
      <c r="K21" s="645"/>
      <c r="L21" s="647"/>
      <c r="M21" s="631"/>
      <c r="N21" s="637"/>
      <c r="O21" s="638">
        <f t="shared" si="1"/>
        <v>0</v>
      </c>
      <c r="P21" s="726">
        <f>N21</f>
        <v>0</v>
      </c>
      <c r="Q21" s="591">
        <v>5084</v>
      </c>
      <c r="R21" s="252"/>
      <c r="S21" s="51"/>
    </row>
    <row r="22" spans="1:19" s="25" customFormat="1" ht="12">
      <c r="A22" s="21"/>
      <c r="B22" s="31" t="s">
        <v>40</v>
      </c>
      <c r="C22" s="31"/>
      <c r="D22" s="31"/>
      <c r="E22" s="33">
        <v>20</v>
      </c>
      <c r="F22" s="119">
        <f t="shared" si="3"/>
        <v>562</v>
      </c>
      <c r="G22" s="902">
        <v>419</v>
      </c>
      <c r="H22" s="73"/>
      <c r="I22" s="74">
        <v>143</v>
      </c>
      <c r="J22" s="317"/>
      <c r="K22" s="74"/>
      <c r="L22" s="575"/>
      <c r="M22" s="119"/>
      <c r="N22" s="454"/>
      <c r="O22" s="430">
        <f t="shared" si="1"/>
        <v>0</v>
      </c>
      <c r="P22" s="574">
        <f>P37</f>
        <v>0</v>
      </c>
      <c r="Q22" s="701">
        <v>389</v>
      </c>
      <c r="R22" s="255"/>
      <c r="S22" s="72"/>
    </row>
    <row r="23" spans="1:19" s="25" customFormat="1" ht="12">
      <c r="A23" s="21"/>
      <c r="B23" s="31" t="s">
        <v>42</v>
      </c>
      <c r="C23" s="31"/>
      <c r="D23" s="31"/>
      <c r="E23" s="33">
        <v>21</v>
      </c>
      <c r="F23" s="119">
        <f t="shared" si="3"/>
        <v>0</v>
      </c>
      <c r="G23" s="596"/>
      <c r="H23" s="89"/>
      <c r="I23" s="90"/>
      <c r="J23" s="307"/>
      <c r="K23" s="90"/>
      <c r="L23" s="91"/>
      <c r="M23" s="119"/>
      <c r="N23" s="419"/>
      <c r="O23" s="412">
        <f t="shared" si="1"/>
        <v>0</v>
      </c>
      <c r="P23" s="574">
        <f>P39</f>
        <v>0</v>
      </c>
      <c r="Q23" s="591"/>
      <c r="R23" s="255"/>
      <c r="S23" s="72"/>
    </row>
    <row r="24" spans="1:19" s="25" customFormat="1" ht="12">
      <c r="A24" s="21"/>
      <c r="B24" s="31" t="s">
        <v>43</v>
      </c>
      <c r="C24" s="31"/>
      <c r="D24" s="31"/>
      <c r="E24" s="33">
        <v>22</v>
      </c>
      <c r="F24" s="119">
        <f t="shared" si="3"/>
        <v>0</v>
      </c>
      <c r="G24" s="596"/>
      <c r="H24" s="89"/>
      <c r="I24" s="90"/>
      <c r="J24" s="307"/>
      <c r="K24" s="90"/>
      <c r="L24" s="91"/>
      <c r="M24" s="119"/>
      <c r="N24" s="448"/>
      <c r="O24" s="430">
        <f t="shared" si="1"/>
        <v>0</v>
      </c>
      <c r="P24" s="574">
        <f>P40</f>
        <v>0</v>
      </c>
      <c r="Q24" s="701"/>
      <c r="R24" s="255"/>
      <c r="S24" s="72"/>
    </row>
    <row r="25" spans="1:19" s="640" customFormat="1" ht="12">
      <c r="A25" s="628"/>
      <c r="B25" s="629" t="s">
        <v>186</v>
      </c>
      <c r="C25" s="629"/>
      <c r="D25" s="629"/>
      <c r="E25" s="630">
        <v>23</v>
      </c>
      <c r="F25" s="631">
        <f t="shared" si="3"/>
        <v>0</v>
      </c>
      <c r="G25" s="643"/>
      <c r="H25" s="644"/>
      <c r="I25" s="645"/>
      <c r="J25" s="646"/>
      <c r="K25" s="645"/>
      <c r="L25" s="647"/>
      <c r="M25" s="631"/>
      <c r="N25" s="637"/>
      <c r="O25" s="638">
        <f t="shared" si="1"/>
        <v>0</v>
      </c>
      <c r="P25" s="726">
        <f>P41</f>
        <v>0</v>
      </c>
      <c r="Q25" s="591"/>
      <c r="R25" s="252"/>
      <c r="S25" s="51"/>
    </row>
    <row r="26" spans="1:19" s="25" customFormat="1" ht="12">
      <c r="A26" s="21"/>
      <c r="B26" s="31" t="s">
        <v>45</v>
      </c>
      <c r="C26" s="31"/>
      <c r="D26" s="31"/>
      <c r="E26" s="33">
        <v>24</v>
      </c>
      <c r="F26" s="119">
        <f t="shared" si="3"/>
        <v>0</v>
      </c>
      <c r="G26" s="596"/>
      <c r="H26" s="89"/>
      <c r="I26" s="90"/>
      <c r="J26" s="307"/>
      <c r="K26" s="90"/>
      <c r="L26" s="91"/>
      <c r="M26" s="119"/>
      <c r="N26" s="419"/>
      <c r="O26" s="412">
        <f t="shared" si="1"/>
        <v>0</v>
      </c>
      <c r="P26" s="574">
        <f>P42</f>
        <v>0</v>
      </c>
      <c r="Q26" s="591"/>
      <c r="R26" s="255"/>
      <c r="S26" s="72"/>
    </row>
    <row r="27" spans="1:19" s="25" customFormat="1" ht="12.75" thickBot="1">
      <c r="A27" s="21"/>
      <c r="B27" s="30" t="s">
        <v>47</v>
      </c>
      <c r="C27" s="30"/>
      <c r="D27" s="30"/>
      <c r="E27" s="28">
        <v>25</v>
      </c>
      <c r="F27" s="119">
        <f t="shared" si="3"/>
        <v>0</v>
      </c>
      <c r="G27" s="596"/>
      <c r="H27" s="89"/>
      <c r="I27" s="90"/>
      <c r="J27" s="307"/>
      <c r="K27" s="90"/>
      <c r="L27" s="91"/>
      <c r="M27" s="119"/>
      <c r="N27" s="419"/>
      <c r="O27" s="412">
        <f t="shared" si="1"/>
        <v>0</v>
      </c>
      <c r="P27" s="574" t="e">
        <f>N27/titl!$H$17*12</f>
        <v>#DIV/0!</v>
      </c>
      <c r="Q27" s="591"/>
      <c r="R27" s="255"/>
      <c r="S27" s="72"/>
    </row>
    <row r="28" spans="1:17" ht="13.5" thickBot="1">
      <c r="A28" s="37" t="s">
        <v>49</v>
      </c>
      <c r="B28" s="38"/>
      <c r="C28" s="38"/>
      <c r="D28" s="38"/>
      <c r="E28" s="19">
        <v>26</v>
      </c>
      <c r="F28" s="197">
        <f>SUM(F29:F45)</f>
        <v>34815</v>
      </c>
      <c r="G28" s="597">
        <f aca="true" t="shared" si="4" ref="G28:L28">SUM(G29:G45)</f>
        <v>34324</v>
      </c>
      <c r="H28" s="125">
        <f t="shared" si="4"/>
        <v>111</v>
      </c>
      <c r="I28" s="77">
        <f t="shared" si="4"/>
        <v>143</v>
      </c>
      <c r="J28" s="304">
        <f t="shared" si="4"/>
        <v>37</v>
      </c>
      <c r="K28" s="77">
        <f t="shared" si="4"/>
        <v>200</v>
      </c>
      <c r="L28" s="76">
        <f t="shared" si="4"/>
        <v>0</v>
      </c>
      <c r="M28" s="197">
        <f>SUM(M29:M45)</f>
        <v>0</v>
      </c>
      <c r="N28" s="471">
        <f>SUM(N29:N45)</f>
        <v>0</v>
      </c>
      <c r="O28" s="413">
        <f t="shared" si="1"/>
        <v>0</v>
      </c>
      <c r="P28" s="573" t="e">
        <f>SUM(P29:P45)</f>
        <v>#DIV/0!</v>
      </c>
      <c r="Q28" s="588">
        <f>SUM(Q29:Q45)</f>
        <v>35491</v>
      </c>
    </row>
    <row r="29" spans="1:19" s="25" customFormat="1" ht="12">
      <c r="A29" s="21" t="s">
        <v>14</v>
      </c>
      <c r="B29" s="27" t="s">
        <v>50</v>
      </c>
      <c r="C29" s="27"/>
      <c r="D29" s="27"/>
      <c r="E29" s="28">
        <v>27</v>
      </c>
      <c r="F29" s="119">
        <f t="shared" si="3"/>
        <v>28141</v>
      </c>
      <c r="G29" s="902">
        <v>28141</v>
      </c>
      <c r="H29" s="896"/>
      <c r="I29" s="105"/>
      <c r="J29" s="322"/>
      <c r="K29" s="105"/>
      <c r="L29" s="106"/>
      <c r="M29" s="198"/>
      <c r="N29" s="456"/>
      <c r="O29" s="414">
        <f aca="true" t="shared" si="5" ref="O29:O45">IF(F29=0,0,N29/F29)</f>
        <v>0</v>
      </c>
      <c r="P29" s="910">
        <f>F29</f>
        <v>28141</v>
      </c>
      <c r="Q29" s="980">
        <v>29452</v>
      </c>
      <c r="R29" s="255">
        <v>111</v>
      </c>
      <c r="S29" s="72"/>
    </row>
    <row r="30" spans="1:19" s="25" customFormat="1" ht="12">
      <c r="A30" s="21"/>
      <c r="B30" s="30" t="s">
        <v>28</v>
      </c>
      <c r="C30" s="30"/>
      <c r="D30" s="30"/>
      <c r="E30" s="28">
        <v>28</v>
      </c>
      <c r="F30" s="119">
        <f t="shared" si="3"/>
        <v>0</v>
      </c>
      <c r="G30" s="499"/>
      <c r="H30" s="126"/>
      <c r="I30" s="95"/>
      <c r="J30" s="308"/>
      <c r="K30" s="95"/>
      <c r="L30" s="94"/>
      <c r="M30" s="472"/>
      <c r="N30" s="420"/>
      <c r="O30" s="414">
        <f t="shared" si="5"/>
        <v>0</v>
      </c>
      <c r="P30" s="911">
        <f aca="true" t="shared" si="6" ref="P30:P42">F30</f>
        <v>0</v>
      </c>
      <c r="Q30" s="519"/>
      <c r="R30" s="255"/>
      <c r="S30" s="72"/>
    </row>
    <row r="31" spans="1:19" s="25" customFormat="1" ht="12">
      <c r="A31" s="21"/>
      <c r="B31" s="30" t="s">
        <v>30</v>
      </c>
      <c r="C31" s="30"/>
      <c r="D31" s="30"/>
      <c r="E31" s="28">
        <v>29</v>
      </c>
      <c r="F31" s="119">
        <f t="shared" si="3"/>
        <v>0</v>
      </c>
      <c r="G31" s="499"/>
      <c r="H31" s="126"/>
      <c r="I31" s="95"/>
      <c r="J31" s="308"/>
      <c r="K31" s="95"/>
      <c r="L31" s="94"/>
      <c r="M31" s="472"/>
      <c r="N31" s="420"/>
      <c r="O31" s="414">
        <f t="shared" si="5"/>
        <v>0</v>
      </c>
      <c r="P31" s="911">
        <f t="shared" si="6"/>
        <v>0</v>
      </c>
      <c r="Q31" s="519"/>
      <c r="R31" s="255"/>
      <c r="S31" s="72"/>
    </row>
    <row r="32" spans="1:19" s="25" customFormat="1" ht="12">
      <c r="A32" s="21"/>
      <c r="B32" s="31" t="s">
        <v>32</v>
      </c>
      <c r="C32" s="32"/>
      <c r="D32" s="32"/>
      <c r="E32" s="33">
        <v>30</v>
      </c>
      <c r="F32" s="119">
        <f t="shared" si="3"/>
        <v>324</v>
      </c>
      <c r="G32" s="499">
        <f>G18</f>
        <v>324</v>
      </c>
      <c r="H32" s="126"/>
      <c r="I32" s="95"/>
      <c r="J32" s="308"/>
      <c r="K32" s="95"/>
      <c r="L32" s="94"/>
      <c r="M32" s="472"/>
      <c r="N32" s="457"/>
      <c r="O32" s="431">
        <f t="shared" si="5"/>
        <v>0</v>
      </c>
      <c r="P32" s="911">
        <f t="shared" si="6"/>
        <v>324</v>
      </c>
      <c r="Q32" s="981"/>
      <c r="R32" s="255"/>
      <c r="S32" s="72"/>
    </row>
    <row r="33" spans="1:19" s="25" customFormat="1" ht="12">
      <c r="A33" s="21"/>
      <c r="B33" s="31" t="s">
        <v>34</v>
      </c>
      <c r="C33" s="31"/>
      <c r="D33" s="31"/>
      <c r="E33" s="33">
        <v>31</v>
      </c>
      <c r="F33" s="119">
        <f t="shared" si="3"/>
        <v>0</v>
      </c>
      <c r="G33" s="499"/>
      <c r="H33" s="126"/>
      <c r="I33" s="95"/>
      <c r="J33" s="308"/>
      <c r="K33" s="95"/>
      <c r="L33" s="94"/>
      <c r="M33" s="472"/>
      <c r="N33" s="420"/>
      <c r="O33" s="414">
        <f t="shared" si="5"/>
        <v>0</v>
      </c>
      <c r="P33" s="911">
        <f t="shared" si="6"/>
        <v>0</v>
      </c>
      <c r="Q33" s="519"/>
      <c r="R33" s="255"/>
      <c r="S33" s="72"/>
    </row>
    <row r="34" spans="1:19" s="25" customFormat="1" ht="12">
      <c r="A34" s="21"/>
      <c r="B34" s="31" t="s">
        <v>52</v>
      </c>
      <c r="C34" s="31"/>
      <c r="D34" s="31"/>
      <c r="E34" s="33">
        <v>32</v>
      </c>
      <c r="F34" s="119">
        <f t="shared" si="3"/>
        <v>0</v>
      </c>
      <c r="G34" s="499"/>
      <c r="H34" s="126"/>
      <c r="I34" s="95"/>
      <c r="J34" s="308"/>
      <c r="K34" s="95"/>
      <c r="L34" s="94"/>
      <c r="M34" s="472"/>
      <c r="N34" s="420"/>
      <c r="O34" s="414">
        <f t="shared" si="5"/>
        <v>0</v>
      </c>
      <c r="P34" s="911">
        <f t="shared" si="6"/>
        <v>0</v>
      </c>
      <c r="Q34" s="519"/>
      <c r="R34" s="255"/>
      <c r="S34" s="72"/>
    </row>
    <row r="35" spans="1:19" s="25" customFormat="1" ht="12">
      <c r="A35" s="21"/>
      <c r="B35" s="31" t="s">
        <v>36</v>
      </c>
      <c r="C35" s="31"/>
      <c r="D35" s="31"/>
      <c r="E35" s="33">
        <v>33</v>
      </c>
      <c r="F35" s="119">
        <f t="shared" si="3"/>
        <v>0</v>
      </c>
      <c r="G35" s="499"/>
      <c r="H35" s="126"/>
      <c r="I35" s="95"/>
      <c r="J35" s="308"/>
      <c r="K35" s="95"/>
      <c r="L35" s="94"/>
      <c r="M35" s="472"/>
      <c r="N35" s="420"/>
      <c r="O35" s="414">
        <f t="shared" si="5"/>
        <v>0</v>
      </c>
      <c r="P35" s="911">
        <f t="shared" si="6"/>
        <v>0</v>
      </c>
      <c r="Q35" s="519"/>
      <c r="R35" s="255"/>
      <c r="S35" s="72"/>
    </row>
    <row r="36" spans="1:19" s="640" customFormat="1" ht="12">
      <c r="A36" s="628"/>
      <c r="B36" s="629" t="s">
        <v>175</v>
      </c>
      <c r="C36" s="629"/>
      <c r="D36" s="629"/>
      <c r="E36" s="630">
        <v>34</v>
      </c>
      <c r="F36" s="631">
        <f t="shared" si="3"/>
        <v>5262</v>
      </c>
      <c r="G36" s="649">
        <f>G21</f>
        <v>5262</v>
      </c>
      <c r="H36" s="633"/>
      <c r="I36" s="634"/>
      <c r="J36" s="635"/>
      <c r="K36" s="634"/>
      <c r="L36" s="636"/>
      <c r="M36" s="632"/>
      <c r="N36" s="641"/>
      <c r="O36" s="734">
        <f t="shared" si="5"/>
        <v>0</v>
      </c>
      <c r="P36" s="912">
        <f>P21</f>
        <v>0</v>
      </c>
      <c r="Q36" s="519">
        <f>Q21</f>
        <v>5084</v>
      </c>
      <c r="R36" s="252"/>
      <c r="S36" s="51"/>
    </row>
    <row r="37" spans="1:19" s="25" customFormat="1" ht="12">
      <c r="A37" s="21"/>
      <c r="B37" s="31" t="s">
        <v>54</v>
      </c>
      <c r="C37" s="31"/>
      <c r="D37" s="31"/>
      <c r="E37" s="33">
        <v>35</v>
      </c>
      <c r="F37" s="119">
        <f t="shared" si="3"/>
        <v>562</v>
      </c>
      <c r="G37" s="902">
        <f>G22</f>
        <v>419</v>
      </c>
      <c r="H37" s="897"/>
      <c r="I37" s="107">
        <f>I22</f>
        <v>143</v>
      </c>
      <c r="J37" s="257"/>
      <c r="K37" s="107"/>
      <c r="L37" s="108"/>
      <c r="M37" s="472"/>
      <c r="N37" s="457"/>
      <c r="O37" s="431">
        <f t="shared" si="5"/>
        <v>0</v>
      </c>
      <c r="P37" s="911">
        <f>N37</f>
        <v>0</v>
      </c>
      <c r="Q37" s="519">
        <f>Q22</f>
        <v>389</v>
      </c>
      <c r="R37" s="255"/>
      <c r="S37" s="72"/>
    </row>
    <row r="38" spans="1:19" s="25" customFormat="1" ht="12">
      <c r="A38" s="21"/>
      <c r="B38" s="31" t="s">
        <v>170</v>
      </c>
      <c r="C38" s="31"/>
      <c r="D38" s="31"/>
      <c r="E38" s="33">
        <v>36</v>
      </c>
      <c r="F38" s="119">
        <f t="shared" si="3"/>
        <v>0</v>
      </c>
      <c r="G38" s="903"/>
      <c r="H38" s="897"/>
      <c r="I38" s="107"/>
      <c r="J38" s="257"/>
      <c r="K38" s="107"/>
      <c r="L38" s="108"/>
      <c r="M38" s="472"/>
      <c r="N38" s="457"/>
      <c r="O38" s="431">
        <f t="shared" si="5"/>
        <v>0</v>
      </c>
      <c r="P38" s="911">
        <f t="shared" si="6"/>
        <v>0</v>
      </c>
      <c r="Q38" s="981"/>
      <c r="R38" s="255"/>
      <c r="S38" s="72"/>
    </row>
    <row r="39" spans="1:19" s="25" customFormat="1" ht="12">
      <c r="A39" s="21"/>
      <c r="B39" s="31" t="s">
        <v>56</v>
      </c>
      <c r="C39" s="31"/>
      <c r="D39" s="31"/>
      <c r="E39" s="33">
        <v>37</v>
      </c>
      <c r="F39" s="119">
        <f t="shared" si="3"/>
        <v>0</v>
      </c>
      <c r="G39" s="903"/>
      <c r="H39" s="897"/>
      <c r="I39" s="107"/>
      <c r="J39" s="257"/>
      <c r="K39" s="107"/>
      <c r="L39" s="108"/>
      <c r="M39" s="472"/>
      <c r="N39" s="457"/>
      <c r="O39" s="431">
        <f t="shared" si="5"/>
        <v>0</v>
      </c>
      <c r="P39" s="911">
        <f t="shared" si="6"/>
        <v>0</v>
      </c>
      <c r="Q39" s="981"/>
      <c r="R39" s="255"/>
      <c r="S39" s="72"/>
    </row>
    <row r="40" spans="1:19" s="25" customFormat="1" ht="12">
      <c r="A40" s="21"/>
      <c r="B40" s="31" t="s">
        <v>57</v>
      </c>
      <c r="C40" s="31"/>
      <c r="D40" s="31"/>
      <c r="E40" s="33">
        <v>38</v>
      </c>
      <c r="F40" s="119">
        <f t="shared" si="3"/>
        <v>0</v>
      </c>
      <c r="G40" s="903"/>
      <c r="H40" s="897"/>
      <c r="I40" s="107"/>
      <c r="J40" s="257"/>
      <c r="K40" s="107"/>
      <c r="L40" s="108"/>
      <c r="M40" s="472"/>
      <c r="N40" s="457"/>
      <c r="O40" s="431">
        <f t="shared" si="5"/>
        <v>0</v>
      </c>
      <c r="P40" s="911">
        <f t="shared" si="6"/>
        <v>0</v>
      </c>
      <c r="Q40" s="981"/>
      <c r="R40" s="255"/>
      <c r="S40" s="72"/>
    </row>
    <row r="41" spans="1:19" s="640" customFormat="1" ht="12">
      <c r="A41" s="628"/>
      <c r="B41" s="629" t="s">
        <v>186</v>
      </c>
      <c r="C41" s="629"/>
      <c r="D41" s="629"/>
      <c r="E41" s="630">
        <v>39</v>
      </c>
      <c r="F41" s="631">
        <f t="shared" si="3"/>
        <v>0</v>
      </c>
      <c r="G41" s="904"/>
      <c r="H41" s="898"/>
      <c r="I41" s="742"/>
      <c r="J41" s="743"/>
      <c r="K41" s="742"/>
      <c r="L41" s="741"/>
      <c r="M41" s="632"/>
      <c r="N41" s="744"/>
      <c r="O41" s="745">
        <f t="shared" si="5"/>
        <v>0</v>
      </c>
      <c r="P41" s="912">
        <f t="shared" si="6"/>
        <v>0</v>
      </c>
      <c r="Q41" s="981"/>
      <c r="R41" s="252"/>
      <c r="S41" s="51"/>
    </row>
    <row r="42" spans="1:19" s="25" customFormat="1" ht="12">
      <c r="A42" s="21"/>
      <c r="B42" s="31" t="s">
        <v>58</v>
      </c>
      <c r="C42" s="31"/>
      <c r="D42" s="31"/>
      <c r="E42" s="33">
        <v>40</v>
      </c>
      <c r="F42" s="119">
        <f t="shared" si="3"/>
        <v>0</v>
      </c>
      <c r="G42" s="903"/>
      <c r="H42" s="897"/>
      <c r="I42" s="107"/>
      <c r="J42" s="257"/>
      <c r="K42" s="107"/>
      <c r="L42" s="108"/>
      <c r="M42" s="472"/>
      <c r="N42" s="457"/>
      <c r="O42" s="431">
        <f t="shared" si="5"/>
        <v>0</v>
      </c>
      <c r="P42" s="911">
        <f t="shared" si="6"/>
        <v>0</v>
      </c>
      <c r="Q42" s="981"/>
      <c r="R42" s="255"/>
      <c r="S42" s="72"/>
    </row>
    <row r="43" spans="1:19" s="25" customFormat="1" ht="12">
      <c r="A43" s="21"/>
      <c r="B43" s="31" t="s">
        <v>59</v>
      </c>
      <c r="C43" s="31"/>
      <c r="D43" s="31"/>
      <c r="E43" s="33">
        <v>41</v>
      </c>
      <c r="F43" s="119">
        <f t="shared" si="3"/>
        <v>178</v>
      </c>
      <c r="G43" s="902">
        <v>178</v>
      </c>
      <c r="H43" s="897"/>
      <c r="I43" s="107"/>
      <c r="J43" s="257"/>
      <c r="K43" s="107"/>
      <c r="L43" s="108"/>
      <c r="M43" s="472"/>
      <c r="N43" s="457"/>
      <c r="O43" s="431">
        <f t="shared" si="5"/>
        <v>0</v>
      </c>
      <c r="P43" s="911" t="e">
        <f>N43/titl!H17*12</f>
        <v>#DIV/0!</v>
      </c>
      <c r="Q43" s="981">
        <v>177</v>
      </c>
      <c r="R43" s="255"/>
      <c r="S43" s="72"/>
    </row>
    <row r="44" spans="1:19" s="25" customFormat="1" ht="12">
      <c r="A44" s="21"/>
      <c r="B44" s="31" t="s">
        <v>60</v>
      </c>
      <c r="C44" s="31"/>
      <c r="D44" s="31"/>
      <c r="E44" s="33">
        <v>42</v>
      </c>
      <c r="F44" s="119">
        <f t="shared" si="3"/>
        <v>348</v>
      </c>
      <c r="G44" s="612"/>
      <c r="H44" s="897">
        <f>H3</f>
        <v>111</v>
      </c>
      <c r="I44" s="107"/>
      <c r="J44" s="257">
        <f>J3</f>
        <v>37</v>
      </c>
      <c r="K44" s="107">
        <f>K15</f>
        <v>200</v>
      </c>
      <c r="L44" s="108"/>
      <c r="M44" s="472"/>
      <c r="N44" s="457"/>
      <c r="O44" s="431">
        <f t="shared" si="5"/>
        <v>0</v>
      </c>
      <c r="P44" s="911">
        <f>N44</f>
        <v>0</v>
      </c>
      <c r="Q44" s="981">
        <v>389</v>
      </c>
      <c r="R44" s="255"/>
      <c r="S44" s="255"/>
    </row>
    <row r="45" spans="1:19" s="25" customFormat="1" ht="12.75" thickBot="1">
      <c r="A45" s="40"/>
      <c r="B45" s="41" t="s">
        <v>47</v>
      </c>
      <c r="C45" s="41"/>
      <c r="D45" s="41"/>
      <c r="E45" s="42">
        <v>43</v>
      </c>
      <c r="F45" s="200">
        <f t="shared" si="3"/>
        <v>0</v>
      </c>
      <c r="G45" s="500"/>
      <c r="H45" s="174"/>
      <c r="I45" s="99"/>
      <c r="J45" s="309"/>
      <c r="K45" s="99"/>
      <c r="L45" s="98"/>
      <c r="M45" s="200"/>
      <c r="N45" s="421"/>
      <c r="O45" s="415">
        <f t="shared" si="5"/>
        <v>0</v>
      </c>
      <c r="P45" s="574" t="e">
        <f>N45/titl!$H$17*12</f>
        <v>#DIV/0!</v>
      </c>
      <c r="Q45" s="591"/>
      <c r="R45" s="255"/>
      <c r="S45" s="72"/>
    </row>
    <row r="46" spans="1:19" s="25" customFormat="1" ht="12.75" hidden="1" thickBot="1">
      <c r="A46" s="44" t="s">
        <v>61</v>
      </c>
      <c r="B46" s="45"/>
      <c r="C46" s="45"/>
      <c r="D46" s="45"/>
      <c r="E46" s="28">
        <v>44</v>
      </c>
      <c r="F46" s="201">
        <f>F29+F34+F38+F43+F44+F45-F4-F27</f>
        <v>80</v>
      </c>
      <c r="G46" s="613">
        <f>G29+G34+G38+G43+G45-G4-G27</f>
        <v>80</v>
      </c>
      <c r="H46" s="102">
        <f>H29+H34+H38+H43+H44+H45-H4-H27</f>
        <v>0</v>
      </c>
      <c r="I46" s="102">
        <f>I29+I34+I38+I43+I44+I45-I4-I27</f>
        <v>0</v>
      </c>
      <c r="J46" s="102">
        <f>J29+J34+J38+J43+J44+J45-J4-J27</f>
        <v>0</v>
      </c>
      <c r="K46" s="320"/>
      <c r="L46" s="102">
        <f>L29+L34+L38+L43+L44+L45-L4-L27</f>
        <v>0</v>
      </c>
      <c r="M46" s="201">
        <f>M29+M34+M38+M43+M44+M45+-M4-M27</f>
        <v>0</v>
      </c>
      <c r="N46" s="422">
        <f>N29+N34+N38+N43+N44+N45-N4-N27</f>
        <v>0</v>
      </c>
      <c r="O46" s="416"/>
      <c r="P46" s="180" t="e">
        <f>P29+P34+P38+P43+P44+P45-P4-P27</f>
        <v>#DIV/0!</v>
      </c>
      <c r="Q46" s="593">
        <f>Q29+Q34+Q38+Q43+Q44+Q45-Q4-Q27</f>
        <v>310</v>
      </c>
      <c r="R46" s="255"/>
      <c r="S46" s="72"/>
    </row>
    <row r="47" spans="1:17" ht="13.5" thickBot="1">
      <c r="A47" s="37" t="s">
        <v>62</v>
      </c>
      <c r="B47" s="38"/>
      <c r="C47" s="38"/>
      <c r="D47" s="38"/>
      <c r="E47" s="19">
        <v>45</v>
      </c>
      <c r="F47" s="197">
        <f>F28-F3</f>
        <v>80</v>
      </c>
      <c r="G47" s="597">
        <f aca="true" t="shared" si="7" ref="G47:N47">G28-G3</f>
        <v>80</v>
      </c>
      <c r="H47" s="125">
        <f t="shared" si="7"/>
        <v>0</v>
      </c>
      <c r="I47" s="77">
        <f t="shared" si="7"/>
        <v>0</v>
      </c>
      <c r="J47" s="304">
        <f t="shared" si="7"/>
        <v>0</v>
      </c>
      <c r="K47" s="77">
        <f t="shared" si="7"/>
        <v>0</v>
      </c>
      <c r="L47" s="76">
        <f t="shared" si="7"/>
        <v>0</v>
      </c>
      <c r="M47" s="197">
        <f>M28-M3</f>
        <v>0</v>
      </c>
      <c r="N47" s="471">
        <f t="shared" si="7"/>
        <v>0</v>
      </c>
      <c r="O47" s="413"/>
      <c r="P47" s="913" t="e">
        <f>P28-P3</f>
        <v>#DIV/0!</v>
      </c>
      <c r="Q47" s="588">
        <f>Q28-Q3</f>
        <v>310</v>
      </c>
    </row>
    <row r="48" spans="1:5" ht="12.75">
      <c r="A48" s="47"/>
      <c r="B48" s="47"/>
      <c r="C48" s="47"/>
      <c r="D48" s="47"/>
      <c r="E48" s="48"/>
    </row>
    <row r="49" spans="5:19" s="47" customFormat="1" ht="11.25">
      <c r="E49" s="48"/>
      <c r="G49" s="59"/>
      <c r="H49" s="59"/>
      <c r="I49" s="59"/>
      <c r="J49" s="59"/>
      <c r="K49" s="59"/>
      <c r="L49" s="59"/>
      <c r="M49" s="59"/>
      <c r="N49" s="59"/>
      <c r="O49" s="253"/>
      <c r="Q49" s="72"/>
      <c r="R49" s="255"/>
      <c r="S49" s="72"/>
    </row>
    <row r="50" spans="1:19" s="47" customFormat="1" ht="11.25">
      <c r="A50" s="51" t="s">
        <v>166</v>
      </c>
      <c r="E50" s="48"/>
      <c r="F50" s="202"/>
      <c r="G50" s="59"/>
      <c r="I50" s="109"/>
      <c r="L50" s="59"/>
      <c r="M50" s="59"/>
      <c r="N50" s="59"/>
      <c r="O50" s="253"/>
      <c r="Q50" s="72"/>
      <c r="R50" s="255"/>
      <c r="S50" s="72"/>
    </row>
    <row r="51" spans="5:19" s="51" customFormat="1" ht="11.25">
      <c r="E51" s="53"/>
      <c r="G51" s="72"/>
      <c r="H51" s="72"/>
      <c r="I51" s="72"/>
      <c r="J51" s="72"/>
      <c r="K51" s="72"/>
      <c r="L51" s="72"/>
      <c r="M51" s="72"/>
      <c r="N51" s="72"/>
      <c r="O51" s="253"/>
      <c r="Q51" s="72"/>
      <c r="R51" s="255"/>
      <c r="S51" s="72"/>
    </row>
    <row r="52" spans="5:19" s="51" customFormat="1" ht="11.25">
      <c r="E52" s="53"/>
      <c r="G52" s="72"/>
      <c r="H52" s="72"/>
      <c r="I52" s="72"/>
      <c r="J52" s="72"/>
      <c r="K52" s="72"/>
      <c r="L52" s="72"/>
      <c r="M52" s="72"/>
      <c r="N52" s="72"/>
      <c r="O52" s="253"/>
      <c r="Q52" s="72"/>
      <c r="R52" s="255"/>
      <c r="S52" s="72"/>
    </row>
    <row r="53" spans="1:19" s="47" customFormat="1" ht="11.25">
      <c r="A53" s="51"/>
      <c r="B53" s="51"/>
      <c r="C53" s="51"/>
      <c r="D53" s="51"/>
      <c r="E53" s="48"/>
      <c r="G53" s="59"/>
      <c r="H53" s="59"/>
      <c r="I53" s="59"/>
      <c r="J53" s="59"/>
      <c r="K53" s="59"/>
      <c r="L53" s="59"/>
      <c r="M53" s="59"/>
      <c r="N53" s="59"/>
      <c r="O53" s="253"/>
      <c r="Q53" s="72"/>
      <c r="R53" s="255"/>
      <c r="S53" s="72"/>
    </row>
    <row r="54" spans="1:19" s="59" customFormat="1" ht="11.25">
      <c r="A54" s="51"/>
      <c r="B54" s="51"/>
      <c r="C54" s="51"/>
      <c r="D54" s="51"/>
      <c r="E54" s="57"/>
      <c r="F54" s="47"/>
      <c r="O54" s="253"/>
      <c r="Q54" s="72"/>
      <c r="R54" s="255"/>
      <c r="S54" s="72"/>
    </row>
    <row r="55" spans="1:19" s="59" customFormat="1" ht="11.25">
      <c r="A55" s="51"/>
      <c r="B55" s="51"/>
      <c r="C55" s="51"/>
      <c r="D55" s="51"/>
      <c r="E55" s="57"/>
      <c r="F55" s="47"/>
      <c r="O55" s="253"/>
      <c r="Q55" s="72"/>
      <c r="R55" s="255"/>
      <c r="S55" s="72"/>
    </row>
    <row r="56" spans="1:19" s="59" customFormat="1" ht="11.25">
      <c r="A56" s="51"/>
      <c r="B56" s="51"/>
      <c r="C56" s="51"/>
      <c r="D56" s="51"/>
      <c r="E56" s="57"/>
      <c r="F56" s="47"/>
      <c r="O56" s="253"/>
      <c r="Q56" s="72"/>
      <c r="R56" s="255"/>
      <c r="S56" s="72"/>
    </row>
    <row r="59" spans="2:19" s="59" customFormat="1" ht="11.25" hidden="1">
      <c r="B59" s="767" t="s">
        <v>191</v>
      </c>
      <c r="C59" s="340"/>
      <c r="D59" s="340"/>
      <c r="E59" s="817"/>
      <c r="F59" s="782"/>
      <c r="G59" s="340"/>
      <c r="H59" s="340"/>
      <c r="I59" s="340"/>
      <c r="J59" s="340"/>
      <c r="K59" s="340"/>
      <c r="L59" s="340"/>
      <c r="M59" s="340"/>
      <c r="N59" s="811"/>
      <c r="O59" s="804"/>
      <c r="P59" s="787" t="e">
        <f>N59/titl!$H$17*12</f>
        <v>#DIV/0!</v>
      </c>
      <c r="Q59" s="72"/>
      <c r="R59" s="255"/>
      <c r="S59" s="72"/>
    </row>
    <row r="60" spans="2:19" s="59" customFormat="1" ht="11.25" hidden="1">
      <c r="B60" s="818" t="s">
        <v>192</v>
      </c>
      <c r="C60" s="233"/>
      <c r="D60" s="233"/>
      <c r="E60" s="819"/>
      <c r="F60" s="783"/>
      <c r="G60" s="233"/>
      <c r="H60" s="233"/>
      <c r="I60" s="233"/>
      <c r="J60" s="233"/>
      <c r="K60" s="233"/>
      <c r="L60" s="233"/>
      <c r="M60" s="233"/>
      <c r="N60" s="537">
        <f>N43+N45-N59</f>
        <v>0</v>
      </c>
      <c r="O60" s="805"/>
      <c r="P60" s="789" t="e">
        <f>N60/titl!$H$17*12</f>
        <v>#DIV/0!</v>
      </c>
      <c r="Q60" s="72"/>
      <c r="R60" s="255"/>
      <c r="S60" s="72"/>
    </row>
    <row r="61" spans="2:19" s="59" customFormat="1" ht="11.25" hidden="1">
      <c r="B61" s="818" t="s">
        <v>193</v>
      </c>
      <c r="C61" s="233"/>
      <c r="D61" s="233"/>
      <c r="E61" s="819"/>
      <c r="F61" s="783"/>
      <c r="G61" s="233"/>
      <c r="H61" s="233"/>
      <c r="I61" s="233"/>
      <c r="J61" s="233"/>
      <c r="K61" s="233"/>
      <c r="L61" s="233"/>
      <c r="M61" s="233"/>
      <c r="N61" s="109"/>
      <c r="O61" s="805"/>
      <c r="P61" s="789" t="e">
        <f>N61/titl!$H$17*12</f>
        <v>#DIV/0!</v>
      </c>
      <c r="Q61" s="72"/>
      <c r="R61" s="255"/>
      <c r="S61" s="72"/>
    </row>
    <row r="62" spans="2:19" s="59" customFormat="1" ht="11.25" hidden="1">
      <c r="B62" s="818" t="s">
        <v>194</v>
      </c>
      <c r="C62" s="233"/>
      <c r="D62" s="233"/>
      <c r="E62" s="819"/>
      <c r="F62" s="783"/>
      <c r="G62" s="233"/>
      <c r="H62" s="233"/>
      <c r="I62" s="233"/>
      <c r="J62" s="233"/>
      <c r="K62" s="233"/>
      <c r="L62" s="233"/>
      <c r="M62" s="233"/>
      <c r="N62" s="537">
        <f>N60+N61</f>
        <v>0</v>
      </c>
      <c r="O62" s="805"/>
      <c r="P62" s="789" t="e">
        <f>N62/titl!$H$17*12</f>
        <v>#DIV/0!</v>
      </c>
      <c r="Q62" s="72"/>
      <c r="R62" s="255"/>
      <c r="S62" s="72"/>
    </row>
    <row r="63" spans="2:19" s="59" customFormat="1" ht="12" hidden="1" thickBot="1">
      <c r="B63" s="820" t="s">
        <v>195</v>
      </c>
      <c r="C63" s="785"/>
      <c r="D63" s="785"/>
      <c r="E63" s="821"/>
      <c r="F63" s="784"/>
      <c r="G63" s="785"/>
      <c r="H63" s="785"/>
      <c r="I63" s="785"/>
      <c r="J63" s="785"/>
      <c r="K63" s="785"/>
      <c r="L63" s="785"/>
      <c r="M63" s="785"/>
      <c r="N63" s="810">
        <f>N62*4%</f>
        <v>0</v>
      </c>
      <c r="O63" s="801"/>
      <c r="P63" s="790" t="e">
        <f>N63/titl!$H$17*12</f>
        <v>#DIV/0!</v>
      </c>
      <c r="Q63" s="72"/>
      <c r="R63" s="255"/>
      <c r="S63" s="72"/>
    </row>
  </sheetData>
  <mergeCells count="5">
    <mergeCell ref="S1:S2"/>
    <mergeCell ref="A1:D1"/>
    <mergeCell ref="H1:L1"/>
    <mergeCell ref="C2:D2"/>
    <mergeCell ref="R1:R2"/>
  </mergeCells>
  <printOptions horizontalCentered="1" verticalCentered="1"/>
  <pageMargins left="0.45" right="0.2755905511811024" top="0.4724409448818898" bottom="0.35433070866141736" header="0.1968503937007874" footer="0.2755905511811024"/>
  <pageSetup horizontalDpi="600" verticalDpi="600" orientation="landscape" paperSize="9" scale="85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63"/>
  <sheetViews>
    <sheetView workbookViewId="0" topLeftCell="A1">
      <pane ySplit="3" topLeftCell="BM4" activePane="bottomLeft" state="frozen"/>
      <selection pane="topLeft" activeCell="D38" sqref="D38"/>
      <selection pane="bottomLeft" activeCell="D38" sqref="D38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60" bestFit="1" customWidth="1"/>
    <col min="6" max="6" width="8.75390625" style="47" bestFit="1" customWidth="1"/>
    <col min="7" max="7" width="8.75390625" style="59" bestFit="1" customWidth="1"/>
    <col min="8" max="8" width="7.75390625" style="59" customWidth="1"/>
    <col min="9" max="9" width="8.625" style="59" customWidth="1"/>
    <col min="10" max="10" width="7.125" style="59" customWidth="1"/>
    <col min="11" max="11" width="8.00390625" style="59" customWidth="1"/>
    <col min="12" max="12" width="8.125" style="59" customWidth="1"/>
    <col min="13" max="13" width="9.375" style="59" hidden="1" customWidth="1"/>
    <col min="14" max="14" width="11.375" style="59" hidden="1" customWidth="1" collapsed="1"/>
    <col min="15" max="15" width="8.00390625" style="401" hidden="1" customWidth="1"/>
    <col min="16" max="16" width="9.875" style="401" hidden="1" customWidth="1"/>
    <col min="17" max="17" width="9.625" style="255" bestFit="1" customWidth="1" collapsed="1"/>
    <col min="18" max="18" width="7.125" style="255" customWidth="1"/>
    <col min="19" max="19" width="6.375" style="72" customWidth="1"/>
  </cols>
  <sheetData>
    <row r="1" spans="1:20" ht="15.75" customHeight="1">
      <c r="A1" s="1046" t="s">
        <v>236</v>
      </c>
      <c r="B1" s="1047"/>
      <c r="C1" s="1047"/>
      <c r="D1" s="1048"/>
      <c r="E1" s="1"/>
      <c r="F1" s="543" t="s">
        <v>0</v>
      </c>
      <c r="G1" s="606" t="s">
        <v>2</v>
      </c>
      <c r="H1" s="1050" t="s">
        <v>3</v>
      </c>
      <c r="I1" s="1050"/>
      <c r="J1" s="1050"/>
      <c r="K1" s="1050"/>
      <c r="L1" s="1051"/>
      <c r="M1" s="181" t="s">
        <v>1</v>
      </c>
      <c r="N1" s="538" t="s">
        <v>4</v>
      </c>
      <c r="O1" s="67" t="s">
        <v>144</v>
      </c>
      <c r="P1" s="67" t="s">
        <v>145</v>
      </c>
      <c r="Q1" s="978" t="s">
        <v>4</v>
      </c>
      <c r="R1" s="1056" t="s">
        <v>190</v>
      </c>
      <c r="S1" s="1057" t="s">
        <v>188</v>
      </c>
      <c r="T1" s="1063"/>
    </row>
    <row r="2" spans="1:20" s="16" customFormat="1" ht="13.5" thickBot="1">
      <c r="A2" s="6"/>
      <c r="B2" s="7"/>
      <c r="C2" s="1052" t="s">
        <v>89</v>
      </c>
      <c r="D2" s="1053"/>
      <c r="E2" s="9" t="s">
        <v>5</v>
      </c>
      <c r="F2" s="544">
        <v>2011</v>
      </c>
      <c r="G2" s="607" t="s">
        <v>8</v>
      </c>
      <c r="H2" s="69" t="s">
        <v>9</v>
      </c>
      <c r="I2" s="70" t="s">
        <v>10</v>
      </c>
      <c r="J2" s="303" t="s">
        <v>11</v>
      </c>
      <c r="K2" s="248" t="s">
        <v>126</v>
      </c>
      <c r="L2" s="68" t="s">
        <v>12</v>
      </c>
      <c r="M2" s="544" t="s">
        <v>7</v>
      </c>
      <c r="N2" s="539">
        <v>2011</v>
      </c>
      <c r="O2" s="71"/>
      <c r="P2" s="71"/>
      <c r="Q2" s="979">
        <v>2010</v>
      </c>
      <c r="R2" s="1056"/>
      <c r="S2" s="1057"/>
      <c r="T2" s="1063"/>
    </row>
    <row r="3" spans="1:17" ht="13.5" thickBot="1">
      <c r="A3" s="17" t="s">
        <v>13</v>
      </c>
      <c r="B3" s="18"/>
      <c r="C3" s="18"/>
      <c r="D3" s="18"/>
      <c r="E3" s="19">
        <v>1</v>
      </c>
      <c r="F3" s="197">
        <f>SUM(F5:F27)</f>
        <v>112795</v>
      </c>
      <c r="G3" s="597">
        <f aca="true" t="shared" si="0" ref="G3:L3">SUM(G5:G27)</f>
        <v>81193</v>
      </c>
      <c r="H3" s="125">
        <f t="shared" si="0"/>
        <v>719</v>
      </c>
      <c r="I3" s="77">
        <f t="shared" si="0"/>
        <v>30820</v>
      </c>
      <c r="J3" s="304">
        <f t="shared" si="0"/>
        <v>0</v>
      </c>
      <c r="K3" s="77">
        <f t="shared" si="0"/>
        <v>53</v>
      </c>
      <c r="L3" s="76">
        <f t="shared" si="0"/>
        <v>10</v>
      </c>
      <c r="M3" s="197">
        <f>SUM(M5:M27)</f>
        <v>0</v>
      </c>
      <c r="N3" s="471">
        <f>SUM(N5:N27)</f>
        <v>0</v>
      </c>
      <c r="O3" s="413">
        <f aca="true" t="shared" si="1" ref="O3:O18">IF(F3=0,0,N3/F3)</f>
        <v>0</v>
      </c>
      <c r="P3" s="78" t="e">
        <f>SUM(P5:P27)</f>
        <v>#DIV/0!</v>
      </c>
      <c r="Q3" s="588">
        <f>SUM(Q5:Q27)</f>
        <v>114646</v>
      </c>
    </row>
    <row r="4" spans="1:19" s="25" customFormat="1" ht="12">
      <c r="A4" s="21" t="s">
        <v>14</v>
      </c>
      <c r="B4" s="22" t="s">
        <v>15</v>
      </c>
      <c r="C4" s="22"/>
      <c r="D4" s="22"/>
      <c r="E4" s="23">
        <v>2</v>
      </c>
      <c r="F4" s="198">
        <f aca="true" t="shared" si="2" ref="F4:N4">SUM(F5:F15)</f>
        <v>14745</v>
      </c>
      <c r="G4" s="594">
        <f t="shared" si="2"/>
        <v>13263</v>
      </c>
      <c r="H4" s="112">
        <f t="shared" si="2"/>
        <v>719</v>
      </c>
      <c r="I4" s="112">
        <f t="shared" si="2"/>
        <v>700</v>
      </c>
      <c r="J4" s="112">
        <f t="shared" si="2"/>
        <v>0</v>
      </c>
      <c r="K4" s="112">
        <f t="shared" si="2"/>
        <v>53</v>
      </c>
      <c r="L4" s="112">
        <f t="shared" si="2"/>
        <v>10</v>
      </c>
      <c r="M4" s="198">
        <f>SUM(M5:M15)</f>
        <v>0</v>
      </c>
      <c r="N4" s="417">
        <f t="shared" si="2"/>
        <v>0</v>
      </c>
      <c r="O4" s="410">
        <f t="shared" si="1"/>
        <v>0</v>
      </c>
      <c r="P4" s="82" t="e">
        <f>SUM(P5:P15)</f>
        <v>#DIV/0!</v>
      </c>
      <c r="Q4" s="589">
        <f>SUM(Q5:Q15)</f>
        <v>14410</v>
      </c>
      <c r="R4" s="255"/>
      <c r="S4" s="72"/>
    </row>
    <row r="5" spans="1:19" s="65" customFormat="1" ht="12">
      <c r="A5" s="61"/>
      <c r="B5" s="62"/>
      <c r="C5" s="62" t="s">
        <v>16</v>
      </c>
      <c r="D5" s="63" t="s">
        <v>17</v>
      </c>
      <c r="E5" s="64">
        <v>3</v>
      </c>
      <c r="F5" s="199">
        <f>SUM(G5:L5)</f>
        <v>5250</v>
      </c>
      <c r="G5" s="609">
        <v>5250</v>
      </c>
      <c r="H5" s="84"/>
      <c r="I5" s="85"/>
      <c r="J5" s="306"/>
      <c r="K5" s="85"/>
      <c r="L5" s="86"/>
      <c r="M5" s="199"/>
      <c r="N5" s="419"/>
      <c r="O5" s="428">
        <f t="shared" si="1"/>
        <v>0</v>
      </c>
      <c r="P5" s="852">
        <f>N5</f>
        <v>0</v>
      </c>
      <c r="Q5" s="591">
        <v>5136</v>
      </c>
      <c r="R5" s="546"/>
      <c r="S5" s="517"/>
    </row>
    <row r="6" spans="1:19" s="65" customFormat="1" ht="12">
      <c r="A6" s="61"/>
      <c r="B6" s="62"/>
      <c r="C6" s="62"/>
      <c r="D6" s="63" t="s">
        <v>18</v>
      </c>
      <c r="E6" s="64">
        <v>4</v>
      </c>
      <c r="F6" s="199">
        <f aca="true" t="shared" si="3" ref="F6:F45">SUM(G6:L6)</f>
        <v>300</v>
      </c>
      <c r="G6" s="609">
        <v>300</v>
      </c>
      <c r="H6" s="84"/>
      <c r="I6" s="85"/>
      <c r="J6" s="306"/>
      <c r="K6" s="85"/>
      <c r="L6" s="86"/>
      <c r="M6" s="199"/>
      <c r="N6" s="419"/>
      <c r="O6" s="428">
        <f t="shared" si="1"/>
        <v>0</v>
      </c>
      <c r="P6" s="852">
        <f>N6</f>
        <v>0</v>
      </c>
      <c r="Q6" s="591">
        <v>299</v>
      </c>
      <c r="R6" s="546"/>
      <c r="S6" s="517"/>
    </row>
    <row r="7" spans="1:19" s="65" customFormat="1" ht="12">
      <c r="A7" s="61"/>
      <c r="B7" s="62"/>
      <c r="C7" s="62"/>
      <c r="D7" s="63" t="s">
        <v>19</v>
      </c>
      <c r="E7" s="64">
        <v>5</v>
      </c>
      <c r="F7" s="199">
        <f t="shared" si="3"/>
        <v>1830</v>
      </c>
      <c r="G7" s="609">
        <v>1830</v>
      </c>
      <c r="H7" s="84"/>
      <c r="I7" s="85"/>
      <c r="J7" s="306"/>
      <c r="K7" s="242"/>
      <c r="L7" s="86"/>
      <c r="M7" s="199"/>
      <c r="N7" s="419"/>
      <c r="O7" s="428">
        <f t="shared" si="1"/>
        <v>0</v>
      </c>
      <c r="P7" s="852">
        <f>N7</f>
        <v>0</v>
      </c>
      <c r="Q7" s="591">
        <v>1851</v>
      </c>
      <c r="R7" s="546"/>
      <c r="S7" s="517"/>
    </row>
    <row r="8" spans="1:19" s="65" customFormat="1" ht="12">
      <c r="A8" s="61"/>
      <c r="B8" s="62"/>
      <c r="C8" s="62"/>
      <c r="D8" s="63" t="s">
        <v>20</v>
      </c>
      <c r="E8" s="64">
        <v>6</v>
      </c>
      <c r="F8" s="199">
        <f t="shared" si="3"/>
        <v>200</v>
      </c>
      <c r="G8" s="609">
        <v>200</v>
      </c>
      <c r="H8" s="84"/>
      <c r="I8" s="85"/>
      <c r="J8" s="306"/>
      <c r="K8" s="85"/>
      <c r="L8" s="86"/>
      <c r="M8" s="199"/>
      <c r="N8" s="419"/>
      <c r="O8" s="428">
        <f t="shared" si="1"/>
        <v>0</v>
      </c>
      <c r="P8" s="92" t="e">
        <f>N8/titl!$H$17*12</f>
        <v>#DIV/0!</v>
      </c>
      <c r="Q8" s="591">
        <v>121</v>
      </c>
      <c r="R8" s="546"/>
      <c r="S8" s="517"/>
    </row>
    <row r="9" spans="1:19" s="65" customFormat="1" ht="12">
      <c r="A9" s="61"/>
      <c r="B9" s="62"/>
      <c r="C9" s="62"/>
      <c r="D9" s="63" t="s">
        <v>21</v>
      </c>
      <c r="E9" s="64">
        <v>7</v>
      </c>
      <c r="F9" s="199">
        <f t="shared" si="3"/>
        <v>110</v>
      </c>
      <c r="G9" s="609">
        <v>110</v>
      </c>
      <c r="H9" s="84"/>
      <c r="I9" s="85"/>
      <c r="J9" s="306"/>
      <c r="K9" s="85"/>
      <c r="L9" s="86"/>
      <c r="M9" s="199"/>
      <c r="N9" s="419"/>
      <c r="O9" s="428">
        <f t="shared" si="1"/>
        <v>0</v>
      </c>
      <c r="P9" s="92" t="e">
        <f>N9/titl!$H$17*12</f>
        <v>#DIV/0!</v>
      </c>
      <c r="Q9" s="591">
        <v>165</v>
      </c>
      <c r="R9" s="546"/>
      <c r="S9" s="517"/>
    </row>
    <row r="10" spans="1:19" s="65" customFormat="1" ht="12">
      <c r="A10" s="61"/>
      <c r="B10" s="62"/>
      <c r="C10" s="62"/>
      <c r="D10" s="63" t="s">
        <v>22</v>
      </c>
      <c r="E10" s="64">
        <v>8</v>
      </c>
      <c r="F10" s="199">
        <f t="shared" si="3"/>
        <v>589</v>
      </c>
      <c r="G10" s="609">
        <v>260</v>
      </c>
      <c r="H10" s="84">
        <v>329</v>
      </c>
      <c r="I10" s="85"/>
      <c r="J10" s="306"/>
      <c r="K10" s="85"/>
      <c r="L10" s="86"/>
      <c r="M10" s="199"/>
      <c r="N10" s="419"/>
      <c r="O10" s="428">
        <f t="shared" si="1"/>
        <v>0</v>
      </c>
      <c r="P10" s="92" t="e">
        <f>N10/titl!$H$17*12</f>
        <v>#DIV/0!</v>
      </c>
      <c r="Q10" s="591">
        <v>355</v>
      </c>
      <c r="R10" s="546"/>
      <c r="S10" s="517"/>
    </row>
    <row r="11" spans="1:19" s="65" customFormat="1" ht="12">
      <c r="A11" s="61"/>
      <c r="B11" s="62"/>
      <c r="C11" s="62"/>
      <c r="D11" s="63" t="s">
        <v>23</v>
      </c>
      <c r="E11" s="64">
        <v>9</v>
      </c>
      <c r="F11" s="199">
        <f t="shared" si="3"/>
        <v>1390</v>
      </c>
      <c r="G11" s="609">
        <v>1390</v>
      </c>
      <c r="H11" s="84"/>
      <c r="I11" s="85"/>
      <c r="J11" s="306"/>
      <c r="K11" s="85"/>
      <c r="L11" s="86"/>
      <c r="M11" s="199"/>
      <c r="N11" s="419"/>
      <c r="O11" s="428">
        <f t="shared" si="1"/>
        <v>0</v>
      </c>
      <c r="P11" s="92" t="e">
        <f>N11/titl!$H$17*12</f>
        <v>#DIV/0!</v>
      </c>
      <c r="Q11" s="591">
        <v>1348</v>
      </c>
      <c r="R11" s="546"/>
      <c r="S11" s="517"/>
    </row>
    <row r="12" spans="1:19" s="65" customFormat="1" ht="12">
      <c r="A12" s="61"/>
      <c r="B12" s="62"/>
      <c r="C12" s="62"/>
      <c r="D12" s="63" t="s">
        <v>24</v>
      </c>
      <c r="E12" s="64">
        <v>10</v>
      </c>
      <c r="F12" s="199">
        <f t="shared" si="3"/>
        <v>820</v>
      </c>
      <c r="G12" s="609">
        <v>820</v>
      </c>
      <c r="H12" s="84"/>
      <c r="I12" s="85"/>
      <c r="J12" s="306"/>
      <c r="K12" s="85"/>
      <c r="L12" s="86"/>
      <c r="M12" s="199"/>
      <c r="N12" s="419"/>
      <c r="O12" s="428">
        <f t="shared" si="1"/>
        <v>0</v>
      </c>
      <c r="P12" s="92" t="e">
        <f>N12/titl!$H$17*12</f>
        <v>#DIV/0!</v>
      </c>
      <c r="Q12" s="591">
        <v>854</v>
      </c>
      <c r="R12" s="546"/>
      <c r="S12" s="517"/>
    </row>
    <row r="13" spans="1:19" s="65" customFormat="1" ht="12">
      <c r="A13" s="61"/>
      <c r="B13" s="62"/>
      <c r="C13" s="62"/>
      <c r="D13" s="63" t="s">
        <v>25</v>
      </c>
      <c r="E13" s="64">
        <v>11</v>
      </c>
      <c r="F13" s="199">
        <f t="shared" si="3"/>
        <v>100</v>
      </c>
      <c r="G13" s="609">
        <v>100</v>
      </c>
      <c r="H13" s="84"/>
      <c r="I13" s="85"/>
      <c r="J13" s="306"/>
      <c r="K13" s="85"/>
      <c r="L13" s="86"/>
      <c r="M13" s="199"/>
      <c r="N13" s="419"/>
      <c r="O13" s="428">
        <f t="shared" si="1"/>
        <v>0</v>
      </c>
      <c r="P13" s="852">
        <f>N13</f>
        <v>0</v>
      </c>
      <c r="Q13" s="591">
        <v>95</v>
      </c>
      <c r="R13" s="546"/>
      <c r="S13" s="517"/>
    </row>
    <row r="14" spans="1:19" s="65" customFormat="1" ht="12">
      <c r="A14" s="61"/>
      <c r="B14" s="62"/>
      <c r="C14" s="62"/>
      <c r="D14" s="63" t="s">
        <v>26</v>
      </c>
      <c r="E14" s="64">
        <v>12</v>
      </c>
      <c r="F14" s="199">
        <f t="shared" si="3"/>
        <v>1410</v>
      </c>
      <c r="G14" s="609">
        <v>700</v>
      </c>
      <c r="H14" s="84"/>
      <c r="I14" s="84">
        <v>700</v>
      </c>
      <c r="J14" s="306"/>
      <c r="K14" s="85"/>
      <c r="L14" s="86">
        <v>10</v>
      </c>
      <c r="M14" s="199"/>
      <c r="N14" s="419"/>
      <c r="O14" s="428">
        <f t="shared" si="1"/>
        <v>0</v>
      </c>
      <c r="P14" s="92" t="e">
        <f>N14/titl!$H$17*12</f>
        <v>#DIV/0!</v>
      </c>
      <c r="Q14" s="591">
        <v>1369</v>
      </c>
      <c r="R14" s="546"/>
      <c r="S14" s="517"/>
    </row>
    <row r="15" spans="1:19" s="65" customFormat="1" ht="12">
      <c r="A15" s="61"/>
      <c r="B15" s="62"/>
      <c r="C15" s="63"/>
      <c r="D15" s="63" t="s">
        <v>27</v>
      </c>
      <c r="E15" s="64">
        <v>13</v>
      </c>
      <c r="F15" s="536">
        <f t="shared" si="3"/>
        <v>2746</v>
      </c>
      <c r="G15" s="609">
        <v>2303</v>
      </c>
      <c r="H15" s="84">
        <v>390</v>
      </c>
      <c r="I15" s="85"/>
      <c r="J15" s="306"/>
      <c r="K15" s="85">
        <v>53</v>
      </c>
      <c r="L15" s="86"/>
      <c r="M15" s="199"/>
      <c r="N15" s="419"/>
      <c r="O15" s="428">
        <f t="shared" si="1"/>
        <v>0</v>
      </c>
      <c r="P15" s="92" t="e">
        <f>N15/titl!$H$17*12</f>
        <v>#DIV/0!</v>
      </c>
      <c r="Q15" s="591">
        <v>2817</v>
      </c>
      <c r="R15" s="546"/>
      <c r="S15" s="517"/>
    </row>
    <row r="16" spans="1:19" s="25" customFormat="1" ht="12">
      <c r="A16" s="21"/>
      <c r="B16" s="30" t="s">
        <v>28</v>
      </c>
      <c r="C16" s="27"/>
      <c r="D16" s="27"/>
      <c r="E16" s="28">
        <v>14</v>
      </c>
      <c r="F16" s="119">
        <f t="shared" si="3"/>
        <v>0</v>
      </c>
      <c r="G16" s="596"/>
      <c r="H16" s="89"/>
      <c r="I16" s="90"/>
      <c r="J16" s="307"/>
      <c r="K16" s="90"/>
      <c r="L16" s="91"/>
      <c r="M16" s="119"/>
      <c r="N16" s="419"/>
      <c r="O16" s="412">
        <f t="shared" si="1"/>
        <v>0</v>
      </c>
      <c r="P16" s="92">
        <f>P30</f>
        <v>0</v>
      </c>
      <c r="Q16" s="591"/>
      <c r="R16" s="255"/>
      <c r="S16" s="72"/>
    </row>
    <row r="17" spans="1:19" s="25" customFormat="1" ht="12">
      <c r="A17" s="21"/>
      <c r="B17" s="30" t="s">
        <v>30</v>
      </c>
      <c r="C17" s="27"/>
      <c r="D17" s="27"/>
      <c r="E17" s="28">
        <v>15</v>
      </c>
      <c r="F17" s="119">
        <f t="shared" si="3"/>
        <v>37000</v>
      </c>
      <c r="G17" s="596">
        <v>35461</v>
      </c>
      <c r="H17" s="89"/>
      <c r="I17" s="89">
        <v>1539</v>
      </c>
      <c r="J17" s="307"/>
      <c r="K17" s="90"/>
      <c r="L17" s="91"/>
      <c r="M17" s="119">
        <f>M31</f>
        <v>0</v>
      </c>
      <c r="N17" s="419"/>
      <c r="O17" s="412">
        <f t="shared" si="1"/>
        <v>0</v>
      </c>
      <c r="P17" s="92">
        <f>P31</f>
        <v>0</v>
      </c>
      <c r="Q17" s="591">
        <v>38534</v>
      </c>
      <c r="R17" s="255"/>
      <c r="S17" s="72"/>
    </row>
    <row r="18" spans="1:19" s="25" customFormat="1" ht="12">
      <c r="A18" s="21"/>
      <c r="B18" s="31" t="s">
        <v>32</v>
      </c>
      <c r="C18" s="32"/>
      <c r="D18" s="32"/>
      <c r="E18" s="33">
        <v>16</v>
      </c>
      <c r="F18" s="119">
        <f t="shared" si="3"/>
        <v>11050</v>
      </c>
      <c r="G18" s="596">
        <v>11050</v>
      </c>
      <c r="H18" s="89"/>
      <c r="I18" s="90"/>
      <c r="J18" s="307"/>
      <c r="K18" s="90"/>
      <c r="L18" s="91"/>
      <c r="M18" s="119">
        <f>M32</f>
        <v>0</v>
      </c>
      <c r="N18" s="419"/>
      <c r="O18" s="412">
        <f t="shared" si="1"/>
        <v>0</v>
      </c>
      <c r="P18" s="92">
        <f>P32</f>
        <v>0</v>
      </c>
      <c r="Q18" s="591">
        <v>8018</v>
      </c>
      <c r="R18" s="255"/>
      <c r="S18" s="72"/>
    </row>
    <row r="19" spans="1:19" s="25" customFormat="1" ht="12">
      <c r="A19" s="21"/>
      <c r="B19" s="31" t="s">
        <v>34</v>
      </c>
      <c r="C19" s="32"/>
      <c r="D19" s="32"/>
      <c r="E19" s="33">
        <v>17</v>
      </c>
      <c r="F19" s="119">
        <f t="shared" si="3"/>
        <v>0</v>
      </c>
      <c r="G19" s="596"/>
      <c r="H19" s="89"/>
      <c r="I19" s="90"/>
      <c r="J19" s="307"/>
      <c r="K19" s="90"/>
      <c r="L19" s="91"/>
      <c r="M19" s="119">
        <f>M33</f>
        <v>0</v>
      </c>
      <c r="N19" s="419"/>
      <c r="O19" s="412">
        <f aca="true" t="shared" si="4" ref="O19:O33">IF(F19=0,0,N19/F19)</f>
        <v>0</v>
      </c>
      <c r="P19" s="92">
        <f>P33</f>
        <v>0</v>
      </c>
      <c r="Q19" s="591"/>
      <c r="R19" s="255"/>
      <c r="S19" s="72"/>
    </row>
    <row r="20" spans="1:19" s="25" customFormat="1" ht="12">
      <c r="A20" s="21"/>
      <c r="B20" s="31" t="s">
        <v>36</v>
      </c>
      <c r="C20" s="31"/>
      <c r="D20" s="31"/>
      <c r="E20" s="33">
        <v>18</v>
      </c>
      <c r="F20" s="119">
        <f t="shared" si="3"/>
        <v>0</v>
      </c>
      <c r="G20" s="596"/>
      <c r="H20" s="89"/>
      <c r="I20" s="90"/>
      <c r="J20" s="307"/>
      <c r="K20" s="90"/>
      <c r="L20" s="91"/>
      <c r="M20" s="119"/>
      <c r="N20" s="419"/>
      <c r="O20" s="412">
        <f t="shared" si="4"/>
        <v>0</v>
      </c>
      <c r="P20" s="92">
        <f>P35</f>
        <v>0</v>
      </c>
      <c r="Q20" s="591"/>
      <c r="R20" s="255"/>
      <c r="S20" s="72"/>
    </row>
    <row r="21" spans="1:19" s="640" customFormat="1" ht="12">
      <c r="A21" s="628"/>
      <c r="B21" s="629" t="s">
        <v>175</v>
      </c>
      <c r="C21" s="629"/>
      <c r="D21" s="629"/>
      <c r="E21" s="630">
        <v>19</v>
      </c>
      <c r="F21" s="631">
        <f t="shared" si="3"/>
        <v>0</v>
      </c>
      <c r="G21" s="643"/>
      <c r="H21" s="644"/>
      <c r="I21" s="645"/>
      <c r="J21" s="646"/>
      <c r="K21" s="645"/>
      <c r="L21" s="647"/>
      <c r="M21" s="631"/>
      <c r="N21" s="637"/>
      <c r="O21" s="638">
        <f t="shared" si="4"/>
        <v>0</v>
      </c>
      <c r="P21" s="631">
        <f>P36</f>
        <v>0</v>
      </c>
      <c r="Q21" s="591"/>
      <c r="R21" s="252"/>
      <c r="S21" s="51"/>
    </row>
    <row r="22" spans="1:19" s="25" customFormat="1" ht="12">
      <c r="A22" s="21"/>
      <c r="B22" s="31" t="s">
        <v>40</v>
      </c>
      <c r="C22" s="31"/>
      <c r="D22" s="31"/>
      <c r="E22" s="33">
        <v>20</v>
      </c>
      <c r="F22" s="119">
        <f t="shared" si="3"/>
        <v>50000</v>
      </c>
      <c r="G22" s="596">
        <v>21419</v>
      </c>
      <c r="H22" s="89"/>
      <c r="I22" s="90">
        <v>28581</v>
      </c>
      <c r="J22" s="307"/>
      <c r="K22" s="90"/>
      <c r="L22" s="91"/>
      <c r="M22" s="119"/>
      <c r="N22" s="419"/>
      <c r="O22" s="429">
        <f t="shared" si="4"/>
        <v>0</v>
      </c>
      <c r="P22" s="591">
        <f>N22</f>
        <v>0</v>
      </c>
      <c r="Q22" s="519">
        <v>53684</v>
      </c>
      <c r="R22" s="255"/>
      <c r="S22" s="72"/>
    </row>
    <row r="23" spans="1:19" s="25" customFormat="1" ht="12">
      <c r="A23" s="21"/>
      <c r="B23" s="31" t="s">
        <v>42</v>
      </c>
      <c r="C23" s="31"/>
      <c r="D23" s="31"/>
      <c r="E23" s="33">
        <v>21</v>
      </c>
      <c r="F23" s="119">
        <f t="shared" si="3"/>
        <v>0</v>
      </c>
      <c r="G23" s="596"/>
      <c r="H23" s="89"/>
      <c r="I23" s="90"/>
      <c r="J23" s="307"/>
      <c r="K23" s="90"/>
      <c r="L23" s="91"/>
      <c r="M23" s="119"/>
      <c r="N23" s="419"/>
      <c r="O23" s="412">
        <f t="shared" si="4"/>
        <v>0</v>
      </c>
      <c r="P23" s="92">
        <f>P39</f>
        <v>0</v>
      </c>
      <c r="Q23" s="591"/>
      <c r="R23" s="255"/>
      <c r="S23" s="72"/>
    </row>
    <row r="24" spans="1:19" s="25" customFormat="1" ht="12">
      <c r="A24" s="21"/>
      <c r="B24" s="31" t="s">
        <v>43</v>
      </c>
      <c r="C24" s="31"/>
      <c r="D24" s="31"/>
      <c r="E24" s="33">
        <v>22</v>
      </c>
      <c r="F24" s="119">
        <f t="shared" si="3"/>
        <v>0</v>
      </c>
      <c r="G24" s="596"/>
      <c r="H24" s="89"/>
      <c r="I24" s="90"/>
      <c r="J24" s="307"/>
      <c r="K24" s="90"/>
      <c r="L24" s="91"/>
      <c r="M24" s="119"/>
      <c r="N24" s="419"/>
      <c r="O24" s="412">
        <f t="shared" si="4"/>
        <v>0</v>
      </c>
      <c r="P24" s="92">
        <f>P40</f>
        <v>0</v>
      </c>
      <c r="Q24" s="591"/>
      <c r="R24" s="255"/>
      <c r="S24" s="72"/>
    </row>
    <row r="25" spans="1:19" s="640" customFormat="1" ht="12">
      <c r="A25" s="628"/>
      <c r="B25" s="629" t="s">
        <v>186</v>
      </c>
      <c r="C25" s="629"/>
      <c r="D25" s="629"/>
      <c r="E25" s="630">
        <v>23</v>
      </c>
      <c r="F25" s="631">
        <f t="shared" si="3"/>
        <v>0</v>
      </c>
      <c r="G25" s="643"/>
      <c r="H25" s="644"/>
      <c r="I25" s="645"/>
      <c r="J25" s="646"/>
      <c r="K25" s="645"/>
      <c r="L25" s="647"/>
      <c r="M25" s="631"/>
      <c r="N25" s="637"/>
      <c r="O25" s="638">
        <f t="shared" si="4"/>
        <v>0</v>
      </c>
      <c r="P25" s="631">
        <f>P41</f>
        <v>0</v>
      </c>
      <c r="Q25" s="591"/>
      <c r="R25" s="252"/>
      <c r="S25" s="51"/>
    </row>
    <row r="26" spans="1:19" s="25" customFormat="1" ht="12">
      <c r="A26" s="21"/>
      <c r="B26" s="31" t="s">
        <v>45</v>
      </c>
      <c r="C26" s="31"/>
      <c r="D26" s="31"/>
      <c r="E26" s="33">
        <v>24</v>
      </c>
      <c r="F26" s="119">
        <f t="shared" si="3"/>
        <v>0</v>
      </c>
      <c r="G26" s="596"/>
      <c r="H26" s="89"/>
      <c r="I26" s="90"/>
      <c r="J26" s="307"/>
      <c r="K26" s="90"/>
      <c r="L26" s="91"/>
      <c r="M26" s="119"/>
      <c r="N26" s="419"/>
      <c r="O26" s="412">
        <f t="shared" si="4"/>
        <v>0</v>
      </c>
      <c r="P26" s="92">
        <f>P42</f>
        <v>0</v>
      </c>
      <c r="Q26" s="591"/>
      <c r="R26" s="255"/>
      <c r="S26" s="72"/>
    </row>
    <row r="27" spans="1:19" s="25" customFormat="1" ht="12.75" thickBot="1">
      <c r="A27" s="21"/>
      <c r="B27" s="30" t="s">
        <v>47</v>
      </c>
      <c r="C27" s="30"/>
      <c r="D27" s="30"/>
      <c r="E27" s="28">
        <v>25</v>
      </c>
      <c r="F27" s="119">
        <f t="shared" si="3"/>
        <v>0</v>
      </c>
      <c r="G27" s="596"/>
      <c r="H27" s="89"/>
      <c r="I27" s="90"/>
      <c r="J27" s="307"/>
      <c r="K27" s="90"/>
      <c r="L27" s="91"/>
      <c r="M27" s="119"/>
      <c r="N27" s="419"/>
      <c r="O27" s="412">
        <f t="shared" si="4"/>
        <v>0</v>
      </c>
      <c r="P27" s="92" t="e">
        <f>N27/titl!$H$17*12</f>
        <v>#DIV/0!</v>
      </c>
      <c r="Q27" s="591"/>
      <c r="R27" s="255"/>
      <c r="S27" s="72"/>
    </row>
    <row r="28" spans="1:17" ht="13.5" thickBot="1">
      <c r="A28" s="37" t="s">
        <v>49</v>
      </c>
      <c r="B28" s="38"/>
      <c r="C28" s="38"/>
      <c r="D28" s="38"/>
      <c r="E28" s="19">
        <v>26</v>
      </c>
      <c r="F28" s="197">
        <f>SUM(F29:F45)</f>
        <v>113595</v>
      </c>
      <c r="G28" s="597">
        <f aca="true" t="shared" si="5" ref="G28:N28">SUM(G29:G45)</f>
        <v>81993</v>
      </c>
      <c r="H28" s="125">
        <f t="shared" si="5"/>
        <v>719</v>
      </c>
      <c r="I28" s="77">
        <f t="shared" si="5"/>
        <v>30820</v>
      </c>
      <c r="J28" s="304">
        <f t="shared" si="5"/>
        <v>0</v>
      </c>
      <c r="K28" s="77">
        <f t="shared" si="5"/>
        <v>53</v>
      </c>
      <c r="L28" s="76">
        <f t="shared" si="5"/>
        <v>10</v>
      </c>
      <c r="M28" s="197">
        <f>SUM(M29:M45)</f>
        <v>0</v>
      </c>
      <c r="N28" s="471">
        <f t="shared" si="5"/>
        <v>0</v>
      </c>
      <c r="O28" s="413">
        <f t="shared" si="4"/>
        <v>0</v>
      </c>
      <c r="P28" s="78" t="e">
        <f>SUM(P29:P45)</f>
        <v>#DIV/0!</v>
      </c>
      <c r="Q28" s="588">
        <f>SUM(Q29:Q45)</f>
        <v>115702</v>
      </c>
    </row>
    <row r="29" spans="1:19" s="25" customFormat="1" ht="12">
      <c r="A29" s="21" t="s">
        <v>14</v>
      </c>
      <c r="B29" s="27" t="s">
        <v>50</v>
      </c>
      <c r="C29" s="27"/>
      <c r="D29" s="27"/>
      <c r="E29" s="28">
        <v>27</v>
      </c>
      <c r="F29" s="119">
        <f t="shared" si="3"/>
        <v>8173</v>
      </c>
      <c r="G29" s="594">
        <v>8173</v>
      </c>
      <c r="H29" s="112"/>
      <c r="I29" s="81"/>
      <c r="J29" s="305"/>
      <c r="K29" s="81"/>
      <c r="L29" s="80"/>
      <c r="M29" s="198"/>
      <c r="N29" s="417"/>
      <c r="O29" s="414">
        <f t="shared" si="4"/>
        <v>0</v>
      </c>
      <c r="P29" s="82">
        <f>M29</f>
        <v>0</v>
      </c>
      <c r="Q29" s="589">
        <v>8561</v>
      </c>
      <c r="R29" s="255">
        <v>719</v>
      </c>
      <c r="S29" s="72"/>
    </row>
    <row r="30" spans="1:19" s="25" customFormat="1" ht="12">
      <c r="A30" s="21"/>
      <c r="B30" s="30" t="s">
        <v>28</v>
      </c>
      <c r="C30" s="30"/>
      <c r="D30" s="30"/>
      <c r="E30" s="28">
        <v>28</v>
      </c>
      <c r="F30" s="119">
        <f t="shared" si="3"/>
        <v>0</v>
      </c>
      <c r="G30" s="499"/>
      <c r="H30" s="126"/>
      <c r="I30" s="95"/>
      <c r="J30" s="308"/>
      <c r="K30" s="95"/>
      <c r="L30" s="94"/>
      <c r="M30" s="472"/>
      <c r="N30" s="420"/>
      <c r="O30" s="414">
        <f t="shared" si="4"/>
        <v>0</v>
      </c>
      <c r="P30" s="96">
        <f aca="true" t="shared" si="6" ref="P30:P42">F30</f>
        <v>0</v>
      </c>
      <c r="Q30" s="519"/>
      <c r="R30" s="255"/>
      <c r="S30" s="72"/>
    </row>
    <row r="31" spans="1:19" s="25" customFormat="1" ht="12">
      <c r="A31" s="21"/>
      <c r="B31" s="30" t="s">
        <v>30</v>
      </c>
      <c r="C31" s="30"/>
      <c r="D31" s="30"/>
      <c r="E31" s="28">
        <v>29</v>
      </c>
      <c r="F31" s="119">
        <f t="shared" si="3"/>
        <v>37000</v>
      </c>
      <c r="G31" s="886">
        <f>G17</f>
        <v>35461</v>
      </c>
      <c r="H31" s="126"/>
      <c r="I31" s="95">
        <f>I17</f>
        <v>1539</v>
      </c>
      <c r="J31" s="308"/>
      <c r="K31" s="95"/>
      <c r="L31" s="94"/>
      <c r="M31" s="472"/>
      <c r="N31" s="420"/>
      <c r="O31" s="414">
        <f t="shared" si="4"/>
        <v>0</v>
      </c>
      <c r="P31" s="96">
        <f>M31</f>
        <v>0</v>
      </c>
      <c r="Q31" s="519">
        <f>Q17</f>
        <v>38534</v>
      </c>
      <c r="R31" s="255"/>
      <c r="S31" s="72"/>
    </row>
    <row r="32" spans="1:19" s="25" customFormat="1" ht="12">
      <c r="A32" s="21"/>
      <c r="B32" s="31" t="s">
        <v>32</v>
      </c>
      <c r="C32" s="32"/>
      <c r="D32" s="32"/>
      <c r="E32" s="33">
        <v>30</v>
      </c>
      <c r="F32" s="119">
        <f t="shared" si="3"/>
        <v>11050</v>
      </c>
      <c r="G32" s="499">
        <f>G18</f>
        <v>11050</v>
      </c>
      <c r="H32" s="126"/>
      <c r="I32" s="95"/>
      <c r="J32" s="308"/>
      <c r="K32" s="95"/>
      <c r="L32" s="94"/>
      <c r="M32" s="472"/>
      <c r="N32" s="420"/>
      <c r="O32" s="414">
        <f t="shared" si="4"/>
        <v>0</v>
      </c>
      <c r="P32" s="96">
        <f>M32</f>
        <v>0</v>
      </c>
      <c r="Q32" s="519">
        <f>Q18</f>
        <v>8018</v>
      </c>
      <c r="R32" s="255"/>
      <c r="S32" s="72"/>
    </row>
    <row r="33" spans="1:19" s="25" customFormat="1" ht="12">
      <c r="A33" s="21"/>
      <c r="B33" s="31" t="s">
        <v>34</v>
      </c>
      <c r="C33" s="31"/>
      <c r="D33" s="31"/>
      <c r="E33" s="33">
        <v>31</v>
      </c>
      <c r="F33" s="119">
        <f t="shared" si="3"/>
        <v>0</v>
      </c>
      <c r="G33" s="499"/>
      <c r="H33" s="126"/>
      <c r="I33" s="95"/>
      <c r="J33" s="308"/>
      <c r="K33" s="95"/>
      <c r="L33" s="94"/>
      <c r="M33" s="472"/>
      <c r="N33" s="420"/>
      <c r="O33" s="414">
        <f t="shared" si="4"/>
        <v>0</v>
      </c>
      <c r="P33" s="96">
        <f t="shared" si="6"/>
        <v>0</v>
      </c>
      <c r="Q33" s="519"/>
      <c r="R33" s="255"/>
      <c r="S33" s="72"/>
    </row>
    <row r="34" spans="1:19" s="25" customFormat="1" ht="12">
      <c r="A34" s="21"/>
      <c r="B34" s="31" t="s">
        <v>52</v>
      </c>
      <c r="C34" s="31"/>
      <c r="D34" s="31"/>
      <c r="E34" s="33">
        <v>32</v>
      </c>
      <c r="F34" s="119">
        <f t="shared" si="3"/>
        <v>0</v>
      </c>
      <c r="G34" s="499"/>
      <c r="H34" s="126"/>
      <c r="I34" s="95"/>
      <c r="J34" s="308"/>
      <c r="K34" s="95"/>
      <c r="L34" s="94"/>
      <c r="M34" s="472"/>
      <c r="N34" s="420"/>
      <c r="O34" s="414">
        <f aca="true" t="shared" si="7" ref="O34:O45">IF(F34=0,0,N34/F34)</f>
        <v>0</v>
      </c>
      <c r="P34" s="96">
        <f t="shared" si="6"/>
        <v>0</v>
      </c>
      <c r="Q34" s="519"/>
      <c r="R34" s="255"/>
      <c r="S34" s="72"/>
    </row>
    <row r="35" spans="1:19" s="25" customFormat="1" ht="12">
      <c r="A35" s="21"/>
      <c r="B35" s="31" t="s">
        <v>36</v>
      </c>
      <c r="C35" s="31"/>
      <c r="D35" s="31"/>
      <c r="E35" s="33">
        <v>33</v>
      </c>
      <c r="F35" s="119">
        <f t="shared" si="3"/>
        <v>0</v>
      </c>
      <c r="G35" s="499"/>
      <c r="H35" s="126"/>
      <c r="I35" s="95"/>
      <c r="J35" s="308"/>
      <c r="K35" s="95"/>
      <c r="L35" s="94"/>
      <c r="M35" s="472"/>
      <c r="N35" s="420"/>
      <c r="O35" s="414">
        <f t="shared" si="7"/>
        <v>0</v>
      </c>
      <c r="P35" s="96">
        <f t="shared" si="6"/>
        <v>0</v>
      </c>
      <c r="Q35" s="519"/>
      <c r="R35" s="255"/>
      <c r="S35" s="72"/>
    </row>
    <row r="36" spans="1:19" s="640" customFormat="1" ht="12">
      <c r="A36" s="628"/>
      <c r="B36" s="629" t="s">
        <v>175</v>
      </c>
      <c r="C36" s="629"/>
      <c r="D36" s="629"/>
      <c r="E36" s="630">
        <v>34</v>
      </c>
      <c r="F36" s="631">
        <f t="shared" si="3"/>
        <v>0</v>
      </c>
      <c r="G36" s="649"/>
      <c r="H36" s="633"/>
      <c r="I36" s="634"/>
      <c r="J36" s="635"/>
      <c r="K36" s="634"/>
      <c r="L36" s="636"/>
      <c r="M36" s="632"/>
      <c r="N36" s="766"/>
      <c r="O36" s="734">
        <f t="shared" si="7"/>
        <v>0</v>
      </c>
      <c r="P36" s="632">
        <f t="shared" si="6"/>
        <v>0</v>
      </c>
      <c r="Q36" s="982"/>
      <c r="R36" s="252"/>
      <c r="S36" s="51"/>
    </row>
    <row r="37" spans="1:19" s="25" customFormat="1" ht="12">
      <c r="A37" s="21"/>
      <c r="B37" s="31" t="s">
        <v>54</v>
      </c>
      <c r="C37" s="31"/>
      <c r="D37" s="31"/>
      <c r="E37" s="33">
        <v>35</v>
      </c>
      <c r="F37" s="119">
        <f t="shared" si="3"/>
        <v>50000</v>
      </c>
      <c r="G37" s="499">
        <f>G22</f>
        <v>21419</v>
      </c>
      <c r="H37" s="126"/>
      <c r="I37" s="90">
        <f>I22</f>
        <v>28581</v>
      </c>
      <c r="J37" s="308"/>
      <c r="K37" s="95"/>
      <c r="L37" s="94"/>
      <c r="M37" s="472"/>
      <c r="N37" s="420"/>
      <c r="O37" s="414">
        <f t="shared" si="7"/>
        <v>0</v>
      </c>
      <c r="P37" s="519">
        <f>P22</f>
        <v>0</v>
      </c>
      <c r="Q37" s="519">
        <f>Q22</f>
        <v>53684</v>
      </c>
      <c r="R37" s="255"/>
      <c r="S37" s="72"/>
    </row>
    <row r="38" spans="1:19" s="25" customFormat="1" ht="12">
      <c r="A38" s="21"/>
      <c r="B38" s="31" t="s">
        <v>170</v>
      </c>
      <c r="C38" s="31"/>
      <c r="D38" s="31"/>
      <c r="E38" s="33">
        <v>36</v>
      </c>
      <c r="F38" s="119">
        <f t="shared" si="3"/>
        <v>0</v>
      </c>
      <c r="G38" s="499"/>
      <c r="H38" s="126"/>
      <c r="I38" s="95"/>
      <c r="J38" s="308"/>
      <c r="K38" s="95"/>
      <c r="L38" s="94"/>
      <c r="M38" s="472"/>
      <c r="N38" s="420"/>
      <c r="O38" s="414">
        <f t="shared" si="7"/>
        <v>0</v>
      </c>
      <c r="P38" s="96">
        <f t="shared" si="6"/>
        <v>0</v>
      </c>
      <c r="Q38" s="519"/>
      <c r="R38" s="255"/>
      <c r="S38" s="72"/>
    </row>
    <row r="39" spans="1:19" s="25" customFormat="1" ht="12">
      <c r="A39" s="21"/>
      <c r="B39" s="31" t="s">
        <v>56</v>
      </c>
      <c r="C39" s="31"/>
      <c r="D39" s="31"/>
      <c r="E39" s="33">
        <v>37</v>
      </c>
      <c r="F39" s="119">
        <f t="shared" si="3"/>
        <v>0</v>
      </c>
      <c r="G39" s="499"/>
      <c r="H39" s="126"/>
      <c r="I39" s="95"/>
      <c r="J39" s="308"/>
      <c r="K39" s="95"/>
      <c r="L39" s="94"/>
      <c r="M39" s="472"/>
      <c r="N39" s="420"/>
      <c r="O39" s="414">
        <f t="shared" si="7"/>
        <v>0</v>
      </c>
      <c r="P39" s="96">
        <f t="shared" si="6"/>
        <v>0</v>
      </c>
      <c r="Q39" s="519"/>
      <c r="R39" s="255"/>
      <c r="S39" s="72"/>
    </row>
    <row r="40" spans="1:19" s="25" customFormat="1" ht="12">
      <c r="A40" s="21"/>
      <c r="B40" s="31" t="s">
        <v>57</v>
      </c>
      <c r="C40" s="31"/>
      <c r="D40" s="31"/>
      <c r="E40" s="33">
        <v>38</v>
      </c>
      <c r="F40" s="119">
        <f t="shared" si="3"/>
        <v>0</v>
      </c>
      <c r="G40" s="499"/>
      <c r="H40" s="126"/>
      <c r="I40" s="95"/>
      <c r="J40" s="308"/>
      <c r="K40" s="95"/>
      <c r="L40" s="94"/>
      <c r="M40" s="472"/>
      <c r="N40" s="420"/>
      <c r="O40" s="414">
        <f t="shared" si="7"/>
        <v>0</v>
      </c>
      <c r="P40" s="96">
        <f t="shared" si="6"/>
        <v>0</v>
      </c>
      <c r="Q40" s="519"/>
      <c r="R40" s="255"/>
      <c r="S40" s="72"/>
    </row>
    <row r="41" spans="1:19" s="640" customFormat="1" ht="12">
      <c r="A41" s="628"/>
      <c r="B41" s="629" t="s">
        <v>186</v>
      </c>
      <c r="C41" s="629"/>
      <c r="D41" s="629"/>
      <c r="E41" s="630">
        <v>39</v>
      </c>
      <c r="F41" s="631">
        <f t="shared" si="3"/>
        <v>0</v>
      </c>
      <c r="G41" s="649"/>
      <c r="H41" s="633"/>
      <c r="I41" s="634"/>
      <c r="J41" s="635"/>
      <c r="K41" s="634"/>
      <c r="L41" s="636"/>
      <c r="M41" s="632"/>
      <c r="N41" s="641"/>
      <c r="O41" s="734">
        <f t="shared" si="7"/>
        <v>0</v>
      </c>
      <c r="P41" s="632">
        <f t="shared" si="6"/>
        <v>0</v>
      </c>
      <c r="Q41" s="519"/>
      <c r="R41" s="252"/>
      <c r="S41" s="51"/>
    </row>
    <row r="42" spans="1:19" s="25" customFormat="1" ht="12">
      <c r="A42" s="21"/>
      <c r="B42" s="31" t="s">
        <v>58</v>
      </c>
      <c r="C42" s="31"/>
      <c r="D42" s="31"/>
      <c r="E42" s="33">
        <v>40</v>
      </c>
      <c r="F42" s="119">
        <f t="shared" si="3"/>
        <v>0</v>
      </c>
      <c r="G42" s="499"/>
      <c r="H42" s="126"/>
      <c r="I42" s="95"/>
      <c r="J42" s="308"/>
      <c r="K42" s="95"/>
      <c r="L42" s="94"/>
      <c r="M42" s="472"/>
      <c r="N42" s="420"/>
      <c r="O42" s="414">
        <f t="shared" si="7"/>
        <v>0</v>
      </c>
      <c r="P42" s="96">
        <f t="shared" si="6"/>
        <v>0</v>
      </c>
      <c r="Q42" s="519"/>
      <c r="R42" s="255"/>
      <c r="S42" s="72"/>
    </row>
    <row r="43" spans="1:19" s="25" customFormat="1" ht="12">
      <c r="A43" s="21"/>
      <c r="B43" s="31" t="s">
        <v>59</v>
      </c>
      <c r="C43" s="31"/>
      <c r="D43" s="31"/>
      <c r="E43" s="33">
        <v>41</v>
      </c>
      <c r="F43" s="531">
        <f t="shared" si="3"/>
        <v>6590</v>
      </c>
      <c r="G43" s="499">
        <v>5890</v>
      </c>
      <c r="H43" s="126"/>
      <c r="I43" s="89">
        <v>700</v>
      </c>
      <c r="J43" s="308"/>
      <c r="K43" s="95"/>
      <c r="L43" s="94"/>
      <c r="M43" s="472"/>
      <c r="N43" s="420"/>
      <c r="O43" s="414">
        <f t="shared" si="7"/>
        <v>0</v>
      </c>
      <c r="P43" s="96" t="e">
        <f>N43/titl!H17*12</f>
        <v>#DIV/0!</v>
      </c>
      <c r="Q43" s="519">
        <v>6585</v>
      </c>
      <c r="R43" s="255"/>
      <c r="S43" s="72"/>
    </row>
    <row r="44" spans="1:19" s="25" customFormat="1" ht="12">
      <c r="A44" s="21"/>
      <c r="B44" s="31" t="s">
        <v>60</v>
      </c>
      <c r="C44" s="31"/>
      <c r="D44" s="31"/>
      <c r="E44" s="33">
        <v>42</v>
      </c>
      <c r="F44" s="119">
        <f t="shared" si="3"/>
        <v>782</v>
      </c>
      <c r="G44" s="885"/>
      <c r="H44" s="126">
        <f>H3</f>
        <v>719</v>
      </c>
      <c r="I44" s="159"/>
      <c r="J44" s="308"/>
      <c r="K44" s="95">
        <f>K3</f>
        <v>53</v>
      </c>
      <c r="L44" s="94">
        <f>L3</f>
        <v>10</v>
      </c>
      <c r="M44" s="472"/>
      <c r="N44" s="420"/>
      <c r="O44" s="414">
        <f t="shared" si="7"/>
        <v>0</v>
      </c>
      <c r="P44" s="96">
        <f>N44</f>
        <v>0</v>
      </c>
      <c r="Q44" s="519">
        <v>320</v>
      </c>
      <c r="R44" s="255"/>
      <c r="S44" s="905">
        <v>449</v>
      </c>
    </row>
    <row r="45" spans="1:19" s="25" customFormat="1" ht="12.75" thickBot="1">
      <c r="A45" s="40"/>
      <c r="B45" s="41" t="s">
        <v>47</v>
      </c>
      <c r="C45" s="41"/>
      <c r="D45" s="41"/>
      <c r="E45" s="42">
        <v>43</v>
      </c>
      <c r="F45" s="200">
        <f t="shared" si="3"/>
        <v>0</v>
      </c>
      <c r="G45" s="500"/>
      <c r="H45" s="174"/>
      <c r="I45" s="99"/>
      <c r="J45" s="309"/>
      <c r="K45" s="99"/>
      <c r="L45" s="98"/>
      <c r="M45" s="200"/>
      <c r="N45" s="421"/>
      <c r="O45" s="415">
        <f t="shared" si="7"/>
        <v>0</v>
      </c>
      <c r="P45" s="92" t="e">
        <f>N45/titl!$H$17*12</f>
        <v>#DIV/0!</v>
      </c>
      <c r="Q45" s="592"/>
      <c r="R45" s="255"/>
      <c r="S45" s="72"/>
    </row>
    <row r="46" spans="1:19" s="25" customFormat="1" ht="12.75" customHeight="1" hidden="1" thickBot="1">
      <c r="A46" s="44" t="s">
        <v>61</v>
      </c>
      <c r="B46" s="45"/>
      <c r="C46" s="45"/>
      <c r="D46" s="45"/>
      <c r="E46" s="28">
        <v>44</v>
      </c>
      <c r="F46" s="201">
        <f>F29+F34+F38+F43+F44+F45-F4-F27</f>
        <v>800</v>
      </c>
      <c r="G46" s="613">
        <f>G29+G34+G38+G43+G45-G4-G27</f>
        <v>800</v>
      </c>
      <c r="H46" s="102">
        <f>H29+H34+H38+H43+H44+H45-H4-H27</f>
        <v>0</v>
      </c>
      <c r="I46" s="102">
        <f>I29+I34+I38+I43+I44+I45-I4-I27</f>
        <v>0</v>
      </c>
      <c r="J46" s="102">
        <f>J29+J34+J38+J43+J44+J45-J4-J27</f>
        <v>0</v>
      </c>
      <c r="K46" s="320"/>
      <c r="L46" s="102">
        <f>L29+L34+L38+L43+L44+L45-L4-L27</f>
        <v>0</v>
      </c>
      <c r="M46" s="201">
        <f>M29+M34+M38+M43+M44+M45+-M4-M27</f>
        <v>0</v>
      </c>
      <c r="N46" s="422">
        <v>936922.08</v>
      </c>
      <c r="O46" s="416"/>
      <c r="P46" s="103" t="e">
        <f>P29+P34+P38+P43+P44+P45-P4-P27</f>
        <v>#DIV/0!</v>
      </c>
      <c r="Q46" s="593">
        <f>Q29+Q34+Q38+Q43+Q44+Q45-Q4-Q27</f>
        <v>1056</v>
      </c>
      <c r="R46" s="255"/>
      <c r="S46" s="72"/>
    </row>
    <row r="47" spans="1:17" ht="13.5" thickBot="1">
      <c r="A47" s="37" t="s">
        <v>62</v>
      </c>
      <c r="B47" s="38"/>
      <c r="C47" s="38"/>
      <c r="D47" s="38"/>
      <c r="E47" s="19">
        <v>45</v>
      </c>
      <c r="F47" s="197">
        <f>F28-F3</f>
        <v>800</v>
      </c>
      <c r="G47" s="597">
        <f aca="true" t="shared" si="8" ref="G47:N47">G28-G3</f>
        <v>800</v>
      </c>
      <c r="H47" s="125">
        <f t="shared" si="8"/>
        <v>0</v>
      </c>
      <c r="I47" s="77">
        <f t="shared" si="8"/>
        <v>0</v>
      </c>
      <c r="J47" s="304">
        <f t="shared" si="8"/>
        <v>0</v>
      </c>
      <c r="K47" s="77">
        <f t="shared" si="8"/>
        <v>0</v>
      </c>
      <c r="L47" s="76">
        <f t="shared" si="8"/>
        <v>0</v>
      </c>
      <c r="M47" s="197">
        <f>M28-M3</f>
        <v>0</v>
      </c>
      <c r="N47" s="471">
        <f t="shared" si="8"/>
        <v>0</v>
      </c>
      <c r="O47" s="413"/>
      <c r="P47" s="78" t="e">
        <f>P28-P3</f>
        <v>#DIV/0!</v>
      </c>
      <c r="Q47" s="588">
        <f>Q28-Q3</f>
        <v>1056</v>
      </c>
    </row>
    <row r="48" spans="1:5" ht="12.75">
      <c r="A48" s="47"/>
      <c r="B48" s="47"/>
      <c r="C48" s="47"/>
      <c r="D48" s="47"/>
      <c r="E48" s="48"/>
    </row>
    <row r="49" spans="5:19" s="47" customFormat="1" ht="11.25">
      <c r="E49" s="48"/>
      <c r="G49" s="59"/>
      <c r="H49" s="59"/>
      <c r="I49" s="59"/>
      <c r="J49" s="59"/>
      <c r="K49" s="59"/>
      <c r="L49" s="59"/>
      <c r="M49" s="59"/>
      <c r="N49" s="59"/>
      <c r="O49" s="401"/>
      <c r="P49" s="401"/>
      <c r="Q49" s="255"/>
      <c r="R49" s="255"/>
      <c r="S49" s="72"/>
    </row>
    <row r="50" spans="1:19" s="47" customFormat="1" ht="11.25">
      <c r="A50" s="51" t="s">
        <v>166</v>
      </c>
      <c r="E50" s="48"/>
      <c r="F50" s="202"/>
      <c r="G50" s="59"/>
      <c r="I50" s="109"/>
      <c r="L50" s="59"/>
      <c r="M50" s="59"/>
      <c r="N50" s="59"/>
      <c r="O50" s="401"/>
      <c r="P50" s="401"/>
      <c r="Q50" s="255"/>
      <c r="R50" s="255"/>
      <c r="S50" s="72"/>
    </row>
    <row r="51" spans="5:19" s="51" customFormat="1" ht="11.25">
      <c r="E51" s="53"/>
      <c r="G51" s="72"/>
      <c r="H51" s="72"/>
      <c r="I51" s="72"/>
      <c r="J51" s="72"/>
      <c r="K51" s="72"/>
      <c r="L51" s="72"/>
      <c r="M51" s="72"/>
      <c r="N51" s="72"/>
      <c r="O51" s="401"/>
      <c r="P51" s="401"/>
      <c r="Q51" s="255"/>
      <c r="R51" s="255"/>
      <c r="S51" s="72"/>
    </row>
    <row r="52" spans="5:19" s="51" customFormat="1" ht="11.25">
      <c r="E52" s="53"/>
      <c r="G52" s="72"/>
      <c r="H52" s="72"/>
      <c r="I52" s="72"/>
      <c r="J52" s="72"/>
      <c r="K52" s="72"/>
      <c r="L52" s="72"/>
      <c r="M52" s="72"/>
      <c r="N52" s="72"/>
      <c r="O52" s="401"/>
      <c r="P52" s="401"/>
      <c r="Q52" s="255"/>
      <c r="R52" s="255"/>
      <c r="S52" s="72"/>
    </row>
    <row r="53" spans="1:19" s="47" customFormat="1" ht="11.25">
      <c r="A53" s="51"/>
      <c r="B53" s="51"/>
      <c r="C53" s="51"/>
      <c r="D53" s="51"/>
      <c r="E53" s="48"/>
      <c r="G53" s="59"/>
      <c r="H53" s="59"/>
      <c r="I53" s="59"/>
      <c r="J53" s="59"/>
      <c r="K53" s="59"/>
      <c r="L53" s="59"/>
      <c r="M53" s="59"/>
      <c r="N53" s="59"/>
      <c r="O53" s="401"/>
      <c r="P53" s="401"/>
      <c r="Q53" s="255"/>
      <c r="R53" s="255"/>
      <c r="S53" s="72"/>
    </row>
    <row r="54" spans="1:19" s="59" customFormat="1" ht="11.25">
      <c r="A54" s="51"/>
      <c r="B54" s="51"/>
      <c r="C54" s="51"/>
      <c r="D54" s="51"/>
      <c r="E54" s="57"/>
      <c r="F54" s="47"/>
      <c r="O54" s="401"/>
      <c r="P54" s="401"/>
      <c r="Q54" s="255"/>
      <c r="R54" s="255"/>
      <c r="S54" s="72"/>
    </row>
    <row r="55" spans="1:19" s="59" customFormat="1" ht="11.25">
      <c r="A55" s="51"/>
      <c r="B55" s="51"/>
      <c r="C55" s="51"/>
      <c r="D55" s="51"/>
      <c r="E55" s="57"/>
      <c r="F55" s="47"/>
      <c r="O55" s="401"/>
      <c r="P55" s="401"/>
      <c r="Q55" s="255"/>
      <c r="R55" s="255"/>
      <c r="S55" s="72"/>
    </row>
    <row r="56" spans="1:19" s="59" customFormat="1" ht="11.25">
      <c r="A56" s="51"/>
      <c r="B56" s="51"/>
      <c r="C56" s="51"/>
      <c r="D56" s="51"/>
      <c r="E56" s="57"/>
      <c r="F56" s="47"/>
      <c r="O56" s="401"/>
      <c r="P56" s="401"/>
      <c r="Q56" s="255"/>
      <c r="R56" s="255"/>
      <c r="S56" s="72"/>
    </row>
    <row r="59" spans="2:19" s="59" customFormat="1" ht="11.25" hidden="1">
      <c r="B59" s="767" t="s">
        <v>191</v>
      </c>
      <c r="C59" s="340"/>
      <c r="D59" s="340"/>
      <c r="E59" s="817"/>
      <c r="F59" s="782"/>
      <c r="G59" s="340"/>
      <c r="H59" s="340"/>
      <c r="I59" s="340"/>
      <c r="J59" s="340"/>
      <c r="K59" s="340"/>
      <c r="L59" s="340"/>
      <c r="M59" s="340"/>
      <c r="N59" s="811"/>
      <c r="O59" s="804"/>
      <c r="P59" s="787" t="e">
        <f>N59/titl!$H$17*12</f>
        <v>#DIV/0!</v>
      </c>
      <c r="Q59" s="255"/>
      <c r="R59" s="255"/>
      <c r="S59" s="72"/>
    </row>
    <row r="60" spans="2:19" s="59" customFormat="1" ht="11.25" hidden="1">
      <c r="B60" s="818" t="s">
        <v>192</v>
      </c>
      <c r="C60" s="233"/>
      <c r="D60" s="233"/>
      <c r="E60" s="819"/>
      <c r="F60" s="783"/>
      <c r="G60" s="233"/>
      <c r="H60" s="233"/>
      <c r="I60" s="233"/>
      <c r="J60" s="233"/>
      <c r="K60" s="233"/>
      <c r="L60" s="233"/>
      <c r="M60" s="233"/>
      <c r="N60" s="537">
        <f>N43+N45-N59</f>
        <v>0</v>
      </c>
      <c r="O60" s="805"/>
      <c r="P60" s="789" t="e">
        <f>N60/titl!$H$17*12</f>
        <v>#DIV/0!</v>
      </c>
      <c r="Q60" s="255"/>
      <c r="R60" s="255"/>
      <c r="S60" s="72"/>
    </row>
    <row r="61" spans="2:19" s="59" customFormat="1" ht="11.25" hidden="1">
      <c r="B61" s="818" t="s">
        <v>193</v>
      </c>
      <c r="C61" s="233"/>
      <c r="D61" s="233"/>
      <c r="E61" s="819"/>
      <c r="F61" s="783"/>
      <c r="G61" s="233"/>
      <c r="H61" s="233"/>
      <c r="I61" s="233"/>
      <c r="J61" s="233"/>
      <c r="K61" s="233"/>
      <c r="L61" s="233"/>
      <c r="M61" s="233"/>
      <c r="N61" s="109"/>
      <c r="O61" s="805"/>
      <c r="P61" s="789" t="e">
        <f>N61/titl!$H$17*12</f>
        <v>#DIV/0!</v>
      </c>
      <c r="Q61" s="255"/>
      <c r="R61" s="255"/>
      <c r="S61" s="72"/>
    </row>
    <row r="62" spans="2:19" s="59" customFormat="1" ht="11.25" hidden="1">
      <c r="B62" s="818" t="s">
        <v>194</v>
      </c>
      <c r="C62" s="233"/>
      <c r="D62" s="233"/>
      <c r="E62" s="819"/>
      <c r="F62" s="783"/>
      <c r="G62" s="233"/>
      <c r="H62" s="233"/>
      <c r="I62" s="233"/>
      <c r="J62" s="233"/>
      <c r="K62" s="233"/>
      <c r="L62" s="233"/>
      <c r="M62" s="233"/>
      <c r="N62" s="537">
        <f>N60+N61</f>
        <v>0</v>
      </c>
      <c r="O62" s="805"/>
      <c r="P62" s="789" t="e">
        <f>N62/titl!$H$17*12</f>
        <v>#DIV/0!</v>
      </c>
      <c r="Q62" s="255"/>
      <c r="R62" s="255"/>
      <c r="S62" s="72"/>
    </row>
    <row r="63" spans="2:19" s="59" customFormat="1" ht="12" hidden="1" thickBot="1">
      <c r="B63" s="820" t="s">
        <v>195</v>
      </c>
      <c r="C63" s="785"/>
      <c r="D63" s="785"/>
      <c r="E63" s="821"/>
      <c r="F63" s="784"/>
      <c r="G63" s="785"/>
      <c r="H63" s="785"/>
      <c r="I63" s="785"/>
      <c r="J63" s="785"/>
      <c r="K63" s="785"/>
      <c r="L63" s="785"/>
      <c r="M63" s="785"/>
      <c r="N63" s="810">
        <f>N62*4%</f>
        <v>0</v>
      </c>
      <c r="O63" s="803"/>
      <c r="P63" s="790" t="e">
        <f>N63/titl!$H$17*12</f>
        <v>#DIV/0!</v>
      </c>
      <c r="Q63" s="255"/>
      <c r="R63" s="255"/>
      <c r="S63" s="72"/>
    </row>
  </sheetData>
  <mergeCells count="6">
    <mergeCell ref="S1:S2"/>
    <mergeCell ref="T1:T2"/>
    <mergeCell ref="A1:D1"/>
    <mergeCell ref="H1:L1"/>
    <mergeCell ref="C2:D2"/>
    <mergeCell ref="R1:R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64"/>
  <sheetViews>
    <sheetView workbookViewId="0" topLeftCell="A1">
      <pane ySplit="3" topLeftCell="BM50" activePane="bottomLeft" state="frozen"/>
      <selection pane="topLeft" activeCell="D38" sqref="D38"/>
      <selection pane="bottomLeft" activeCell="D38" sqref="D38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60" bestFit="1" customWidth="1"/>
    <col min="6" max="6" width="10.125" style="47" bestFit="1" customWidth="1"/>
    <col min="7" max="7" width="10.125" style="59" bestFit="1" customWidth="1"/>
    <col min="8" max="8" width="7.625" style="59" customWidth="1"/>
    <col min="9" max="9" width="7.125" style="59" customWidth="1"/>
    <col min="10" max="10" width="7.00390625" style="59" customWidth="1"/>
    <col min="11" max="11" width="8.00390625" style="59" customWidth="1"/>
    <col min="12" max="12" width="7.00390625" style="59" customWidth="1"/>
    <col min="13" max="13" width="9.25390625" style="59" hidden="1" customWidth="1"/>
    <col min="14" max="14" width="11.25390625" style="59" hidden="1" customWidth="1"/>
    <col min="15" max="15" width="7.125" style="401" hidden="1" customWidth="1"/>
    <col min="16" max="16" width="11.25390625" style="401" hidden="1" customWidth="1"/>
    <col min="17" max="17" width="10.125" style="255" bestFit="1" customWidth="1"/>
    <col min="18" max="18" width="7.375" style="255" customWidth="1"/>
    <col min="19" max="19" width="6.00390625" style="72" customWidth="1"/>
  </cols>
  <sheetData>
    <row r="1" spans="1:19" ht="15.75" customHeight="1">
      <c r="A1" s="1046" t="s">
        <v>236</v>
      </c>
      <c r="B1" s="1047"/>
      <c r="C1" s="1047"/>
      <c r="D1" s="1048"/>
      <c r="E1" s="1"/>
      <c r="F1" s="543" t="s">
        <v>0</v>
      </c>
      <c r="G1" s="606" t="s">
        <v>2</v>
      </c>
      <c r="H1" s="1050" t="s">
        <v>3</v>
      </c>
      <c r="I1" s="1050"/>
      <c r="J1" s="1050"/>
      <c r="K1" s="1050"/>
      <c r="L1" s="1051"/>
      <c r="M1" s="181" t="s">
        <v>1</v>
      </c>
      <c r="N1" s="538" t="s">
        <v>4</v>
      </c>
      <c r="O1" s="67" t="s">
        <v>144</v>
      </c>
      <c r="P1" s="67" t="s">
        <v>145</v>
      </c>
      <c r="Q1" s="947" t="s">
        <v>4</v>
      </c>
      <c r="R1" s="1056" t="s">
        <v>190</v>
      </c>
      <c r="S1" s="1057" t="s">
        <v>188</v>
      </c>
    </row>
    <row r="2" spans="1:19" s="16" customFormat="1" ht="13.5" thickBot="1">
      <c r="A2" s="6"/>
      <c r="B2" s="7"/>
      <c r="C2" s="1052" t="s">
        <v>162</v>
      </c>
      <c r="D2" s="1053"/>
      <c r="E2" s="9" t="s">
        <v>5</v>
      </c>
      <c r="F2" s="544">
        <v>2011</v>
      </c>
      <c r="G2" s="607" t="s">
        <v>8</v>
      </c>
      <c r="H2" s="69" t="s">
        <v>9</v>
      </c>
      <c r="I2" s="70" t="s">
        <v>10</v>
      </c>
      <c r="J2" s="303" t="s">
        <v>11</v>
      </c>
      <c r="K2" s="248" t="s">
        <v>126</v>
      </c>
      <c r="L2" s="68" t="s">
        <v>12</v>
      </c>
      <c r="M2" s="544" t="s">
        <v>7</v>
      </c>
      <c r="N2" s="539">
        <v>2011</v>
      </c>
      <c r="O2" s="71"/>
      <c r="P2" s="71"/>
      <c r="Q2" s="948">
        <v>2010</v>
      </c>
      <c r="R2" s="1056"/>
      <c r="S2" s="1057"/>
    </row>
    <row r="3" spans="1:17" ht="13.5" thickBot="1">
      <c r="A3" s="17" t="s">
        <v>13</v>
      </c>
      <c r="B3" s="18"/>
      <c r="C3" s="18"/>
      <c r="D3" s="18"/>
      <c r="E3" s="19">
        <v>1</v>
      </c>
      <c r="F3" s="197">
        <f>SUM(F5:F27)</f>
        <v>377673</v>
      </c>
      <c r="G3" s="597">
        <f aca="true" t="shared" si="0" ref="G3:L3">SUM(G5:G27)</f>
        <v>376423</v>
      </c>
      <c r="H3" s="125">
        <f t="shared" si="0"/>
        <v>380</v>
      </c>
      <c r="I3" s="77">
        <f t="shared" si="0"/>
        <v>0</v>
      </c>
      <c r="J3" s="304">
        <f t="shared" si="0"/>
        <v>0</v>
      </c>
      <c r="K3" s="77">
        <f t="shared" si="0"/>
        <v>870</v>
      </c>
      <c r="L3" s="76">
        <f t="shared" si="0"/>
        <v>0</v>
      </c>
      <c r="M3" s="197">
        <f>SUM(M5:M27)</f>
        <v>0</v>
      </c>
      <c r="N3" s="471">
        <f>SUM(N5:N27)</f>
        <v>0</v>
      </c>
      <c r="O3" s="413">
        <f aca="true" t="shared" si="1" ref="O3:O20">IF(F3=0,0,N3/F3)</f>
        <v>0</v>
      </c>
      <c r="P3" s="78" t="e">
        <f>SUM(P5:P27)</f>
        <v>#DIV/0!</v>
      </c>
      <c r="Q3" s="588">
        <f>SUM(Q5:Q27)</f>
        <v>484603</v>
      </c>
    </row>
    <row r="4" spans="1:19" s="25" customFormat="1" ht="12">
      <c r="A4" s="21" t="s">
        <v>14</v>
      </c>
      <c r="B4" s="22" t="s">
        <v>15</v>
      </c>
      <c r="C4" s="22"/>
      <c r="D4" s="22"/>
      <c r="E4" s="23">
        <v>2</v>
      </c>
      <c r="F4" s="198">
        <f aca="true" t="shared" si="2" ref="F4:N4">SUM(F5:F15)</f>
        <v>313875</v>
      </c>
      <c r="G4" s="594">
        <f t="shared" si="2"/>
        <v>312625</v>
      </c>
      <c r="H4" s="112">
        <f t="shared" si="2"/>
        <v>380</v>
      </c>
      <c r="I4" s="81">
        <f t="shared" si="2"/>
        <v>0</v>
      </c>
      <c r="J4" s="81">
        <f t="shared" si="2"/>
        <v>0</v>
      </c>
      <c r="K4" s="81">
        <f t="shared" si="2"/>
        <v>870</v>
      </c>
      <c r="L4" s="81">
        <f t="shared" si="2"/>
        <v>0</v>
      </c>
      <c r="M4" s="198">
        <f>SUM(M5:M15)</f>
        <v>0</v>
      </c>
      <c r="N4" s="417">
        <f t="shared" si="2"/>
        <v>0</v>
      </c>
      <c r="O4" s="410">
        <f t="shared" si="1"/>
        <v>0</v>
      </c>
      <c r="P4" s="82" t="e">
        <f>SUM(P5:P15)</f>
        <v>#DIV/0!</v>
      </c>
      <c r="Q4" s="589">
        <f>SUM(Q5:Q15)</f>
        <v>427612</v>
      </c>
      <c r="R4" s="255"/>
      <c r="S4" s="72"/>
    </row>
    <row r="5" spans="1:19" s="65" customFormat="1" ht="12">
      <c r="A5" s="61"/>
      <c r="B5" s="62"/>
      <c r="C5" s="62" t="s">
        <v>16</v>
      </c>
      <c r="D5" s="63" t="s">
        <v>17</v>
      </c>
      <c r="E5" s="64">
        <v>3</v>
      </c>
      <c r="F5" s="199">
        <f>SUM(G5:L5)</f>
        <v>63233</v>
      </c>
      <c r="G5" s="609">
        <v>62983</v>
      </c>
      <c r="H5" s="84">
        <v>250</v>
      </c>
      <c r="I5" s="85"/>
      <c r="J5" s="306"/>
      <c r="K5" s="85"/>
      <c r="L5" s="86"/>
      <c r="M5" s="199"/>
      <c r="N5" s="418"/>
      <c r="O5" s="428">
        <f t="shared" si="1"/>
        <v>0</v>
      </c>
      <c r="P5" s="850">
        <f>N5</f>
        <v>0</v>
      </c>
      <c r="Q5" s="590">
        <v>76807</v>
      </c>
      <c r="R5" s="546"/>
      <c r="S5" s="517"/>
    </row>
    <row r="6" spans="1:19" s="65" customFormat="1" ht="12">
      <c r="A6" s="61"/>
      <c r="B6" s="62"/>
      <c r="C6" s="62"/>
      <c r="D6" s="63" t="s">
        <v>18</v>
      </c>
      <c r="E6" s="64">
        <v>4</v>
      </c>
      <c r="F6" s="199">
        <f aca="true" t="shared" si="3" ref="F6:F45">SUM(G6:L6)</f>
        <v>4485</v>
      </c>
      <c r="G6" s="609">
        <v>4475</v>
      </c>
      <c r="H6" s="84">
        <v>10</v>
      </c>
      <c r="I6" s="85"/>
      <c r="J6" s="306"/>
      <c r="K6" s="85"/>
      <c r="L6" s="86"/>
      <c r="M6" s="199"/>
      <c r="N6" s="418"/>
      <c r="O6" s="428">
        <f t="shared" si="1"/>
        <v>0</v>
      </c>
      <c r="P6" s="850">
        <f>N6</f>
        <v>0</v>
      </c>
      <c r="Q6" s="590">
        <v>3631</v>
      </c>
      <c r="R6" s="546"/>
      <c r="S6" s="517"/>
    </row>
    <row r="7" spans="1:19" s="65" customFormat="1" ht="12">
      <c r="A7" s="61"/>
      <c r="B7" s="62"/>
      <c r="C7" s="62"/>
      <c r="D7" s="63" t="s">
        <v>19</v>
      </c>
      <c r="E7" s="64">
        <v>5</v>
      </c>
      <c r="F7" s="199">
        <f t="shared" si="3"/>
        <v>22730</v>
      </c>
      <c r="G7" s="609">
        <v>22642</v>
      </c>
      <c r="H7" s="241">
        <v>88</v>
      </c>
      <c r="I7" s="85"/>
      <c r="J7" s="306"/>
      <c r="K7" s="85"/>
      <c r="L7" s="86"/>
      <c r="M7" s="199"/>
      <c r="N7" s="418"/>
      <c r="O7" s="428">
        <f t="shared" si="1"/>
        <v>0</v>
      </c>
      <c r="P7" s="850">
        <f>N7</f>
        <v>0</v>
      </c>
      <c r="Q7" s="590">
        <v>26941</v>
      </c>
      <c r="R7" s="546"/>
      <c r="S7" s="517"/>
    </row>
    <row r="8" spans="1:19" s="65" customFormat="1" ht="12">
      <c r="A8" s="61"/>
      <c r="B8" s="62"/>
      <c r="C8" s="62"/>
      <c r="D8" s="63" t="s">
        <v>20</v>
      </c>
      <c r="E8" s="64">
        <v>6</v>
      </c>
      <c r="F8" s="199">
        <f t="shared" si="3"/>
        <v>5344</v>
      </c>
      <c r="G8" s="609">
        <v>5344</v>
      </c>
      <c r="H8" s="84"/>
      <c r="I8" s="85"/>
      <c r="J8" s="306"/>
      <c r="K8" s="85"/>
      <c r="L8" s="86"/>
      <c r="M8" s="199"/>
      <c r="N8" s="418"/>
      <c r="O8" s="428">
        <f t="shared" si="1"/>
        <v>0</v>
      </c>
      <c r="P8" s="87" t="e">
        <f>N8/titl!$H$17*12</f>
        <v>#DIV/0!</v>
      </c>
      <c r="Q8" s="590">
        <v>4481</v>
      </c>
      <c r="R8" s="546"/>
      <c r="S8" s="517"/>
    </row>
    <row r="9" spans="1:19" s="65" customFormat="1" ht="12">
      <c r="A9" s="61"/>
      <c r="B9" s="62"/>
      <c r="C9" s="62"/>
      <c r="D9" s="63" t="s">
        <v>21</v>
      </c>
      <c r="E9" s="64">
        <v>7</v>
      </c>
      <c r="F9" s="199">
        <f t="shared" si="3"/>
        <v>18549</v>
      </c>
      <c r="G9" s="609">
        <v>18549</v>
      </c>
      <c r="H9" s="84"/>
      <c r="I9" s="85"/>
      <c r="J9" s="306"/>
      <c r="K9" s="85"/>
      <c r="L9" s="86"/>
      <c r="M9" s="199"/>
      <c r="N9" s="418"/>
      <c r="O9" s="428">
        <f t="shared" si="1"/>
        <v>0</v>
      </c>
      <c r="P9" s="87" t="e">
        <f>N9/titl!$H$17*12</f>
        <v>#DIV/0!</v>
      </c>
      <c r="Q9" s="590">
        <v>12023</v>
      </c>
      <c r="R9" s="546"/>
      <c r="S9" s="517"/>
    </row>
    <row r="10" spans="1:19" s="65" customFormat="1" ht="12">
      <c r="A10" s="61"/>
      <c r="B10" s="62"/>
      <c r="C10" s="62"/>
      <c r="D10" s="63" t="s">
        <v>22</v>
      </c>
      <c r="E10" s="64">
        <v>8</v>
      </c>
      <c r="F10" s="199">
        <f t="shared" si="3"/>
        <v>7288</v>
      </c>
      <c r="G10" s="609">
        <v>7283</v>
      </c>
      <c r="H10" s="84">
        <v>5</v>
      </c>
      <c r="I10" s="85"/>
      <c r="J10" s="306"/>
      <c r="K10" s="85"/>
      <c r="L10" s="86"/>
      <c r="M10" s="199"/>
      <c r="N10" s="418"/>
      <c r="O10" s="428">
        <f t="shared" si="1"/>
        <v>0</v>
      </c>
      <c r="P10" s="87" t="e">
        <f>N10/titl!$H$17*12</f>
        <v>#DIV/0!</v>
      </c>
      <c r="Q10" s="590">
        <v>57302</v>
      </c>
      <c r="R10" s="546"/>
      <c r="S10" s="517"/>
    </row>
    <row r="11" spans="1:19" s="65" customFormat="1" ht="12">
      <c r="A11" s="61"/>
      <c r="B11" s="62"/>
      <c r="C11" s="62"/>
      <c r="D11" s="63" t="s">
        <v>23</v>
      </c>
      <c r="E11" s="64">
        <v>9</v>
      </c>
      <c r="F11" s="199">
        <f t="shared" si="3"/>
        <v>35548</v>
      </c>
      <c r="G11" s="609">
        <v>35533</v>
      </c>
      <c r="H11" s="84">
        <v>15</v>
      </c>
      <c r="I11" s="85"/>
      <c r="J11" s="306"/>
      <c r="K11" s="85"/>
      <c r="L11" s="86"/>
      <c r="M11" s="199"/>
      <c r="N11" s="418"/>
      <c r="O11" s="428">
        <f t="shared" si="1"/>
        <v>0</v>
      </c>
      <c r="P11" s="87" t="e">
        <f>N11/titl!$H$17*12</f>
        <v>#DIV/0!</v>
      </c>
      <c r="Q11" s="590">
        <v>38010</v>
      </c>
      <c r="R11" s="546"/>
      <c r="S11" s="517"/>
    </row>
    <row r="12" spans="1:19" s="65" customFormat="1" ht="12">
      <c r="A12" s="61"/>
      <c r="B12" s="62"/>
      <c r="C12" s="62"/>
      <c r="D12" s="63" t="s">
        <v>24</v>
      </c>
      <c r="E12" s="64">
        <v>10</v>
      </c>
      <c r="F12" s="199">
        <f t="shared" si="3"/>
        <v>1787</v>
      </c>
      <c r="G12" s="609">
        <v>1787</v>
      </c>
      <c r="H12" s="84"/>
      <c r="I12" s="85"/>
      <c r="J12" s="306"/>
      <c r="K12" s="85"/>
      <c r="L12" s="86"/>
      <c r="M12" s="199"/>
      <c r="N12" s="418"/>
      <c r="O12" s="428">
        <f t="shared" si="1"/>
        <v>0</v>
      </c>
      <c r="P12" s="87" t="e">
        <f>N12/titl!$H$17*12</f>
        <v>#DIV/0!</v>
      </c>
      <c r="Q12" s="590">
        <v>2084</v>
      </c>
      <c r="R12" s="546"/>
      <c r="S12" s="517"/>
    </row>
    <row r="13" spans="1:19" s="65" customFormat="1" ht="12">
      <c r="A13" s="61"/>
      <c r="B13" s="62"/>
      <c r="C13" s="62"/>
      <c r="D13" s="63" t="s">
        <v>25</v>
      </c>
      <c r="E13" s="64">
        <v>11</v>
      </c>
      <c r="F13" s="199">
        <f t="shared" si="3"/>
        <v>5272</v>
      </c>
      <c r="G13" s="609">
        <v>5272</v>
      </c>
      <c r="H13" s="84"/>
      <c r="I13" s="85"/>
      <c r="J13" s="306"/>
      <c r="K13" s="85"/>
      <c r="L13" s="86"/>
      <c r="M13" s="199"/>
      <c r="N13" s="418"/>
      <c r="O13" s="428">
        <f t="shared" si="1"/>
        <v>0</v>
      </c>
      <c r="P13" s="850">
        <f>N13</f>
        <v>0</v>
      </c>
      <c r="Q13" s="590">
        <v>5278</v>
      </c>
      <c r="R13" s="546"/>
      <c r="S13" s="517"/>
    </row>
    <row r="14" spans="1:19" s="65" customFormat="1" ht="12">
      <c r="A14" s="61"/>
      <c r="B14" s="62"/>
      <c r="C14" s="62"/>
      <c r="D14" s="63" t="s">
        <v>26</v>
      </c>
      <c r="E14" s="64">
        <v>12</v>
      </c>
      <c r="F14" s="199">
        <f t="shared" si="3"/>
        <v>113629</v>
      </c>
      <c r="G14" s="609">
        <v>113629</v>
      </c>
      <c r="H14" s="84"/>
      <c r="I14" s="85"/>
      <c r="J14" s="306"/>
      <c r="K14" s="85"/>
      <c r="L14" s="86"/>
      <c r="M14" s="199"/>
      <c r="N14" s="418"/>
      <c r="O14" s="428">
        <f t="shared" si="1"/>
        <v>0</v>
      </c>
      <c r="P14" s="87" t="e">
        <f>N14/titl!$H$17*12</f>
        <v>#DIV/0!</v>
      </c>
      <c r="Q14" s="590">
        <v>115115</v>
      </c>
      <c r="R14" s="546"/>
      <c r="S14" s="517"/>
    </row>
    <row r="15" spans="1:19" s="65" customFormat="1" ht="12">
      <c r="A15" s="61"/>
      <c r="B15" s="62"/>
      <c r="C15" s="63"/>
      <c r="D15" s="63" t="s">
        <v>27</v>
      </c>
      <c r="E15" s="64">
        <v>13</v>
      </c>
      <c r="F15" s="199">
        <f t="shared" si="3"/>
        <v>36010</v>
      </c>
      <c r="G15" s="609">
        <v>35128</v>
      </c>
      <c r="H15" s="84">
        <v>12</v>
      </c>
      <c r="I15" s="85"/>
      <c r="J15" s="306"/>
      <c r="K15" s="85">
        <v>870</v>
      </c>
      <c r="L15" s="86"/>
      <c r="M15" s="199"/>
      <c r="N15" s="418"/>
      <c r="O15" s="428">
        <f t="shared" si="1"/>
        <v>0</v>
      </c>
      <c r="P15" s="87" t="e">
        <f>N15/titl!$H$17*12</f>
        <v>#DIV/0!</v>
      </c>
      <c r="Q15" s="590">
        <v>85940</v>
      </c>
      <c r="R15" s="546"/>
      <c r="S15" s="517"/>
    </row>
    <row r="16" spans="1:19" s="25" customFormat="1" ht="12">
      <c r="A16" s="21"/>
      <c r="B16" s="30" t="s">
        <v>28</v>
      </c>
      <c r="C16" s="27"/>
      <c r="D16" s="27"/>
      <c r="E16" s="28">
        <v>14</v>
      </c>
      <c r="F16" s="119">
        <f t="shared" si="3"/>
        <v>0</v>
      </c>
      <c r="G16" s="596"/>
      <c r="H16" s="89"/>
      <c r="I16" s="90"/>
      <c r="J16" s="307"/>
      <c r="K16" s="90"/>
      <c r="L16" s="91"/>
      <c r="M16" s="119">
        <f>M30</f>
        <v>0</v>
      </c>
      <c r="N16" s="419"/>
      <c r="O16" s="484">
        <f t="shared" si="1"/>
        <v>0</v>
      </c>
      <c r="P16" s="92">
        <f>P30</f>
        <v>0</v>
      </c>
      <c r="Q16" s="591"/>
      <c r="R16" s="255"/>
      <c r="S16" s="72"/>
    </row>
    <row r="17" spans="1:19" s="25" customFormat="1" ht="12">
      <c r="A17" s="21"/>
      <c r="B17" s="30" t="s">
        <v>30</v>
      </c>
      <c r="C17" s="27"/>
      <c r="D17" s="27"/>
      <c r="E17" s="28">
        <v>15</v>
      </c>
      <c r="F17" s="119">
        <f t="shared" si="3"/>
        <v>0</v>
      </c>
      <c r="G17" s="596"/>
      <c r="H17" s="89"/>
      <c r="I17" s="90"/>
      <c r="J17" s="307"/>
      <c r="K17" s="90"/>
      <c r="L17" s="91"/>
      <c r="M17" s="119">
        <f>M31</f>
        <v>0</v>
      </c>
      <c r="N17" s="419"/>
      <c r="O17" s="484">
        <f t="shared" si="1"/>
        <v>0</v>
      </c>
      <c r="P17" s="92">
        <f>P31</f>
        <v>0</v>
      </c>
      <c r="Q17" s="591">
        <v>1</v>
      </c>
      <c r="R17" s="255"/>
      <c r="S17" s="72"/>
    </row>
    <row r="18" spans="1:19" s="25" customFormat="1" ht="12">
      <c r="A18" s="21"/>
      <c r="B18" s="31" t="s">
        <v>32</v>
      </c>
      <c r="C18" s="32"/>
      <c r="D18" s="32"/>
      <c r="E18" s="33">
        <v>16</v>
      </c>
      <c r="F18" s="119">
        <f t="shared" si="3"/>
        <v>41693</v>
      </c>
      <c r="G18" s="596">
        <v>41693</v>
      </c>
      <c r="H18" s="89"/>
      <c r="I18" s="90"/>
      <c r="J18" s="307"/>
      <c r="K18" s="90"/>
      <c r="L18" s="91"/>
      <c r="M18" s="119">
        <f>M32</f>
        <v>0</v>
      </c>
      <c r="N18" s="419"/>
      <c r="O18" s="484">
        <f t="shared" si="1"/>
        <v>0</v>
      </c>
      <c r="P18" s="92">
        <f>P32</f>
        <v>0</v>
      </c>
      <c r="Q18" s="591">
        <v>28207</v>
      </c>
      <c r="R18" s="255"/>
      <c r="S18" s="72"/>
    </row>
    <row r="19" spans="1:19" s="25" customFormat="1" ht="12">
      <c r="A19" s="21"/>
      <c r="B19" s="31" t="s">
        <v>34</v>
      </c>
      <c r="C19" s="32"/>
      <c r="D19" s="32"/>
      <c r="E19" s="33">
        <v>17</v>
      </c>
      <c r="F19" s="119">
        <f t="shared" si="3"/>
        <v>0</v>
      </c>
      <c r="G19" s="596"/>
      <c r="H19" s="89"/>
      <c r="I19" s="90"/>
      <c r="J19" s="307"/>
      <c r="K19" s="90"/>
      <c r="L19" s="91"/>
      <c r="M19" s="119">
        <f>M33</f>
        <v>0</v>
      </c>
      <c r="N19" s="419"/>
      <c r="O19" s="484">
        <f t="shared" si="1"/>
        <v>0</v>
      </c>
      <c r="P19" s="92">
        <f>P33</f>
        <v>0</v>
      </c>
      <c r="Q19" s="591"/>
      <c r="R19" s="255"/>
      <c r="S19" s="72"/>
    </row>
    <row r="20" spans="1:19" s="25" customFormat="1" ht="12">
      <c r="A20" s="21"/>
      <c r="B20" s="31" t="s">
        <v>36</v>
      </c>
      <c r="C20" s="31"/>
      <c r="D20" s="31"/>
      <c r="E20" s="33">
        <v>18</v>
      </c>
      <c r="F20" s="119">
        <f t="shared" si="3"/>
        <v>0</v>
      </c>
      <c r="G20" s="596"/>
      <c r="H20" s="89"/>
      <c r="I20" s="90"/>
      <c r="J20" s="307"/>
      <c r="K20" s="90"/>
      <c r="L20" s="91"/>
      <c r="M20" s="119">
        <f>M35</f>
        <v>0</v>
      </c>
      <c r="N20" s="419"/>
      <c r="O20" s="484">
        <f t="shared" si="1"/>
        <v>0</v>
      </c>
      <c r="P20" s="92">
        <f>P35</f>
        <v>0</v>
      </c>
      <c r="Q20" s="591">
        <v>2442</v>
      </c>
      <c r="R20" s="255"/>
      <c r="S20" s="72"/>
    </row>
    <row r="21" spans="1:19" s="640" customFormat="1" ht="12">
      <c r="A21" s="628"/>
      <c r="B21" s="629" t="s">
        <v>175</v>
      </c>
      <c r="C21" s="629"/>
      <c r="D21" s="629"/>
      <c r="E21" s="630">
        <v>19</v>
      </c>
      <c r="F21" s="631">
        <f t="shared" si="3"/>
        <v>17018</v>
      </c>
      <c r="G21" s="890">
        <v>17018</v>
      </c>
      <c r="H21" s="644"/>
      <c r="I21" s="645"/>
      <c r="J21" s="646"/>
      <c r="K21" s="645"/>
      <c r="L21" s="647"/>
      <c r="M21" s="631"/>
      <c r="N21" s="637"/>
      <c r="O21" s="725">
        <f aca="true" t="shared" si="4" ref="O21:O28">IF(F21=0,0,N21/F21)</f>
        <v>0</v>
      </c>
      <c r="P21" s="631">
        <f>N21</f>
        <v>0</v>
      </c>
      <c r="Q21" s="591">
        <v>5400</v>
      </c>
      <c r="R21" s="252"/>
      <c r="S21" s="51"/>
    </row>
    <row r="22" spans="1:19" s="25" customFormat="1" ht="12">
      <c r="A22" s="21"/>
      <c r="B22" s="31" t="s">
        <v>40</v>
      </c>
      <c r="C22" s="31"/>
      <c r="D22" s="31"/>
      <c r="E22" s="33">
        <v>20</v>
      </c>
      <c r="F22" s="119">
        <f t="shared" si="3"/>
        <v>2591</v>
      </c>
      <c r="G22" s="596">
        <v>2591</v>
      </c>
      <c r="H22" s="89"/>
      <c r="I22" s="90"/>
      <c r="J22" s="307"/>
      <c r="K22" s="90"/>
      <c r="L22" s="91"/>
      <c r="M22" s="119"/>
      <c r="N22" s="419"/>
      <c r="O22" s="484">
        <f t="shared" si="4"/>
        <v>0</v>
      </c>
      <c r="P22" s="92">
        <f>P37</f>
        <v>0</v>
      </c>
      <c r="Q22" s="591">
        <v>3329</v>
      </c>
      <c r="R22" s="255"/>
      <c r="S22" s="72"/>
    </row>
    <row r="23" spans="1:19" s="25" customFormat="1" ht="12">
      <c r="A23" s="21"/>
      <c r="B23" s="31" t="s">
        <v>42</v>
      </c>
      <c r="C23" s="31"/>
      <c r="D23" s="31"/>
      <c r="E23" s="33">
        <v>21</v>
      </c>
      <c r="F23" s="119">
        <f t="shared" si="3"/>
        <v>0</v>
      </c>
      <c r="G23" s="596"/>
      <c r="H23" s="89"/>
      <c r="I23" s="90"/>
      <c r="J23" s="307"/>
      <c r="K23" s="90"/>
      <c r="L23" s="91"/>
      <c r="M23" s="119"/>
      <c r="N23" s="419"/>
      <c r="O23" s="484">
        <f t="shared" si="4"/>
        <v>0</v>
      </c>
      <c r="P23" s="92">
        <f>P39</f>
        <v>0</v>
      </c>
      <c r="Q23" s="591"/>
      <c r="R23" s="255"/>
      <c r="S23" s="72"/>
    </row>
    <row r="24" spans="1:19" s="25" customFormat="1" ht="12">
      <c r="A24" s="21"/>
      <c r="B24" s="31" t="s">
        <v>43</v>
      </c>
      <c r="C24" s="31"/>
      <c r="D24" s="31"/>
      <c r="E24" s="33">
        <v>22</v>
      </c>
      <c r="F24" s="119">
        <f t="shared" si="3"/>
        <v>1890</v>
      </c>
      <c r="G24" s="596">
        <v>1890</v>
      </c>
      <c r="H24" s="89"/>
      <c r="I24" s="90"/>
      <c r="J24" s="307"/>
      <c r="K24" s="90"/>
      <c r="L24" s="91"/>
      <c r="M24" s="119">
        <f>M40</f>
        <v>0</v>
      </c>
      <c r="N24" s="419"/>
      <c r="O24" s="484">
        <f t="shared" si="4"/>
        <v>0</v>
      </c>
      <c r="P24" s="92">
        <f>P40</f>
        <v>0</v>
      </c>
      <c r="Q24" s="591">
        <v>2918</v>
      </c>
      <c r="R24" s="255"/>
      <c r="S24" s="72"/>
    </row>
    <row r="25" spans="1:19" s="640" customFormat="1" ht="12">
      <c r="A25" s="628"/>
      <c r="B25" s="629" t="s">
        <v>186</v>
      </c>
      <c r="C25" s="629"/>
      <c r="D25" s="629"/>
      <c r="E25" s="630">
        <v>23</v>
      </c>
      <c r="F25" s="631">
        <f t="shared" si="3"/>
        <v>0</v>
      </c>
      <c r="G25" s="643"/>
      <c r="H25" s="644"/>
      <c r="I25" s="645"/>
      <c r="J25" s="646"/>
      <c r="K25" s="645"/>
      <c r="L25" s="647"/>
      <c r="M25" s="631"/>
      <c r="N25" s="637"/>
      <c r="O25" s="725">
        <f t="shared" si="4"/>
        <v>0</v>
      </c>
      <c r="P25" s="631">
        <f>P41</f>
        <v>0</v>
      </c>
      <c r="Q25" s="591">
        <v>13647</v>
      </c>
      <c r="R25" s="252"/>
      <c r="S25" s="51"/>
    </row>
    <row r="26" spans="1:19" s="25" customFormat="1" ht="12">
      <c r="A26" s="21"/>
      <c r="B26" s="31" t="s">
        <v>45</v>
      </c>
      <c r="C26" s="31"/>
      <c r="D26" s="31"/>
      <c r="E26" s="33">
        <v>24</v>
      </c>
      <c r="F26" s="119">
        <f t="shared" si="3"/>
        <v>0</v>
      </c>
      <c r="G26" s="596"/>
      <c r="H26" s="89"/>
      <c r="I26" s="90"/>
      <c r="J26" s="307"/>
      <c r="K26" s="90"/>
      <c r="L26" s="91"/>
      <c r="M26" s="119"/>
      <c r="N26" s="419"/>
      <c r="O26" s="484">
        <f t="shared" si="4"/>
        <v>0</v>
      </c>
      <c r="P26" s="92">
        <f>P42</f>
        <v>0</v>
      </c>
      <c r="Q26" s="591">
        <v>108</v>
      </c>
      <c r="R26" s="255"/>
      <c r="S26" s="72"/>
    </row>
    <row r="27" spans="1:19" s="25" customFormat="1" ht="12.75" thickBot="1">
      <c r="A27" s="21"/>
      <c r="B27" s="30" t="s">
        <v>47</v>
      </c>
      <c r="C27" s="30"/>
      <c r="D27" s="30"/>
      <c r="E27" s="28">
        <v>25</v>
      </c>
      <c r="F27" s="119">
        <f t="shared" si="3"/>
        <v>606</v>
      </c>
      <c r="G27" s="596">
        <v>606</v>
      </c>
      <c r="H27" s="89"/>
      <c r="I27" s="90"/>
      <c r="J27" s="307"/>
      <c r="K27" s="90"/>
      <c r="L27" s="91"/>
      <c r="M27" s="119"/>
      <c r="N27" s="419"/>
      <c r="O27" s="484">
        <f t="shared" si="4"/>
        <v>0</v>
      </c>
      <c r="P27" s="92" t="e">
        <f>N27/titl!$H$17*12</f>
        <v>#DIV/0!</v>
      </c>
      <c r="Q27" s="591">
        <v>939</v>
      </c>
      <c r="R27" s="255"/>
      <c r="S27" s="72"/>
    </row>
    <row r="28" spans="1:17" ht="13.5" thickBot="1">
      <c r="A28" s="37" t="s">
        <v>49</v>
      </c>
      <c r="B28" s="38"/>
      <c r="C28" s="38"/>
      <c r="D28" s="38"/>
      <c r="E28" s="19">
        <v>26</v>
      </c>
      <c r="F28" s="197">
        <f>SUM(F29:F45)</f>
        <v>386094</v>
      </c>
      <c r="G28" s="597">
        <f aca="true" t="shared" si="5" ref="G28:N28">SUM(G29:G45)</f>
        <v>384844</v>
      </c>
      <c r="H28" s="125">
        <f t="shared" si="5"/>
        <v>380</v>
      </c>
      <c r="I28" s="77">
        <f t="shared" si="5"/>
        <v>0</v>
      </c>
      <c r="J28" s="304">
        <f t="shared" si="5"/>
        <v>0</v>
      </c>
      <c r="K28" s="77">
        <f t="shared" si="5"/>
        <v>870</v>
      </c>
      <c r="L28" s="76">
        <f t="shared" si="5"/>
        <v>0</v>
      </c>
      <c r="M28" s="197">
        <f>SUM(M29:M45)</f>
        <v>0</v>
      </c>
      <c r="N28" s="471">
        <f t="shared" si="5"/>
        <v>0</v>
      </c>
      <c r="O28" s="413">
        <f t="shared" si="4"/>
        <v>0</v>
      </c>
      <c r="P28" s="78" t="e">
        <f>SUM(P29:P45)</f>
        <v>#DIV/0!</v>
      </c>
      <c r="Q28" s="588">
        <f>SUM(Q29:Q45)</f>
        <v>501899</v>
      </c>
    </row>
    <row r="29" spans="1:19" s="25" customFormat="1" ht="12">
      <c r="A29" s="21" t="s">
        <v>14</v>
      </c>
      <c r="B29" s="27" t="s">
        <v>50</v>
      </c>
      <c r="C29" s="27"/>
      <c r="D29" s="27"/>
      <c r="E29" s="28">
        <v>27</v>
      </c>
      <c r="F29" s="119">
        <f t="shared" si="3"/>
        <v>180091</v>
      </c>
      <c r="G29" s="594">
        <v>180091</v>
      </c>
      <c r="H29" s="112"/>
      <c r="I29" s="81"/>
      <c r="J29" s="305"/>
      <c r="K29" s="81"/>
      <c r="L29" s="80"/>
      <c r="M29" s="198"/>
      <c r="N29" s="417"/>
      <c r="O29" s="414">
        <f aca="true" t="shared" si="6" ref="O29:O35">IF(F29=0,0,N29/F29)</f>
        <v>0</v>
      </c>
      <c r="P29" s="82">
        <f>M29</f>
        <v>0</v>
      </c>
      <c r="Q29" s="589">
        <v>277080</v>
      </c>
      <c r="R29" s="255">
        <v>238538</v>
      </c>
      <c r="S29" s="72"/>
    </row>
    <row r="30" spans="1:19" s="25" customFormat="1" ht="12">
      <c r="A30" s="21"/>
      <c r="B30" s="30" t="s">
        <v>28</v>
      </c>
      <c r="C30" s="30"/>
      <c r="D30" s="30"/>
      <c r="E30" s="28">
        <v>28</v>
      </c>
      <c r="F30" s="119">
        <f t="shared" si="3"/>
        <v>0</v>
      </c>
      <c r="G30" s="499"/>
      <c r="H30" s="126"/>
      <c r="I30" s="95"/>
      <c r="J30" s="308"/>
      <c r="K30" s="95"/>
      <c r="L30" s="94"/>
      <c r="M30" s="472"/>
      <c r="N30" s="420"/>
      <c r="O30" s="414">
        <f t="shared" si="6"/>
        <v>0</v>
      </c>
      <c r="P30" s="96">
        <f>F30</f>
        <v>0</v>
      </c>
      <c r="Q30" s="519"/>
      <c r="R30" s="255"/>
      <c r="S30" s="72"/>
    </row>
    <row r="31" spans="1:19" s="25" customFormat="1" ht="12">
      <c r="A31" s="21"/>
      <c r="B31" s="30" t="s">
        <v>30</v>
      </c>
      <c r="C31" s="30"/>
      <c r="D31" s="30"/>
      <c r="E31" s="28">
        <v>29</v>
      </c>
      <c r="F31" s="119">
        <f t="shared" si="3"/>
        <v>0</v>
      </c>
      <c r="G31" s="499"/>
      <c r="H31" s="126"/>
      <c r="I31" s="95"/>
      <c r="J31" s="308"/>
      <c r="K31" s="95"/>
      <c r="L31" s="94"/>
      <c r="M31" s="472"/>
      <c r="N31" s="420"/>
      <c r="O31" s="414">
        <f t="shared" si="6"/>
        <v>0</v>
      </c>
      <c r="P31" s="96">
        <f>M31</f>
        <v>0</v>
      </c>
      <c r="Q31" s="519">
        <f>Q17</f>
        <v>1</v>
      </c>
      <c r="R31" s="255"/>
      <c r="S31" s="72"/>
    </row>
    <row r="32" spans="1:19" s="25" customFormat="1" ht="12">
      <c r="A32" s="21"/>
      <c r="B32" s="31" t="s">
        <v>32</v>
      </c>
      <c r="C32" s="32"/>
      <c r="D32" s="32"/>
      <c r="E32" s="33">
        <v>30</v>
      </c>
      <c r="F32" s="119">
        <f t="shared" si="3"/>
        <v>41693</v>
      </c>
      <c r="G32" s="499">
        <f>G18</f>
        <v>41693</v>
      </c>
      <c r="H32" s="126"/>
      <c r="I32" s="95"/>
      <c r="J32" s="308"/>
      <c r="K32" s="95"/>
      <c r="L32" s="94"/>
      <c r="M32" s="472"/>
      <c r="N32" s="420"/>
      <c r="O32" s="414">
        <f t="shared" si="6"/>
        <v>0</v>
      </c>
      <c r="P32" s="96">
        <f>M32</f>
        <v>0</v>
      </c>
      <c r="Q32" s="519">
        <f>Q18</f>
        <v>28207</v>
      </c>
      <c r="R32" s="255"/>
      <c r="S32" s="72"/>
    </row>
    <row r="33" spans="1:19" s="25" customFormat="1" ht="12">
      <c r="A33" s="21"/>
      <c r="B33" s="31" t="s">
        <v>34</v>
      </c>
      <c r="C33" s="31"/>
      <c r="D33" s="31"/>
      <c r="E33" s="33">
        <v>31</v>
      </c>
      <c r="F33" s="119">
        <f t="shared" si="3"/>
        <v>0</v>
      </c>
      <c r="G33" s="499"/>
      <c r="H33" s="126"/>
      <c r="I33" s="95"/>
      <c r="J33" s="308"/>
      <c r="K33" s="95"/>
      <c r="L33" s="94"/>
      <c r="M33" s="472"/>
      <c r="N33" s="420"/>
      <c r="O33" s="414">
        <f t="shared" si="6"/>
        <v>0</v>
      </c>
      <c r="P33" s="96">
        <f>F33</f>
        <v>0</v>
      </c>
      <c r="Q33" s="519">
        <f>Q19</f>
        <v>0</v>
      </c>
      <c r="R33" s="255"/>
      <c r="S33" s="72"/>
    </row>
    <row r="34" spans="1:19" s="25" customFormat="1" ht="12">
      <c r="A34" s="21"/>
      <c r="B34" s="31" t="s">
        <v>52</v>
      </c>
      <c r="C34" s="31"/>
      <c r="D34" s="31"/>
      <c r="E34" s="33">
        <v>32</v>
      </c>
      <c r="F34" s="119">
        <f t="shared" si="3"/>
        <v>112334</v>
      </c>
      <c r="G34" s="499">
        <v>112334</v>
      </c>
      <c r="H34" s="126"/>
      <c r="I34" s="95"/>
      <c r="J34" s="308"/>
      <c r="K34" s="95"/>
      <c r="L34" s="94"/>
      <c r="M34" s="472"/>
      <c r="N34" s="420"/>
      <c r="O34" s="414">
        <f t="shared" si="6"/>
        <v>0</v>
      </c>
      <c r="P34" s="96">
        <f>M34</f>
        <v>0</v>
      </c>
      <c r="Q34" s="519">
        <v>114199</v>
      </c>
      <c r="R34" s="255"/>
      <c r="S34" s="72"/>
    </row>
    <row r="35" spans="1:19" s="25" customFormat="1" ht="12">
      <c r="A35" s="21"/>
      <c r="B35" s="31" t="s">
        <v>36</v>
      </c>
      <c r="C35" s="31"/>
      <c r="D35" s="31"/>
      <c r="E35" s="33">
        <v>33</v>
      </c>
      <c r="F35" s="119">
        <f t="shared" si="3"/>
        <v>0</v>
      </c>
      <c r="G35" s="499"/>
      <c r="H35" s="126"/>
      <c r="I35" s="95"/>
      <c r="J35" s="308"/>
      <c r="K35" s="95"/>
      <c r="L35" s="94"/>
      <c r="M35" s="472"/>
      <c r="N35" s="524"/>
      <c r="O35" s="414">
        <f t="shared" si="6"/>
        <v>0</v>
      </c>
      <c r="P35" s="96">
        <f>M35</f>
        <v>0</v>
      </c>
      <c r="Q35" s="519">
        <f>Q20</f>
        <v>2442</v>
      </c>
      <c r="R35" s="255"/>
      <c r="S35" s="72"/>
    </row>
    <row r="36" spans="1:19" s="640" customFormat="1" ht="12">
      <c r="A36" s="628"/>
      <c r="B36" s="629" t="s">
        <v>175</v>
      </c>
      <c r="C36" s="629"/>
      <c r="D36" s="629"/>
      <c r="E36" s="630">
        <v>34</v>
      </c>
      <c r="F36" s="631">
        <f t="shared" si="3"/>
        <v>17018</v>
      </c>
      <c r="G36" s="649">
        <f>G21</f>
        <v>17018</v>
      </c>
      <c r="H36" s="633"/>
      <c r="I36" s="634"/>
      <c r="J36" s="635"/>
      <c r="K36" s="634"/>
      <c r="L36" s="636"/>
      <c r="M36" s="632"/>
      <c r="N36" s="641"/>
      <c r="O36" s="734">
        <f aca="true" t="shared" si="7" ref="O36:O45">IF(F36=0,0,N36/F36)</f>
        <v>0</v>
      </c>
      <c r="P36" s="632">
        <f>P21</f>
        <v>0</v>
      </c>
      <c r="Q36" s="519">
        <f>Q21</f>
        <v>5400</v>
      </c>
      <c r="R36" s="252"/>
      <c r="S36" s="51"/>
    </row>
    <row r="37" spans="1:19" s="25" customFormat="1" ht="12">
      <c r="A37" s="21"/>
      <c r="B37" s="31" t="s">
        <v>54</v>
      </c>
      <c r="C37" s="31"/>
      <c r="D37" s="31"/>
      <c r="E37" s="33">
        <v>35</v>
      </c>
      <c r="F37" s="119">
        <f t="shared" si="3"/>
        <v>2591</v>
      </c>
      <c r="G37" s="499">
        <f>G22</f>
        <v>2591</v>
      </c>
      <c r="H37" s="126"/>
      <c r="I37" s="95"/>
      <c r="J37" s="308"/>
      <c r="K37" s="95"/>
      <c r="L37" s="94"/>
      <c r="M37" s="472"/>
      <c r="N37" s="420"/>
      <c r="O37" s="414">
        <f t="shared" si="7"/>
        <v>0</v>
      </c>
      <c r="P37" s="96">
        <f>N37</f>
        <v>0</v>
      </c>
      <c r="Q37" s="519">
        <f>Q22</f>
        <v>3329</v>
      </c>
      <c r="R37" s="255"/>
      <c r="S37" s="72"/>
    </row>
    <row r="38" spans="1:19" s="25" customFormat="1" ht="12">
      <c r="A38" s="21"/>
      <c r="B38" s="31" t="s">
        <v>170</v>
      </c>
      <c r="C38" s="31"/>
      <c r="D38" s="31"/>
      <c r="E38" s="33">
        <v>36</v>
      </c>
      <c r="F38" s="119">
        <f t="shared" si="3"/>
        <v>312</v>
      </c>
      <c r="G38" s="499">
        <v>312</v>
      </c>
      <c r="H38" s="126"/>
      <c r="I38" s="95"/>
      <c r="J38" s="308"/>
      <c r="K38" s="95"/>
      <c r="L38" s="94"/>
      <c r="M38" s="472"/>
      <c r="N38" s="420"/>
      <c r="O38" s="414">
        <f t="shared" si="7"/>
        <v>0</v>
      </c>
      <c r="P38" s="96">
        <f>M38</f>
        <v>0</v>
      </c>
      <c r="Q38" s="519">
        <v>283</v>
      </c>
      <c r="R38" s="255"/>
      <c r="S38" s="72"/>
    </row>
    <row r="39" spans="1:19" s="25" customFormat="1" ht="12">
      <c r="A39" s="21"/>
      <c r="B39" s="31" t="s">
        <v>56</v>
      </c>
      <c r="C39" s="31"/>
      <c r="D39" s="31"/>
      <c r="E39" s="33">
        <v>37</v>
      </c>
      <c r="F39" s="119">
        <f t="shared" si="3"/>
        <v>0</v>
      </c>
      <c r="G39" s="499"/>
      <c r="H39" s="126"/>
      <c r="I39" s="95"/>
      <c r="J39" s="308"/>
      <c r="K39" s="95"/>
      <c r="L39" s="94"/>
      <c r="M39" s="472"/>
      <c r="N39" s="420"/>
      <c r="O39" s="414">
        <f t="shared" si="7"/>
        <v>0</v>
      </c>
      <c r="P39" s="96">
        <f>F39</f>
        <v>0</v>
      </c>
      <c r="Q39" s="519"/>
      <c r="R39" s="255"/>
      <c r="S39" s="72"/>
    </row>
    <row r="40" spans="1:19" s="25" customFormat="1" ht="12">
      <c r="A40" s="21"/>
      <c r="B40" s="31" t="s">
        <v>57</v>
      </c>
      <c r="C40" s="31"/>
      <c r="D40" s="31"/>
      <c r="E40" s="33">
        <v>38</v>
      </c>
      <c r="F40" s="119">
        <f t="shared" si="3"/>
        <v>1890</v>
      </c>
      <c r="G40" s="499">
        <f>G24</f>
        <v>1890</v>
      </c>
      <c r="H40" s="126"/>
      <c r="I40" s="95"/>
      <c r="J40" s="308"/>
      <c r="K40" s="95"/>
      <c r="L40" s="94"/>
      <c r="M40" s="472"/>
      <c r="N40" s="420"/>
      <c r="O40" s="414">
        <f t="shared" si="7"/>
        <v>0</v>
      </c>
      <c r="P40" s="96">
        <f>M40</f>
        <v>0</v>
      </c>
      <c r="Q40" s="519">
        <f>Q24</f>
        <v>2918</v>
      </c>
      <c r="R40" s="255"/>
      <c r="S40" s="72"/>
    </row>
    <row r="41" spans="1:19" s="640" customFormat="1" ht="12">
      <c r="A41" s="628"/>
      <c r="B41" s="629" t="s">
        <v>186</v>
      </c>
      <c r="C41" s="629"/>
      <c r="D41" s="629"/>
      <c r="E41" s="630">
        <v>39</v>
      </c>
      <c r="F41" s="631">
        <f t="shared" si="3"/>
        <v>0</v>
      </c>
      <c r="G41" s="649"/>
      <c r="H41" s="633"/>
      <c r="I41" s="634"/>
      <c r="J41" s="635"/>
      <c r="K41" s="634"/>
      <c r="L41" s="636"/>
      <c r="M41" s="632"/>
      <c r="N41" s="641"/>
      <c r="O41" s="734">
        <f t="shared" si="7"/>
        <v>0</v>
      </c>
      <c r="P41" s="632">
        <f>F41</f>
        <v>0</v>
      </c>
      <c r="Q41" s="519">
        <f>Q25</f>
        <v>13647</v>
      </c>
      <c r="R41" s="252"/>
      <c r="S41" s="51"/>
    </row>
    <row r="42" spans="1:19" s="25" customFormat="1" ht="12">
      <c r="A42" s="21"/>
      <c r="B42" s="31" t="s">
        <v>58</v>
      </c>
      <c r="C42" s="31"/>
      <c r="D42" s="31"/>
      <c r="E42" s="33">
        <v>40</v>
      </c>
      <c r="F42" s="119">
        <f t="shared" si="3"/>
        <v>0</v>
      </c>
      <c r="G42" s="499"/>
      <c r="H42" s="126"/>
      <c r="I42" s="95"/>
      <c r="J42" s="308"/>
      <c r="K42" s="95"/>
      <c r="L42" s="94"/>
      <c r="M42" s="472"/>
      <c r="N42" s="420"/>
      <c r="O42" s="414">
        <f t="shared" si="7"/>
        <v>0</v>
      </c>
      <c r="P42" s="96">
        <f>N42</f>
        <v>0</v>
      </c>
      <c r="Q42" s="519">
        <f>Q26</f>
        <v>108</v>
      </c>
      <c r="R42" s="255"/>
      <c r="S42" s="72"/>
    </row>
    <row r="43" spans="1:19" s="25" customFormat="1" ht="12">
      <c r="A43" s="21"/>
      <c r="B43" s="31" t="s">
        <v>59</v>
      </c>
      <c r="C43" s="31"/>
      <c r="D43" s="31"/>
      <c r="E43" s="33">
        <v>41</v>
      </c>
      <c r="F43" s="119">
        <f t="shared" si="3"/>
        <v>28225</v>
      </c>
      <c r="G43" s="499">
        <v>28225</v>
      </c>
      <c r="H43" s="126"/>
      <c r="I43" s="95"/>
      <c r="J43" s="308"/>
      <c r="K43" s="95"/>
      <c r="L43" s="94"/>
      <c r="M43" s="472"/>
      <c r="N43" s="420"/>
      <c r="O43" s="414">
        <f t="shared" si="7"/>
        <v>0</v>
      </c>
      <c r="P43" s="96" t="e">
        <f>N43/titl!H17*12</f>
        <v>#DIV/0!</v>
      </c>
      <c r="Q43" s="519">
        <v>40469</v>
      </c>
      <c r="R43" s="255"/>
      <c r="S43" s="72"/>
    </row>
    <row r="44" spans="1:19" s="25" customFormat="1" ht="12">
      <c r="A44" s="21"/>
      <c r="B44" s="31" t="s">
        <v>60</v>
      </c>
      <c r="C44" s="31"/>
      <c r="D44" s="31"/>
      <c r="E44" s="33">
        <v>42</v>
      </c>
      <c r="F44" s="119">
        <f t="shared" si="3"/>
        <v>1250</v>
      </c>
      <c r="G44" s="612"/>
      <c r="H44" s="126">
        <f>H3</f>
        <v>380</v>
      </c>
      <c r="I44" s="95"/>
      <c r="J44" s="308"/>
      <c r="K44" s="95">
        <f>K3</f>
        <v>870</v>
      </c>
      <c r="L44" s="94"/>
      <c r="M44" s="472"/>
      <c r="N44" s="420"/>
      <c r="O44" s="414">
        <f t="shared" si="7"/>
        <v>0</v>
      </c>
      <c r="P44" s="96">
        <f>N44</f>
        <v>0</v>
      </c>
      <c r="Q44" s="519">
        <v>10595</v>
      </c>
      <c r="R44" s="255"/>
      <c r="S44" s="255">
        <v>1805</v>
      </c>
    </row>
    <row r="45" spans="1:19" s="25" customFormat="1" ht="12.75" thickBot="1">
      <c r="A45" s="40"/>
      <c r="B45" s="41" t="s">
        <v>47</v>
      </c>
      <c r="C45" s="41"/>
      <c r="D45" s="41"/>
      <c r="E45" s="42">
        <v>43</v>
      </c>
      <c r="F45" s="200">
        <f t="shared" si="3"/>
        <v>690</v>
      </c>
      <c r="G45" s="500">
        <v>690</v>
      </c>
      <c r="H45" s="174"/>
      <c r="I45" s="99"/>
      <c r="J45" s="309"/>
      <c r="K45" s="99"/>
      <c r="L45" s="98"/>
      <c r="M45" s="200"/>
      <c r="N45" s="421"/>
      <c r="O45" s="415">
        <f t="shared" si="7"/>
        <v>0</v>
      </c>
      <c r="P45" s="92" t="e">
        <f>N45/titl!$H$17*12</f>
        <v>#DIV/0!</v>
      </c>
      <c r="Q45" s="592">
        <v>3221</v>
      </c>
      <c r="R45" s="255"/>
      <c r="S45" s="72"/>
    </row>
    <row r="46" spans="1:19" s="25" customFormat="1" ht="12.75" hidden="1" thickBot="1">
      <c r="A46" s="44" t="s">
        <v>61</v>
      </c>
      <c r="B46" s="45"/>
      <c r="C46" s="45"/>
      <c r="D46" s="45"/>
      <c r="E46" s="28">
        <v>44</v>
      </c>
      <c r="F46" s="201">
        <f>F29+F34+F38+F43+F44+F45-F4-F27</f>
        <v>8421</v>
      </c>
      <c r="G46" s="613">
        <f>G29+G34+G38+G43+G45-G4-G27</f>
        <v>8421</v>
      </c>
      <c r="H46" s="102">
        <f>H29+H34+H38+H43+H44+H45-H4-H27</f>
        <v>0</v>
      </c>
      <c r="I46" s="102">
        <f>I29+I34+I38+I43+I44+I45-I4-I27</f>
        <v>0</v>
      </c>
      <c r="J46" s="102">
        <f>J29+J34+J38+J43+J44+J45-J4-J27</f>
        <v>0</v>
      </c>
      <c r="K46" s="320"/>
      <c r="L46" s="102">
        <f>L29+L34+L38+L43+L44+L45-L4-L27</f>
        <v>0</v>
      </c>
      <c r="M46" s="201">
        <f>M29+M34+M38+M43+M44+M45+-M4-M27</f>
        <v>0</v>
      </c>
      <c r="N46" s="419">
        <f>N29+N34+N38+N43+N44+N45-N4-N27</f>
        <v>0</v>
      </c>
      <c r="O46" s="416"/>
      <c r="P46" s="103" t="e">
        <f>P29+P34+P38+P43+P44+P45-P4-P27</f>
        <v>#DIV/0!</v>
      </c>
      <c r="Q46" s="593">
        <f>Q29+Q34+Q38+Q43+Q44+Q45-Q4-Q27</f>
        <v>17296</v>
      </c>
      <c r="R46" s="255"/>
      <c r="S46" s="72"/>
    </row>
    <row r="47" spans="1:17" ht="13.5" thickBot="1">
      <c r="A47" s="37" t="s">
        <v>62</v>
      </c>
      <c r="B47" s="38"/>
      <c r="C47" s="38"/>
      <c r="D47" s="38"/>
      <c r="E47" s="19">
        <v>45</v>
      </c>
      <c r="F47" s="197">
        <f>F28-F3</f>
        <v>8421</v>
      </c>
      <c r="G47" s="597">
        <f aca="true" t="shared" si="8" ref="G47:N47">G28-G3</f>
        <v>8421</v>
      </c>
      <c r="H47" s="125">
        <f t="shared" si="8"/>
        <v>0</v>
      </c>
      <c r="I47" s="77">
        <f t="shared" si="8"/>
        <v>0</v>
      </c>
      <c r="J47" s="304">
        <f t="shared" si="8"/>
        <v>0</v>
      </c>
      <c r="K47" s="77">
        <f t="shared" si="8"/>
        <v>0</v>
      </c>
      <c r="L47" s="76">
        <f t="shared" si="8"/>
        <v>0</v>
      </c>
      <c r="M47" s="197"/>
      <c r="N47" s="471">
        <f t="shared" si="8"/>
        <v>0</v>
      </c>
      <c r="O47" s="413"/>
      <c r="P47" s="78" t="e">
        <f>P28-P3</f>
        <v>#DIV/0!</v>
      </c>
      <c r="Q47" s="588">
        <f>Q28-Q3</f>
        <v>17296</v>
      </c>
    </row>
    <row r="48" spans="1:5" ht="12.75">
      <c r="A48" s="47"/>
      <c r="B48" s="47"/>
      <c r="C48" s="47"/>
      <c r="D48" s="47"/>
      <c r="E48" s="48"/>
    </row>
    <row r="49" spans="5:19" s="47" customFormat="1" ht="11.25">
      <c r="E49" s="48"/>
      <c r="G49" s="59"/>
      <c r="H49" s="59"/>
      <c r="I49" s="59"/>
      <c r="J49" s="1058"/>
      <c r="K49" s="1058"/>
      <c r="L49" s="1058"/>
      <c r="M49" s="240"/>
      <c r="N49" s="874"/>
      <c r="O49" s="401"/>
      <c r="P49" s="401"/>
      <c r="Q49" s="255"/>
      <c r="R49" s="255"/>
      <c r="S49" s="72"/>
    </row>
    <row r="50" spans="1:19" s="47" customFormat="1" ht="11.25">
      <c r="A50" s="51" t="s">
        <v>166</v>
      </c>
      <c r="E50" s="48"/>
      <c r="F50" s="202"/>
      <c r="G50" s="59"/>
      <c r="I50" s="537"/>
      <c r="L50" s="59"/>
      <c r="M50" s="59"/>
      <c r="N50" s="59"/>
      <c r="O50" s="401"/>
      <c r="P50" s="401"/>
      <c r="Q50" s="255"/>
      <c r="R50" s="255"/>
      <c r="S50" s="72"/>
    </row>
    <row r="51" spans="5:19" s="51" customFormat="1" ht="11.25">
      <c r="E51" s="53"/>
      <c r="G51" s="72"/>
      <c r="H51" s="72"/>
      <c r="I51" s="72"/>
      <c r="J51" s="72"/>
      <c r="K51" s="72"/>
      <c r="L51" s="72"/>
      <c r="M51" s="72"/>
      <c r="N51" s="72"/>
      <c r="O51" s="401"/>
      <c r="P51" s="401"/>
      <c r="Q51" s="255"/>
      <c r="R51" s="255"/>
      <c r="S51" s="72"/>
    </row>
    <row r="52" spans="5:19" s="51" customFormat="1" ht="11.25">
      <c r="E52" s="53"/>
      <c r="G52" s="72"/>
      <c r="H52" s="72"/>
      <c r="I52" s="72"/>
      <c r="J52" s="72"/>
      <c r="K52" s="72"/>
      <c r="L52" s="72"/>
      <c r="M52" s="72"/>
      <c r="N52" s="72"/>
      <c r="O52" s="401"/>
      <c r="P52" s="401"/>
      <c r="Q52" s="255"/>
      <c r="R52" s="255"/>
      <c r="S52" s="72"/>
    </row>
    <row r="53" spans="5:19" s="51" customFormat="1" ht="11.25">
      <c r="E53" s="53"/>
      <c r="G53" s="72"/>
      <c r="H53" s="72"/>
      <c r="I53" s="72"/>
      <c r="J53" s="72"/>
      <c r="K53" s="72"/>
      <c r="L53" s="72"/>
      <c r="M53" s="72"/>
      <c r="N53" s="72"/>
      <c r="O53" s="401"/>
      <c r="P53" s="401"/>
      <c r="Q53" s="255"/>
      <c r="R53" s="255"/>
      <c r="S53" s="72"/>
    </row>
    <row r="54" spans="1:19" s="47" customFormat="1" ht="11.25">
      <c r="A54" s="51"/>
      <c r="B54" s="51"/>
      <c r="C54" s="51"/>
      <c r="D54" s="51"/>
      <c r="E54" s="48"/>
      <c r="G54" s="59"/>
      <c r="H54" s="59"/>
      <c r="I54" s="59"/>
      <c r="J54" s="59"/>
      <c r="K54" s="59"/>
      <c r="L54" s="59"/>
      <c r="M54" s="59"/>
      <c r="N54" s="59"/>
      <c r="O54" s="401"/>
      <c r="P54" s="401"/>
      <c r="Q54" s="255"/>
      <c r="R54" s="255"/>
      <c r="S54" s="72"/>
    </row>
    <row r="55" spans="1:19" s="59" customFormat="1" ht="11.25">
      <c r="A55" s="51"/>
      <c r="B55" s="51"/>
      <c r="C55" s="51"/>
      <c r="D55" s="51"/>
      <c r="E55" s="57"/>
      <c r="F55" s="47"/>
      <c r="O55" s="401"/>
      <c r="P55" s="401"/>
      <c r="Q55" s="255"/>
      <c r="R55" s="255"/>
      <c r="S55" s="72"/>
    </row>
    <row r="56" spans="1:19" s="59" customFormat="1" ht="11.25">
      <c r="A56" s="51"/>
      <c r="B56" s="51"/>
      <c r="C56" s="51"/>
      <c r="D56" s="51"/>
      <c r="E56" s="57"/>
      <c r="F56" s="47"/>
      <c r="O56" s="401"/>
      <c r="P56" s="401"/>
      <c r="Q56" s="255"/>
      <c r="R56" s="255"/>
      <c r="S56" s="72"/>
    </row>
    <row r="57" spans="1:19" s="59" customFormat="1" ht="11.25">
      <c r="A57" s="51"/>
      <c r="B57" s="51"/>
      <c r="C57" s="51"/>
      <c r="D57" s="51"/>
      <c r="E57" s="57"/>
      <c r="F57" s="47"/>
      <c r="O57" s="401"/>
      <c r="P57" s="401"/>
      <c r="Q57" s="255"/>
      <c r="R57" s="255"/>
      <c r="S57" s="72"/>
    </row>
    <row r="60" spans="2:19" s="59" customFormat="1" ht="11.25" hidden="1">
      <c r="B60" s="767" t="s">
        <v>191</v>
      </c>
      <c r="C60" s="340"/>
      <c r="D60" s="340"/>
      <c r="E60" s="817"/>
      <c r="F60" s="782"/>
      <c r="G60" s="786"/>
      <c r="H60" s="340"/>
      <c r="I60" s="340"/>
      <c r="J60" s="340"/>
      <c r="K60" s="340"/>
      <c r="L60" s="340"/>
      <c r="M60" s="340"/>
      <c r="N60" s="809"/>
      <c r="O60" s="797"/>
      <c r="P60" s="787" t="e">
        <f>N60/titl!$H$17*12</f>
        <v>#DIV/0!</v>
      </c>
      <c r="Q60" s="255"/>
      <c r="R60" s="255"/>
      <c r="S60" s="72"/>
    </row>
    <row r="61" spans="2:19" s="59" customFormat="1" ht="11.25" hidden="1">
      <c r="B61" s="818" t="s">
        <v>192</v>
      </c>
      <c r="C61" s="233"/>
      <c r="D61" s="233"/>
      <c r="E61" s="819"/>
      <c r="F61" s="783"/>
      <c r="G61" s="788"/>
      <c r="H61" s="233"/>
      <c r="I61" s="233"/>
      <c r="J61" s="233"/>
      <c r="K61" s="233"/>
      <c r="L61" s="233"/>
      <c r="M61" s="233"/>
      <c r="N61" s="537">
        <f>N43+N45-N60</f>
        <v>0</v>
      </c>
      <c r="O61" s="798"/>
      <c r="P61" s="789" t="e">
        <f>N61/titl!$H$17*12</f>
        <v>#DIV/0!</v>
      </c>
      <c r="Q61" s="255"/>
      <c r="R61" s="255"/>
      <c r="S61" s="72"/>
    </row>
    <row r="62" spans="2:19" s="59" customFormat="1" ht="11.25" hidden="1">
      <c r="B62" s="818" t="s">
        <v>193</v>
      </c>
      <c r="C62" s="233"/>
      <c r="D62" s="233"/>
      <c r="E62" s="819"/>
      <c r="F62" s="783"/>
      <c r="G62" s="788"/>
      <c r="H62" s="233"/>
      <c r="I62" s="233"/>
      <c r="J62" s="233"/>
      <c r="K62" s="233"/>
      <c r="L62" s="233"/>
      <c r="M62" s="233"/>
      <c r="N62" s="109"/>
      <c r="O62" s="798"/>
      <c r="P62" s="789" t="e">
        <f>N62/titl!$H$17*12</f>
        <v>#DIV/0!</v>
      </c>
      <c r="Q62" s="255"/>
      <c r="R62" s="255"/>
      <c r="S62" s="72"/>
    </row>
    <row r="63" spans="2:19" s="59" customFormat="1" ht="11.25" hidden="1">
      <c r="B63" s="818" t="s">
        <v>194</v>
      </c>
      <c r="C63" s="233"/>
      <c r="D63" s="233"/>
      <c r="E63" s="819"/>
      <c r="F63" s="783"/>
      <c r="G63" s="788"/>
      <c r="H63" s="233"/>
      <c r="I63" s="233" t="s">
        <v>197</v>
      </c>
      <c r="J63" s="233"/>
      <c r="K63" s="233"/>
      <c r="L63" s="233"/>
      <c r="M63" s="233"/>
      <c r="N63" s="537">
        <f>N61+N62</f>
        <v>0</v>
      </c>
      <c r="O63" s="798"/>
      <c r="P63" s="789" t="e">
        <f>N63/titl!$H$17*12</f>
        <v>#DIV/0!</v>
      </c>
      <c r="Q63" s="255"/>
      <c r="R63" s="255"/>
      <c r="S63" s="72"/>
    </row>
    <row r="64" spans="2:19" s="59" customFormat="1" ht="12" hidden="1" thickBot="1">
      <c r="B64" s="820" t="s">
        <v>195</v>
      </c>
      <c r="C64" s="785"/>
      <c r="D64" s="785"/>
      <c r="E64" s="821"/>
      <c r="F64" s="784"/>
      <c r="G64" s="785"/>
      <c r="H64" s="785"/>
      <c r="I64" s="785"/>
      <c r="J64" s="785"/>
      <c r="K64" s="785"/>
      <c r="L64" s="785"/>
      <c r="M64" s="785"/>
      <c r="N64" s="810">
        <f>N63*4%</f>
        <v>0</v>
      </c>
      <c r="O64" s="803"/>
      <c r="P64" s="790" t="e">
        <f>N64/titl!$H$17*12</f>
        <v>#DIV/0!</v>
      </c>
      <c r="Q64" s="255"/>
      <c r="R64" s="255"/>
      <c r="S64" s="72"/>
    </row>
  </sheetData>
  <mergeCells count="6">
    <mergeCell ref="J49:L49"/>
    <mergeCell ref="S1:S2"/>
    <mergeCell ref="A1:D1"/>
    <mergeCell ref="H1:L1"/>
    <mergeCell ref="C2:D2"/>
    <mergeCell ref="R1:R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T64"/>
  <sheetViews>
    <sheetView workbookViewId="0" topLeftCell="A1">
      <pane ySplit="3" topLeftCell="BM50" activePane="bottomLeft" state="frozen"/>
      <selection pane="topLeft" activeCell="D38" sqref="D38"/>
      <selection pane="bottomLeft" activeCell="D38" sqref="D38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60" bestFit="1" customWidth="1"/>
    <col min="6" max="6" width="10.875" style="47" bestFit="1" customWidth="1"/>
    <col min="7" max="7" width="10.875" style="59" bestFit="1" customWidth="1"/>
    <col min="8" max="8" width="10.00390625" style="59" customWidth="1"/>
    <col min="9" max="9" width="8.875" style="59" customWidth="1"/>
    <col min="10" max="10" width="6.25390625" style="59" customWidth="1"/>
    <col min="11" max="11" width="8.00390625" style="59" customWidth="1"/>
    <col min="12" max="12" width="7.125" style="59" customWidth="1"/>
    <col min="13" max="13" width="10.375" style="59" hidden="1" customWidth="1"/>
    <col min="14" max="14" width="11.25390625" style="59" hidden="1" customWidth="1"/>
    <col min="15" max="15" width="8.625" style="253" hidden="1" customWidth="1"/>
    <col min="16" max="16" width="11.00390625" style="59" hidden="1" customWidth="1"/>
    <col min="17" max="17" width="8.875" style="72" customWidth="1"/>
    <col min="18" max="18" width="7.625" style="255" customWidth="1"/>
    <col min="19" max="19" width="6.75390625" style="72" customWidth="1"/>
    <col min="20" max="20" width="11.75390625" style="59" bestFit="1" customWidth="1"/>
  </cols>
  <sheetData>
    <row r="1" spans="1:19" ht="15.75" customHeight="1">
      <c r="A1" s="1046" t="s">
        <v>236</v>
      </c>
      <c r="B1" s="1047"/>
      <c r="C1" s="1047"/>
      <c r="D1" s="1048"/>
      <c r="E1" s="1"/>
      <c r="F1" s="543" t="s">
        <v>0</v>
      </c>
      <c r="G1" s="606" t="s">
        <v>2</v>
      </c>
      <c r="H1" s="1050" t="s">
        <v>3</v>
      </c>
      <c r="I1" s="1050"/>
      <c r="J1" s="1050"/>
      <c r="K1" s="1050"/>
      <c r="L1" s="1051"/>
      <c r="M1" s="244" t="s">
        <v>1</v>
      </c>
      <c r="N1" s="538" t="s">
        <v>4</v>
      </c>
      <c r="O1" s="181" t="s">
        <v>144</v>
      </c>
      <c r="P1" s="175" t="s">
        <v>145</v>
      </c>
      <c r="Q1" s="947" t="s">
        <v>4</v>
      </c>
      <c r="R1" s="1063" t="s">
        <v>190</v>
      </c>
      <c r="S1" s="1057" t="s">
        <v>188</v>
      </c>
    </row>
    <row r="2" spans="1:20" s="16" customFormat="1" ht="13.5" thickBot="1">
      <c r="A2" s="6" t="s">
        <v>127</v>
      </c>
      <c r="B2" s="7"/>
      <c r="C2" s="1052" t="s">
        <v>156</v>
      </c>
      <c r="D2" s="1053"/>
      <c r="E2" s="9" t="s">
        <v>5</v>
      </c>
      <c r="F2" s="544">
        <v>2011</v>
      </c>
      <c r="G2" s="607" t="s">
        <v>8</v>
      </c>
      <c r="H2" s="69" t="s">
        <v>9</v>
      </c>
      <c r="I2" s="70" t="s">
        <v>10</v>
      </c>
      <c r="J2" s="303" t="s">
        <v>11</v>
      </c>
      <c r="K2" s="248" t="s">
        <v>126</v>
      </c>
      <c r="L2" s="68" t="s">
        <v>12</v>
      </c>
      <c r="M2" s="876" t="s">
        <v>7</v>
      </c>
      <c r="N2" s="539">
        <v>2011</v>
      </c>
      <c r="O2" s="182"/>
      <c r="P2" s="176"/>
      <c r="Q2" s="948">
        <v>2010</v>
      </c>
      <c r="R2" s="1063"/>
      <c r="S2" s="1057"/>
      <c r="T2" s="59"/>
    </row>
    <row r="3" spans="1:20" ht="13.5" thickBot="1">
      <c r="A3" s="17" t="s">
        <v>13</v>
      </c>
      <c r="B3" s="18"/>
      <c r="C3" s="18"/>
      <c r="D3" s="18"/>
      <c r="E3" s="19">
        <v>1</v>
      </c>
      <c r="F3" s="197">
        <f aca="true" t="shared" si="0" ref="F3:N3">SUM(F5:F27)</f>
        <v>1377501</v>
      </c>
      <c r="G3" s="76">
        <f t="shared" si="0"/>
        <v>1283182</v>
      </c>
      <c r="H3" s="247">
        <f t="shared" si="0"/>
        <v>11208</v>
      </c>
      <c r="I3" s="77">
        <f t="shared" si="0"/>
        <v>81069</v>
      </c>
      <c r="J3" s="77">
        <f t="shared" si="0"/>
        <v>37</v>
      </c>
      <c r="K3" s="77">
        <f t="shared" si="0"/>
        <v>1995</v>
      </c>
      <c r="L3" s="245">
        <f t="shared" si="0"/>
        <v>10</v>
      </c>
      <c r="M3" s="877">
        <f>SUM(M5:M27)</f>
        <v>0</v>
      </c>
      <c r="N3" s="197">
        <f t="shared" si="0"/>
        <v>0</v>
      </c>
      <c r="O3" s="880">
        <f>IF(F3=0,0,N3/F3)</f>
        <v>0</v>
      </c>
      <c r="P3" s="877" t="e">
        <f>SUM(P5:P27)</f>
        <v>#DIV/0!</v>
      </c>
      <c r="Q3" s="950">
        <f>SUM(Q5:Q27)</f>
        <v>1309775.97683</v>
      </c>
      <c r="T3" s="239"/>
    </row>
    <row r="4" spans="1:20" s="25" customFormat="1" ht="12">
      <c r="A4" s="21" t="s">
        <v>14</v>
      </c>
      <c r="B4" s="22" t="s">
        <v>15</v>
      </c>
      <c r="C4" s="22"/>
      <c r="D4" s="22"/>
      <c r="E4" s="23">
        <v>2</v>
      </c>
      <c r="F4" s="198">
        <f aca="true" t="shared" si="1" ref="F4:Q4">SUM(F5:F15)</f>
        <v>886271</v>
      </c>
      <c r="G4" s="594">
        <f t="shared" si="1"/>
        <v>834732</v>
      </c>
      <c r="H4" s="80">
        <f t="shared" si="1"/>
        <v>11208</v>
      </c>
      <c r="I4" s="81">
        <f t="shared" si="1"/>
        <v>38372</v>
      </c>
      <c r="J4" s="81">
        <f t="shared" si="1"/>
        <v>37</v>
      </c>
      <c r="K4" s="81">
        <f t="shared" si="1"/>
        <v>1912</v>
      </c>
      <c r="L4" s="246">
        <f t="shared" si="1"/>
        <v>10</v>
      </c>
      <c r="M4" s="878">
        <f>SUM(M5:M15)</f>
        <v>0</v>
      </c>
      <c r="N4" s="198">
        <f t="shared" si="1"/>
        <v>0</v>
      </c>
      <c r="O4" s="881">
        <f>IF(F4=0,0,N4/F4)</f>
        <v>0</v>
      </c>
      <c r="P4" s="878" t="e">
        <f t="shared" si="1"/>
        <v>#DIV/0!</v>
      </c>
      <c r="Q4" s="589">
        <f t="shared" si="1"/>
        <v>990739.14095</v>
      </c>
      <c r="R4" s="255"/>
      <c r="S4" s="72"/>
      <c r="T4" s="59"/>
    </row>
    <row r="5" spans="1:20" s="65" customFormat="1" ht="12">
      <c r="A5" s="61"/>
      <c r="B5" s="62"/>
      <c r="C5" s="62" t="s">
        <v>16</v>
      </c>
      <c r="D5" s="63" t="s">
        <v>17</v>
      </c>
      <c r="E5" s="64">
        <v>3</v>
      </c>
      <c r="F5" s="199">
        <f aca="true" t="shared" si="2" ref="F5:F27">SUM(G5:L5)</f>
        <v>203099</v>
      </c>
      <c r="G5" s="497">
        <f>'CEITEC MU'!G5+'CEITEC-CŘS'!G5+SKM!G5+SUKB!G7+UCT!G5+SPSSN!G5+IBA!G5+CTT!G5+ÚVT!G5+CJV!G5+CZS!G5+RMU!G5</f>
        <v>193001</v>
      </c>
      <c r="H5" s="220">
        <f>'CEITEC MU'!H5+'CEITEC-CŘS'!H5+SKM!H5+SUKB!H7+UCT!H5+SPSSN!H5+IBA!H5+CTT!H5+ÚVT!H5+CJV!H5+CZS!H5+RMU!H5</f>
        <v>1061</v>
      </c>
      <c r="I5" s="121">
        <f>'CEITEC MU'!I5+'CEITEC-CŘS'!I5+SKM!I5+SUKB!I7+UCT!I5+SPSSN!I5+IBA!I5+CTT!I5+ÚVT!I5+CJV!I5+CZS!I5+RMU!I5</f>
        <v>9000</v>
      </c>
      <c r="J5" s="121">
        <f>'CEITEC MU'!J5+'CEITEC-CŘS'!J5+SKM!J5+SUKB!J7+UCT!J5+SPSSN!J5+IBA!J5+CTT!J5+ÚVT!J5+CJV!J5+CZS!J5+RMU!J5</f>
        <v>37</v>
      </c>
      <c r="K5" s="121">
        <f>'CEITEC MU'!K5+'CEITEC-CŘS'!K5+SKM!K5+SUKB!K7+UCT!K5+SPSSN!K5+IBA!K5+CTT!K5+ÚVT!K5+CJV!K5+CZS!K5+RMU!K5</f>
        <v>0</v>
      </c>
      <c r="L5" s="220">
        <f>'CEITEC MU'!L5+'CEITEC-CŘS'!L5+SKM!L5+SUKB!L7+UCT!L5+SPSSN!L5+IBA!L5+CTT!L5+ÚVT!L5+CJV!L5+CZS!L5+RMU!L5</f>
        <v>0</v>
      </c>
      <c r="M5" s="162">
        <f>'CEITEC MU'!M5+'CEITEC-CŘS'!M5+SKM!M5+SUKB!M7+UCT!M5+SPSSN!M5+IBA!M5+CTT!M5+ÚVT!M5+CJV!M5+CZS!M5+RMU!M5</f>
        <v>0</v>
      </c>
      <c r="N5" s="164">
        <f>'CEITEC MU'!N5+'CEITEC-CŘS'!N5+SKM!N5+SUKB!N7+UCT!N5+SPSSN!N5+IBA!N5+CTT!N5+ÚVT!N5+CJV!N5+CZS!N5+RMU!N5</f>
        <v>0</v>
      </c>
      <c r="O5" s="163">
        <f>'CEITEC MU'!O5+'CEITEC-CŘS'!O5+SKM!O5+SUKB!O7+UCT!O5+SPSSN!O5+IBA!O5+CTT!O5+ÚVT!O5+CJV!O5+CZS!O5+RMU!O5</f>
        <v>0</v>
      </c>
      <c r="P5" s="300">
        <f>'CEITEC MU'!P5+'CEITEC-CŘS'!P5+SKM!P5+SUKB!P7+UCT!P5+SPSSN!P5+IBA!P5+CTT!P5+ÚVT!P5+CJV!P5+CZS!P5+RMU!P5</f>
        <v>0</v>
      </c>
      <c r="Q5" s="951">
        <f>'CEITEC MU'!Q5+'CEITEC-CŘS'!Q5+SKM!Q5+SUKB!Q7+UCT!Q5+SPSSN!Q5+IBA!Q5+CTT!Q5+ÚVT!Q5+CJV!Q5+CZS!Q5+RMU!Q5</f>
        <v>218808.7979</v>
      </c>
      <c r="R5" s="546"/>
      <c r="S5" s="517"/>
      <c r="T5" s="154"/>
    </row>
    <row r="6" spans="1:20" s="65" customFormat="1" ht="12">
      <c r="A6" s="61"/>
      <c r="B6" s="62"/>
      <c r="C6" s="62"/>
      <c r="D6" s="63" t="s">
        <v>18</v>
      </c>
      <c r="E6" s="64">
        <v>4</v>
      </c>
      <c r="F6" s="199">
        <f t="shared" si="2"/>
        <v>22564</v>
      </c>
      <c r="G6" s="497">
        <f>'CEITEC MU'!G6+'CEITEC-CŘS'!G6+SKM!G6+SUKB!G8+UCT!G6+SPSSN!G6+IBA!G6+CTT!G6+ÚVT!G6+CJV!G6+CZS!G6+RMU!G6</f>
        <v>10554</v>
      </c>
      <c r="H6" s="220">
        <f>'CEITEC MU'!H6+'CEITEC-CŘS'!H6+SKM!H6+SUKB!H8+UCT!H6+SPSSN!H6+IBA!H6+CTT!H6+ÚVT!H6+CJV!H6+CZS!H6+RMU!H6</f>
        <v>10</v>
      </c>
      <c r="I6" s="121">
        <f>'CEITEC MU'!I6+'CEITEC-CŘS'!I6+SKM!I6+SUKB!I8+UCT!I6+SPSSN!I6+IBA!I6+CTT!I6+ÚVT!I6+CJV!I6+CZS!I6+RMU!I6</f>
        <v>12000</v>
      </c>
      <c r="J6" s="121">
        <f>'CEITEC MU'!J6+'CEITEC-CŘS'!J6+SKM!J6+SUKB!J8+UCT!J6+SPSSN!J6+IBA!J6+CTT!J6+ÚVT!J6+CJV!J6+CZS!J6+RMU!J6</f>
        <v>0</v>
      </c>
      <c r="K6" s="121">
        <f>'CEITEC MU'!K6+'CEITEC-CŘS'!K6+SKM!K6+SUKB!K8+UCT!K6+SPSSN!K6+IBA!K6+CTT!K6+ÚVT!K6+CJV!K6+CZS!K6+RMU!K6</f>
        <v>0</v>
      </c>
      <c r="L6" s="220">
        <f>'CEITEC MU'!L6+'CEITEC-CŘS'!L6+SKM!L6+SUKB!L8+UCT!L6+SPSSN!L6+IBA!L6+CTT!L6+ÚVT!L6+CJV!L6+CZS!L6+RMU!L6</f>
        <v>0</v>
      </c>
      <c r="M6" s="162">
        <f>'CEITEC MU'!M6+'CEITEC-CŘS'!M6+SKM!M6+SUKB!M8+UCT!M6+SPSSN!M6+IBA!M6+CTT!M6+ÚVT!M6+CJV!M6+CZS!M6+RMU!M6</f>
        <v>0</v>
      </c>
      <c r="N6" s="164">
        <f>'CEITEC MU'!N6+'CEITEC-CŘS'!N6+SKM!N6+SUKB!N8+UCT!N6+SPSSN!N6+IBA!N6+CTT!N6+ÚVT!N6+CJV!N6+CZS!N6+RMU!N6</f>
        <v>0</v>
      </c>
      <c r="O6" s="163">
        <f>'CEITEC MU'!O6+'CEITEC-CŘS'!O6+SKM!O6+SUKB!O8+UCT!O6+SPSSN!O6+IBA!O6+CTT!O6+ÚVT!O6+CJV!O6+CZS!O6+RMU!O6</f>
        <v>0</v>
      </c>
      <c r="P6" s="300">
        <f>'CEITEC MU'!P6+'CEITEC-CŘS'!P6+SKM!P6+SUKB!P8+UCT!P6+SPSSN!P6+IBA!P6+CTT!P6+ÚVT!P6+CJV!P6+CZS!P6+RMU!P6</f>
        <v>0</v>
      </c>
      <c r="Q6" s="859">
        <f>'CEITEC MU'!Q6+'CEITEC-CŘS'!Q6+SKM!Q6+SUKB!Q8+UCT!Q6+SPSSN!Q6+IBA!Q6+CTT!Q6+ÚVT!Q6+CJV!Q6+CZS!Q6+RMU!Q6</f>
        <v>20342.3815</v>
      </c>
      <c r="R6" s="546"/>
      <c r="S6" s="517"/>
      <c r="T6" s="154"/>
    </row>
    <row r="7" spans="1:20" s="65" customFormat="1" ht="12">
      <c r="A7" s="61"/>
      <c r="B7" s="62"/>
      <c r="C7" s="62"/>
      <c r="D7" s="63" t="s">
        <v>19</v>
      </c>
      <c r="E7" s="64">
        <v>5</v>
      </c>
      <c r="F7" s="199">
        <f t="shared" si="2"/>
        <v>72122</v>
      </c>
      <c r="G7" s="497">
        <f>'CEITEC MU'!G7+'CEITEC-CŘS'!G7+SKM!G7+SUKB!G9+UCT!G7+SPSSN!G7+IBA!G7+CTT!G7+ÚVT!G7+CJV!G7+CZS!G7+RMU!G7</f>
        <v>68884</v>
      </c>
      <c r="H7" s="220">
        <f>'CEITEC MU'!H7+'CEITEC-CŘS'!H7+SKM!H7+SUKB!H9+UCT!H7+SPSSN!H7+IBA!H7+CTT!H7+ÚVT!H7+CJV!H7+CZS!H7+RMU!H7</f>
        <v>88</v>
      </c>
      <c r="I7" s="121">
        <f>'CEITEC MU'!I7+'CEITEC-CŘS'!I7+SKM!I7+SUKB!I9+UCT!I7+SPSSN!I7+IBA!I7+CTT!I7+ÚVT!I7+CJV!I7+CZS!I7+RMU!I7</f>
        <v>3150</v>
      </c>
      <c r="J7" s="121">
        <f>'CEITEC MU'!J7+'CEITEC-CŘS'!J7+SKM!J7+SUKB!J9+UCT!J7+SPSSN!J7+IBA!J7+CTT!J7+ÚVT!J7+CJV!J7+CZS!J7+RMU!J7</f>
        <v>0</v>
      </c>
      <c r="K7" s="121">
        <f>'CEITEC MU'!K7+'CEITEC-CŘS'!K7+SKM!K7+SUKB!K9+UCT!K7+SPSSN!K7+IBA!K7+CTT!K7+ÚVT!K7+CJV!K7+CZS!K7+RMU!K7</f>
        <v>0</v>
      </c>
      <c r="L7" s="220">
        <f>'CEITEC MU'!L7+'CEITEC-CŘS'!L7+SKM!L7+SUKB!L9+UCT!L7+SPSSN!L7+IBA!L7+CTT!L7+ÚVT!L7+CJV!L7+CZS!L7+RMU!L7</f>
        <v>0</v>
      </c>
      <c r="M7" s="162">
        <f>'CEITEC MU'!M7+'CEITEC-CŘS'!M7+SKM!M7+SUKB!M9+UCT!M7+SPSSN!M7+IBA!M7+CTT!M7+ÚVT!M7+CJV!M7+CZS!M7+RMU!M7</f>
        <v>0</v>
      </c>
      <c r="N7" s="164">
        <f>'CEITEC MU'!N7+'CEITEC-CŘS'!N7+SKM!N7+SUKB!N9+UCT!N7+SPSSN!N7+IBA!N7+CTT!N7+ÚVT!N7+CJV!N7+CZS!N7+RMU!N7</f>
        <v>0</v>
      </c>
      <c r="O7" s="163">
        <f>'CEITEC MU'!O7+'CEITEC-CŘS'!O7+SKM!O7+SUKB!O9+UCT!O7+SPSSN!O7+IBA!O7+CTT!O7+ÚVT!O7+CJV!O7+CZS!O7+RMU!O7</f>
        <v>0</v>
      </c>
      <c r="P7" s="300">
        <f>'CEITEC MU'!P7+'CEITEC-CŘS'!P7+SKM!P7+SUKB!P9+UCT!P7+SPSSN!P7+IBA!P7+CTT!P7+ÚVT!P7+CJV!P7+CZS!P7+RMU!P7</f>
        <v>0</v>
      </c>
      <c r="Q7" s="859">
        <f>'CEITEC MU'!Q7+'CEITEC-CŘS'!Q7+SKM!Q7+SUKB!Q9+UCT!Q7+SPSSN!Q7+IBA!Q7+CTT!Q7+ÚVT!Q7+CJV!Q7+CZS!Q7+RMU!Q7</f>
        <v>79332.28333</v>
      </c>
      <c r="R7" s="546"/>
      <c r="S7" s="517"/>
      <c r="T7" s="154"/>
    </row>
    <row r="8" spans="1:20" s="65" customFormat="1" ht="12">
      <c r="A8" s="61"/>
      <c r="B8" s="62"/>
      <c r="C8" s="62"/>
      <c r="D8" s="63" t="s">
        <v>20</v>
      </c>
      <c r="E8" s="64">
        <v>6</v>
      </c>
      <c r="F8" s="199">
        <f t="shared" si="2"/>
        <v>50454</v>
      </c>
      <c r="G8" s="497">
        <f>'CEITEC MU'!G8+'CEITEC-CŘS'!G8+SKM!G8+SUKB!G10+UCT!G8+SPSSN!G8+IBA!G8+CTT!G8+ÚVT!G8+CJV!G8+CZS!G8+RMU!G8</f>
        <v>50254</v>
      </c>
      <c r="H8" s="220">
        <f>'CEITEC MU'!H8+'CEITEC-CŘS'!H8+SKM!H8+SUKB!H10+UCT!H8+SPSSN!H8+IBA!H8+CTT!H8+ÚVT!H8+CJV!H8+CZS!H8+RMU!H8</f>
        <v>200</v>
      </c>
      <c r="I8" s="121">
        <f>'CEITEC MU'!I8+'CEITEC-CŘS'!I8+SKM!I8+SUKB!I10+UCT!I8+SPSSN!I8+IBA!I8+CTT!I8+ÚVT!I8+CJV!I8+CZS!I8+RMU!I8</f>
        <v>0</v>
      </c>
      <c r="J8" s="121">
        <f>'CEITEC MU'!J8+'CEITEC-CŘS'!J8+SKM!J8+SUKB!J10+UCT!J8+SPSSN!J8+IBA!J8+CTT!J8+ÚVT!J8+CJV!J8+CZS!J8+RMU!J8</f>
        <v>0</v>
      </c>
      <c r="K8" s="121">
        <f>'CEITEC MU'!K8+'CEITEC-CŘS'!K8+SKM!K8+SUKB!K10+UCT!K8+SPSSN!K8+IBA!K8+CTT!K8+ÚVT!K8+CJV!K8+CZS!K8+RMU!K8</f>
        <v>0</v>
      </c>
      <c r="L8" s="220">
        <f>'CEITEC MU'!L8+'CEITEC-CŘS'!L8+SKM!L8+SUKB!L10+UCT!L8+SPSSN!L8+IBA!L8+CTT!L8+ÚVT!L8+CJV!L8+CZS!L8+RMU!L8</f>
        <v>0</v>
      </c>
      <c r="M8" s="162">
        <f>'CEITEC MU'!M8+'CEITEC-CŘS'!M8+SKM!M8+SUKB!M10+UCT!M8+SPSSN!M8+IBA!M8+CTT!M8+ÚVT!M8+CJV!M8+CZS!M8+RMU!M8</f>
        <v>0</v>
      </c>
      <c r="N8" s="164">
        <f>'CEITEC MU'!N8+'CEITEC-CŘS'!N8+SKM!N8+SUKB!N10+UCT!N8+SPSSN!N8+IBA!N8+CTT!N8+ÚVT!N8+CJV!N8+CZS!N8+RMU!N8</f>
        <v>0</v>
      </c>
      <c r="O8" s="163">
        <f>'CEITEC MU'!O8+'CEITEC-CŘS'!O8+SKM!O8+SUKB!O10+UCT!O8+SPSSN!O8+IBA!O8+CTT!O8+ÚVT!O8+CJV!O8+CZS!O8+RMU!O8</f>
        <v>0</v>
      </c>
      <c r="P8" s="300" t="e">
        <f>'CEITEC MU'!P8+'CEITEC-CŘS'!P8+SKM!P8+SUKB!P10+UCT!P8+SPSSN!P8+IBA!P8+CTT!P8+ÚVT!P8+CJV!P8+CZS!P8+RMU!P8</f>
        <v>#DIV/0!</v>
      </c>
      <c r="Q8" s="859">
        <f>'CEITEC MU'!Q8+'CEITEC-CŘS'!Q8+SKM!Q8+SUKB!Q10+UCT!Q8+SPSSN!Q8+IBA!Q8+CTT!Q8+ÚVT!Q8+CJV!Q8+CZS!Q8+RMU!Q8</f>
        <v>46745.646889999996</v>
      </c>
      <c r="R8" s="546"/>
      <c r="S8" s="517"/>
      <c r="T8" s="154"/>
    </row>
    <row r="9" spans="1:20" s="65" customFormat="1" ht="12">
      <c r="A9" s="61"/>
      <c r="B9" s="62"/>
      <c r="C9" s="62"/>
      <c r="D9" s="63" t="s">
        <v>21</v>
      </c>
      <c r="E9" s="64">
        <v>7</v>
      </c>
      <c r="F9" s="199">
        <f t="shared" si="2"/>
        <v>35166</v>
      </c>
      <c r="G9" s="497">
        <f>'CEITEC MU'!G9+'CEITEC-CŘS'!G9+SKM!G9+SUKB!G11+UCT!G9+SPSSN!G9+IBA!G9+CTT!G9+ÚVT!G9+CJV!G9+CZS!G9+RMU!G9</f>
        <v>34166</v>
      </c>
      <c r="H9" s="220">
        <f>'CEITEC MU'!H9+'CEITEC-CŘS'!H9+SKM!H9+SUKB!H11+UCT!H9+SPSSN!H9+IBA!H9+CTT!H9+ÚVT!H9+CJV!H9+CZS!H9+RMU!H9</f>
        <v>1000</v>
      </c>
      <c r="I9" s="121">
        <f>'CEITEC MU'!I9+'CEITEC-CŘS'!I9+SKM!I9+SUKB!I11+UCT!I9+SPSSN!I9+IBA!I9+CTT!I9+ÚVT!I9+CJV!I9+CZS!I9+RMU!I9</f>
        <v>0</v>
      </c>
      <c r="J9" s="121">
        <f>'CEITEC MU'!J9+'CEITEC-CŘS'!J9+SKM!J9+SUKB!J11+UCT!J9+SPSSN!J9+IBA!J9+CTT!J9+ÚVT!J9+CJV!J9+CZS!J9+RMU!J9</f>
        <v>0</v>
      </c>
      <c r="K9" s="121">
        <f>'CEITEC MU'!K9+'CEITEC-CŘS'!K9+SKM!K9+SUKB!K11+UCT!K9+SPSSN!K9+IBA!K9+CTT!K9+ÚVT!K9+CJV!K9+CZS!K9+RMU!K9</f>
        <v>0</v>
      </c>
      <c r="L9" s="220">
        <f>'CEITEC MU'!L9+'CEITEC-CŘS'!L9+SKM!L9+SUKB!L11+UCT!L9+SPSSN!L9+IBA!L9+CTT!L9+ÚVT!L9+CJV!L9+CZS!L9+RMU!L9</f>
        <v>0</v>
      </c>
      <c r="M9" s="162">
        <f>'CEITEC MU'!M9+'CEITEC-CŘS'!M9+SKM!M9+SUKB!M11+UCT!M9+SPSSN!M9+IBA!M9+CTT!M9+ÚVT!M9+CJV!M9+CZS!M9+RMU!M9</f>
        <v>0</v>
      </c>
      <c r="N9" s="164">
        <f>'CEITEC MU'!N9+'CEITEC-CŘS'!N9+SKM!N9+SUKB!N11+UCT!N9+SPSSN!N9+IBA!N9+CTT!N9+ÚVT!N9+CJV!N9+CZS!N9+RMU!N9</f>
        <v>0</v>
      </c>
      <c r="O9" s="163">
        <f>'CEITEC MU'!O9+'CEITEC-CŘS'!O9+SKM!O9+SUKB!O11+UCT!O9+SPSSN!O9+IBA!O9+CTT!O9+ÚVT!O9+CJV!O9+CZS!O9+RMU!O9</f>
        <v>0</v>
      </c>
      <c r="P9" s="300" t="e">
        <f>'CEITEC MU'!P9+'CEITEC-CŘS'!P9+SKM!P9+SUKB!P11+UCT!P9+SPSSN!P9+IBA!P9+CTT!P9+ÚVT!P9+CJV!P9+CZS!P9+RMU!P9</f>
        <v>#DIV/0!</v>
      </c>
      <c r="Q9" s="859">
        <f>'CEITEC MU'!Q9+'CEITEC-CŘS'!Q9+SKM!Q9+SUKB!Q11+UCT!Q9+SPSSN!Q9+IBA!Q9+CTT!Q9+ÚVT!Q9+CJV!Q9+CZS!Q9+RMU!Q9</f>
        <v>41646.733</v>
      </c>
      <c r="R9" s="546"/>
      <c r="S9" s="517"/>
      <c r="T9" s="154"/>
    </row>
    <row r="10" spans="1:20" s="65" customFormat="1" ht="12">
      <c r="A10" s="61"/>
      <c r="B10" s="62"/>
      <c r="C10" s="62"/>
      <c r="D10" s="63" t="s">
        <v>22</v>
      </c>
      <c r="E10" s="64">
        <v>8</v>
      </c>
      <c r="F10" s="199">
        <f t="shared" si="2"/>
        <v>56535</v>
      </c>
      <c r="G10" s="497">
        <f>'CEITEC MU'!G10+'CEITEC-CŘS'!G10+SKM!G10+SUKB!G12+UCT!G10+SPSSN!G10+IBA!G10+CTT!G10+ÚVT!G10+CJV!G10+CZS!G10+RMU!G10</f>
        <v>53640</v>
      </c>
      <c r="H10" s="220">
        <f>'CEITEC MU'!H10+'CEITEC-CŘS'!H10+SKM!H10+SUKB!H12+UCT!H10+SPSSN!H10+IBA!H10+CTT!H10+ÚVT!H10+CJV!H10+CZS!H10+RMU!H10</f>
        <v>2445</v>
      </c>
      <c r="I10" s="121">
        <f>'CEITEC MU'!I10+'CEITEC-CŘS'!I10+SKM!I10+SUKB!I12+UCT!I10+SPSSN!I10+IBA!I10+CTT!I10+ÚVT!I10+CJV!I10+CZS!I10+RMU!I10</f>
        <v>450</v>
      </c>
      <c r="J10" s="121">
        <f>'CEITEC MU'!J10+'CEITEC-CŘS'!J10+SKM!J10+SUKB!J12+UCT!J10+SPSSN!J10+IBA!J10+CTT!J10+ÚVT!J10+CJV!J10+CZS!J10+RMU!J10</f>
        <v>0</v>
      </c>
      <c r="K10" s="121">
        <f>'CEITEC MU'!K10+'CEITEC-CŘS'!K10+SKM!K10+SUKB!K12+UCT!K10+SPSSN!K10+IBA!K10+CTT!K10+ÚVT!K10+CJV!K10+CZS!K10+RMU!K10</f>
        <v>0</v>
      </c>
      <c r="L10" s="220">
        <f>'CEITEC MU'!L10+'CEITEC-CŘS'!L10+SKM!L10+SUKB!L12+UCT!L10+SPSSN!L10+IBA!L10+CTT!L10+ÚVT!L10+CJV!L10+CZS!L10+RMU!L10</f>
        <v>0</v>
      </c>
      <c r="M10" s="162">
        <f>'CEITEC MU'!M10+'CEITEC-CŘS'!M10+SKM!M10+SUKB!M12+UCT!M10+SPSSN!M10+IBA!M10+CTT!M10+ÚVT!M10+CJV!M10+CZS!M10+RMU!M10</f>
        <v>0</v>
      </c>
      <c r="N10" s="164">
        <f>'CEITEC MU'!N10+'CEITEC-CŘS'!N10+SKM!N10+SUKB!N12+UCT!N10+SPSSN!N10+IBA!N10+CTT!N10+ÚVT!N10+CJV!N10+CZS!N10+RMU!N10</f>
        <v>0</v>
      </c>
      <c r="O10" s="163">
        <f>'CEITEC MU'!O10+'CEITEC-CŘS'!O10+SKM!O10+SUKB!O12+UCT!O10+SPSSN!O10+IBA!O10+CTT!O10+ÚVT!O10+CJV!O10+CZS!O10+RMU!O10</f>
        <v>0</v>
      </c>
      <c r="P10" s="300" t="e">
        <f>'CEITEC MU'!P10+'CEITEC-CŘS'!P10+SKM!P10+SUKB!P12+UCT!P10+SPSSN!P10+IBA!P10+CTT!P10+ÚVT!P10+CJV!P10+CZS!P10+RMU!P10</f>
        <v>#DIV/0!</v>
      </c>
      <c r="Q10" s="859">
        <f>'CEITEC MU'!Q10+'CEITEC-CŘS'!Q10+SKM!Q10+SUKB!Q12+UCT!Q10+SPSSN!Q10+IBA!Q10+CTT!Q10+ÚVT!Q10+CJV!Q10+CZS!Q10+RMU!Q10</f>
        <v>107119.56856</v>
      </c>
      <c r="R10" s="546"/>
      <c r="S10" s="517"/>
      <c r="T10" s="154"/>
    </row>
    <row r="11" spans="1:20" s="65" customFormat="1" ht="12">
      <c r="A11" s="61"/>
      <c r="B11" s="62"/>
      <c r="C11" s="62"/>
      <c r="D11" s="63" t="s">
        <v>23</v>
      </c>
      <c r="E11" s="64">
        <v>9</v>
      </c>
      <c r="F11" s="199">
        <f t="shared" si="2"/>
        <v>102577</v>
      </c>
      <c r="G11" s="497">
        <f>'CEITEC MU'!G11+'CEITEC-CŘS'!G11+SKM!G11+SUKB!G13+UCT!G11+SPSSN!G11+IBA!G11+CTT!G11+ÚVT!G11+CJV!G11+CZS!G11+RMU!G11</f>
        <v>88910</v>
      </c>
      <c r="H11" s="220">
        <f>'CEITEC MU'!H11+'CEITEC-CŘS'!H11+SKM!H11+SUKB!H13+UCT!H11+SPSSN!H11+IBA!H11+CTT!H11+ÚVT!H11+CJV!H11+CZS!H11+RMU!H11</f>
        <v>5667</v>
      </c>
      <c r="I11" s="121">
        <f>'CEITEC MU'!I11+'CEITEC-CŘS'!I11+SKM!I11+SUKB!I13+UCT!I11+SPSSN!I11+IBA!I11+CTT!I11+ÚVT!I11+CJV!I11+CZS!I11+RMU!I11</f>
        <v>8000</v>
      </c>
      <c r="J11" s="121">
        <f>'CEITEC MU'!J11+'CEITEC-CŘS'!J11+SKM!J11+SUKB!J13+UCT!J11+SPSSN!J11+IBA!J11+CTT!J11+ÚVT!J11+CJV!J11+CZS!J11+RMU!J11</f>
        <v>0</v>
      </c>
      <c r="K11" s="121">
        <f>'CEITEC MU'!K11+'CEITEC-CŘS'!K11+SKM!K11+SUKB!K13+UCT!K11+SPSSN!K11+IBA!K11+CTT!K11+ÚVT!K11+CJV!K11+CZS!K11+RMU!K11</f>
        <v>0</v>
      </c>
      <c r="L11" s="220">
        <f>'CEITEC MU'!L11+'CEITEC-CŘS'!L11+SKM!L11+SUKB!L13+UCT!L11+SPSSN!L11+IBA!L11+CTT!L11+ÚVT!L11+CJV!L11+CZS!L11+RMU!L11</f>
        <v>0</v>
      </c>
      <c r="M11" s="162">
        <f>'CEITEC MU'!M11+'CEITEC-CŘS'!M11+SKM!M11+SUKB!M13+UCT!M11+SPSSN!M11+IBA!M11+CTT!M11+ÚVT!M11+CJV!M11+CZS!M11+RMU!M11</f>
        <v>0</v>
      </c>
      <c r="N11" s="164">
        <f>'CEITEC MU'!N11+'CEITEC-CŘS'!N11+SKM!N11+SUKB!N13+UCT!N11+SPSSN!N11+IBA!N11+CTT!N11+ÚVT!N11+CJV!N11+CZS!N11+RMU!N11</f>
        <v>0</v>
      </c>
      <c r="O11" s="163">
        <f>'CEITEC MU'!O11+'CEITEC-CŘS'!O11+SKM!O11+SUKB!O13+UCT!O11+SPSSN!O11+IBA!O11+CTT!O11+ÚVT!O11+CJV!O11+CZS!O11+RMU!O11</f>
        <v>0</v>
      </c>
      <c r="P11" s="300" t="e">
        <f>'CEITEC MU'!P11+'CEITEC-CŘS'!P11+SKM!P11+SUKB!P13+UCT!P11+SPSSN!P11+IBA!P11+CTT!P11+ÚVT!P11+CJV!P11+CZS!P11+RMU!P11</f>
        <v>#DIV/0!</v>
      </c>
      <c r="Q11" s="859">
        <f>'CEITEC MU'!Q11+'CEITEC-CŘS'!Q11+SKM!Q11+SUKB!Q13+UCT!Q11+SPSSN!Q11+IBA!Q11+CTT!Q11+ÚVT!Q11+CJV!Q11+CZS!Q11+RMU!Q11</f>
        <v>113834.33317999999</v>
      </c>
      <c r="R11" s="546"/>
      <c r="S11" s="517"/>
      <c r="T11" s="154"/>
    </row>
    <row r="12" spans="1:20" s="65" customFormat="1" ht="12">
      <c r="A12" s="61"/>
      <c r="B12" s="62"/>
      <c r="C12" s="62"/>
      <c r="D12" s="63" t="s">
        <v>24</v>
      </c>
      <c r="E12" s="64">
        <v>10</v>
      </c>
      <c r="F12" s="199">
        <f t="shared" si="2"/>
        <v>4014</v>
      </c>
      <c r="G12" s="497">
        <f>'CEITEC MU'!G12+'CEITEC-CŘS'!G12+SKM!G12+SUKB!G14+UCT!G12+SPSSN!G12+IBA!G12+CTT!G12+ÚVT!G12+CJV!G12+CZS!G12+RMU!G12</f>
        <v>3707</v>
      </c>
      <c r="H12" s="220">
        <f>'CEITEC MU'!H12+'CEITEC-CŘS'!H12+SKM!H12+SUKB!H14+UCT!H12+SPSSN!H12+IBA!H12+CTT!H12+ÚVT!H12+CJV!H12+CZS!H12+RMU!H12</f>
        <v>35</v>
      </c>
      <c r="I12" s="121">
        <f>'CEITEC MU'!I12+'CEITEC-CŘS'!I12+SKM!I12+SUKB!I14+UCT!I12+SPSSN!I12+IBA!I12+CTT!I12+ÚVT!I12+CJV!I12+CZS!I12+RMU!I12</f>
        <v>272</v>
      </c>
      <c r="J12" s="121">
        <f>'CEITEC MU'!J12+'CEITEC-CŘS'!J12+SKM!J12+SUKB!J14+UCT!J12+SPSSN!J12+IBA!J12+CTT!J12+ÚVT!J12+CJV!J12+CZS!J12+RMU!J12</f>
        <v>0</v>
      </c>
      <c r="K12" s="121">
        <f>'CEITEC MU'!K12+'CEITEC-CŘS'!K12+SKM!K12+SUKB!K14+UCT!K12+SPSSN!K12+IBA!K12+CTT!K12+ÚVT!K12+CJV!K12+CZS!K12+RMU!K12</f>
        <v>0</v>
      </c>
      <c r="L12" s="220">
        <f>'CEITEC MU'!L12+'CEITEC-CŘS'!L12+SKM!L12+SUKB!L14+UCT!L12+SPSSN!L12+IBA!L12+CTT!L12+ÚVT!L12+CJV!L12+CZS!L12+RMU!L12</f>
        <v>0</v>
      </c>
      <c r="M12" s="162">
        <f>'CEITEC MU'!M12+'CEITEC-CŘS'!M12+SKM!M12+SUKB!M14+UCT!M12+SPSSN!M12+IBA!M12+CTT!M12+ÚVT!M12+CJV!M12+CZS!M12+RMU!M12</f>
        <v>0</v>
      </c>
      <c r="N12" s="164">
        <f>'CEITEC MU'!N12+'CEITEC-CŘS'!N12+SKM!N12+SUKB!N14+UCT!N12+SPSSN!N12+IBA!N12+CTT!N12+ÚVT!N12+CJV!N12+CZS!N12+RMU!N12</f>
        <v>0</v>
      </c>
      <c r="O12" s="163">
        <f>'CEITEC MU'!O12+'CEITEC-CŘS'!O12+SKM!O12+SUKB!O14+UCT!O12+SPSSN!O12+IBA!O12+CTT!O12+ÚVT!O12+CJV!O12+CZS!O12+RMU!O12</f>
        <v>0</v>
      </c>
      <c r="P12" s="300" t="e">
        <f>'CEITEC MU'!P12+'CEITEC-CŘS'!P12+SKM!P12+SUKB!P14+UCT!P12+SPSSN!P12+IBA!P12+CTT!P12+ÚVT!P12+CJV!P12+CZS!P12+RMU!P12</f>
        <v>#DIV/0!</v>
      </c>
      <c r="Q12" s="859">
        <f>'CEITEC MU'!Q12+'CEITEC-CŘS'!Q12+SKM!Q12+SUKB!Q14+UCT!Q12+SPSSN!Q12+IBA!Q12+CTT!Q12+ÚVT!Q12+CJV!Q12+CZS!Q12+RMU!Q12</f>
        <v>4165.73557</v>
      </c>
      <c r="R12" s="546"/>
      <c r="S12" s="517"/>
      <c r="T12" s="154"/>
    </row>
    <row r="13" spans="1:20" s="65" customFormat="1" ht="12">
      <c r="A13" s="61"/>
      <c r="B13" s="62"/>
      <c r="C13" s="62"/>
      <c r="D13" s="63" t="s">
        <v>25</v>
      </c>
      <c r="E13" s="64">
        <v>11</v>
      </c>
      <c r="F13" s="199">
        <f t="shared" si="2"/>
        <v>181153</v>
      </c>
      <c r="G13" s="497">
        <f>'CEITEC MU'!G13+'CEITEC-CŘS'!G13+SKM!G13+SUKB!G15+UCT!G13+SPSSN!G13+IBA!G13+CTT!G13+ÚVT!G13+CJV!G13+CZS!G13+RMU!G13</f>
        <v>181153</v>
      </c>
      <c r="H13" s="220">
        <f>'CEITEC MU'!H13+'CEITEC-CŘS'!H13+SKM!H13+SUKB!H15+UCT!H13+SPSSN!H13+IBA!H13+CTT!H13+ÚVT!H13+CJV!H13+CZS!H13+RMU!H13</f>
        <v>0</v>
      </c>
      <c r="I13" s="121">
        <f>'CEITEC MU'!I13+'CEITEC-CŘS'!I13+SKM!I13+SUKB!I15+UCT!I13+SPSSN!I13+IBA!I13+CTT!I13+ÚVT!I13+CJV!I13+CZS!I13+RMU!I13</f>
        <v>0</v>
      </c>
      <c r="J13" s="121">
        <f>'CEITEC MU'!J13+'CEITEC-CŘS'!J13+SKM!J13+SUKB!J15+UCT!J13+SPSSN!J13+IBA!J13+CTT!J13+ÚVT!J13+CJV!J13+CZS!J13+RMU!J13</f>
        <v>0</v>
      </c>
      <c r="K13" s="121">
        <f>'CEITEC MU'!K13+'CEITEC-CŘS'!K13+SKM!K13+SUKB!K15+UCT!K13+SPSSN!K13+IBA!K13+CTT!K13+ÚVT!K13+CJV!K13+CZS!K13+RMU!K13</f>
        <v>0</v>
      </c>
      <c r="L13" s="220">
        <f>'CEITEC MU'!L13+'CEITEC-CŘS'!L13+SKM!L13+SUKB!L15+UCT!L13+SPSSN!L13+IBA!L13+CTT!L13+ÚVT!L13+CJV!L13+CZS!L13+RMU!L13</f>
        <v>0</v>
      </c>
      <c r="M13" s="162">
        <f>'CEITEC MU'!M13+'CEITEC-CŘS'!M13+SKM!M13+SUKB!M15+UCT!M13+SPSSN!M13+IBA!M13+CTT!M13+ÚVT!M13+CJV!M13+CZS!M13+RMU!M13</f>
        <v>0</v>
      </c>
      <c r="N13" s="164">
        <f>'CEITEC MU'!N13+'CEITEC-CŘS'!N13+SKM!N13+SUKB!N15+UCT!N13+SPSSN!N13+IBA!N13+CTT!N13+ÚVT!N13+CJV!N13+CZS!N13+RMU!N13</f>
        <v>0</v>
      </c>
      <c r="O13" s="163">
        <f>'CEITEC MU'!O13+'CEITEC-CŘS'!O13+SKM!O13+SUKB!O15+UCT!O13+SPSSN!O13+IBA!O13+CTT!O13+ÚVT!O13+CJV!O13+CZS!O13+RMU!O13</f>
        <v>0</v>
      </c>
      <c r="P13" s="300">
        <f>'CEITEC MU'!P13+'CEITEC-CŘS'!P13+SKM!P13+SUKB!P15+UCT!P13+SPSSN!P13+IBA!P13+CTT!P13+ÚVT!P13+CJV!P13+CZS!P13+RMU!P13</f>
        <v>0</v>
      </c>
      <c r="Q13" s="859">
        <f>'CEITEC MU'!Q13+'CEITEC-CŘS'!Q13+SKM!Q13+SUKB!Q15+UCT!Q13+SPSSN!Q13+IBA!Q13+CTT!Q13+ÚVT!Q13+CJV!Q13+CZS!Q13+RMU!Q13</f>
        <v>144595.74141000002</v>
      </c>
      <c r="R13" s="546"/>
      <c r="S13" s="517"/>
      <c r="T13" s="154"/>
    </row>
    <row r="14" spans="1:20" s="65" customFormat="1" ht="12">
      <c r="A14" s="61"/>
      <c r="B14" s="62"/>
      <c r="C14" s="62"/>
      <c r="D14" s="63" t="s">
        <v>26</v>
      </c>
      <c r="E14" s="64">
        <v>12</v>
      </c>
      <c r="F14" s="199">
        <f t="shared" si="2"/>
        <v>115039</v>
      </c>
      <c r="G14" s="497">
        <f>'CEITEC MU'!G14+'CEITEC-CŘS'!G14+SKM!G14+SUKB!G16+UCT!G14+SPSSN!G14+IBA!G14+CTT!G14+ÚVT!G14+CJV!G14+CZS!G14+RMU!G14</f>
        <v>114329</v>
      </c>
      <c r="H14" s="220">
        <f>'CEITEC MU'!H14+'CEITEC-CŘS'!H14+SKM!H14+SUKB!H16+UCT!H14+SPSSN!H14+IBA!H14+CTT!H14+ÚVT!H14+CJV!H14+CZS!H14+RMU!H14</f>
        <v>0</v>
      </c>
      <c r="I14" s="121">
        <f>'CEITEC MU'!I14+'CEITEC-CŘS'!I14+SKM!I14+SUKB!I16+UCT!I14+SPSSN!I14+IBA!I14+CTT!I14+ÚVT!I14+CJV!I14+CZS!I14+RMU!I14</f>
        <v>700</v>
      </c>
      <c r="J14" s="121">
        <f>'CEITEC MU'!J14+'CEITEC-CŘS'!J14+SKM!J14+SUKB!J16+UCT!J14+SPSSN!J14+IBA!J14+CTT!J14+ÚVT!J14+CJV!J14+CZS!J14+RMU!J14</f>
        <v>0</v>
      </c>
      <c r="K14" s="121">
        <f>'CEITEC MU'!K14+'CEITEC-CŘS'!K14+SKM!K14+SUKB!K16+UCT!K14+SPSSN!K14+IBA!K14+CTT!K14+ÚVT!K14+CJV!K14+CZS!K14+RMU!K14</f>
        <v>0</v>
      </c>
      <c r="L14" s="220">
        <f>'CEITEC MU'!L14+'CEITEC-CŘS'!L14+SKM!L14+SUKB!L16+UCT!L14+SPSSN!L14+IBA!L14+CTT!L14+ÚVT!L14+CJV!L14+CZS!L14+RMU!L14</f>
        <v>10</v>
      </c>
      <c r="M14" s="162">
        <f>'CEITEC MU'!M14+'CEITEC-CŘS'!M14+SKM!M14+SUKB!M16+UCT!M14+SPSSN!M14+IBA!M14+CTT!M14+ÚVT!M14+CJV!M14+CZS!M14+RMU!M14</f>
        <v>0</v>
      </c>
      <c r="N14" s="164">
        <f>'CEITEC MU'!N14+'CEITEC-CŘS'!N14+SKM!N14+SUKB!N16+UCT!N14+SPSSN!N14+IBA!N14+CTT!N14+ÚVT!N14+CJV!N14+CZS!N14+RMU!N14</f>
        <v>0</v>
      </c>
      <c r="O14" s="163">
        <f>'CEITEC MU'!O14+'CEITEC-CŘS'!O14+SKM!O14+SUKB!O16+UCT!O14+SPSSN!O14+IBA!O14+CTT!O14+ÚVT!O14+CJV!O14+CZS!O14+RMU!O14</f>
        <v>0</v>
      </c>
      <c r="P14" s="300" t="e">
        <f>'CEITEC MU'!P14+'CEITEC-CŘS'!P14+SKM!P14+SUKB!P16+UCT!P14+SPSSN!P14+IBA!P14+CTT!P14+ÚVT!P14+CJV!P14+CZS!P14+RMU!P14</f>
        <v>#DIV/0!</v>
      </c>
      <c r="Q14" s="859">
        <f>'CEITEC MU'!Q14+'CEITEC-CŘS'!Q14+SKM!Q14+SUKB!Q16+UCT!Q14+SPSSN!Q14+IBA!Q14+CTT!Q14+ÚVT!Q14+CJV!Q14+CZS!Q14+RMU!Q14</f>
        <v>116492</v>
      </c>
      <c r="R14" s="546"/>
      <c r="S14" s="517"/>
      <c r="T14" s="154"/>
    </row>
    <row r="15" spans="1:20" s="65" customFormat="1" ht="12">
      <c r="A15" s="61"/>
      <c r="B15" s="62"/>
      <c r="C15" s="63"/>
      <c r="D15" s="63" t="s">
        <v>27</v>
      </c>
      <c r="E15" s="64">
        <v>13</v>
      </c>
      <c r="F15" s="199">
        <f t="shared" si="2"/>
        <v>43548</v>
      </c>
      <c r="G15" s="497">
        <f>'CEITEC MU'!G15+'CEITEC-CŘS'!G15+SKM!G15+SUKB!G17+UCT!G15+SPSSN!G15+IBA!G15+CTT!G15+ÚVT!G15+CJV!G15+CZS!G15+RMU!G15</f>
        <v>36134</v>
      </c>
      <c r="H15" s="220">
        <f>'CEITEC MU'!H15+'CEITEC-CŘS'!H15+SKM!H15+SUKB!H17+UCT!H15+SPSSN!H15+IBA!H15+CTT!H15+ÚVT!H15+CJV!H15+CZS!H15+RMU!H15</f>
        <v>702</v>
      </c>
      <c r="I15" s="121">
        <f>'CEITEC MU'!I15+'CEITEC-CŘS'!I15+SKM!I15+SUKB!I17+UCT!I15+SPSSN!I15+IBA!I15+CTT!I15+ÚVT!I15+CJV!I15+CZS!I15+RMU!I15</f>
        <v>4800</v>
      </c>
      <c r="J15" s="121">
        <f>'CEITEC MU'!J15+'CEITEC-CŘS'!J15+SKM!J15+SUKB!J17+UCT!J15+SPSSN!J15+IBA!J15+CTT!J15+ÚVT!J15+CJV!J15+CZS!J15+RMU!J15</f>
        <v>0</v>
      </c>
      <c r="K15" s="121">
        <f>'CEITEC MU'!K15+'CEITEC-CŘS'!K15+SKM!K15+SUKB!K17+UCT!K15+SPSSN!K15+IBA!K15+CTT!K15+ÚVT!K15+CJV!K15+CZS!K15+RMU!K15</f>
        <v>1912</v>
      </c>
      <c r="L15" s="220">
        <f>'CEITEC MU'!L15+'CEITEC-CŘS'!L15+SKM!L15+SUKB!L17+UCT!L15+SPSSN!L15+IBA!L15+CTT!L15+ÚVT!L15+CJV!L15+CZS!L15+RMU!L15</f>
        <v>0</v>
      </c>
      <c r="M15" s="162">
        <f>'CEITEC MU'!M15+'CEITEC-CŘS'!M15+SKM!M15+SUKB!M17+UCT!M15+SPSSN!M15+IBA!M15+CTT!M15+ÚVT!M15+CJV!M15+CZS!M15+RMU!M15</f>
        <v>0</v>
      </c>
      <c r="N15" s="164">
        <f>'CEITEC MU'!N15+'CEITEC-CŘS'!N15+SKM!N15+SUKB!N17+UCT!N15+SPSSN!N15+IBA!N15+CTT!N15+ÚVT!N15+CJV!N15+CZS!N15+RMU!N15</f>
        <v>0</v>
      </c>
      <c r="O15" s="163">
        <f>'CEITEC MU'!O15+'CEITEC-CŘS'!O15+SKM!O15+SUKB!O17+UCT!O15+SPSSN!O15+IBA!O15+CTT!O15+ÚVT!O15+CJV!O15+CZS!O15+RMU!O15</f>
        <v>0</v>
      </c>
      <c r="P15" s="300" t="e">
        <f>'CEITEC MU'!P15+'CEITEC-CŘS'!P15+SKM!P15+SUKB!P17+UCT!P15+SPSSN!P15+IBA!P15+CTT!P15+ÚVT!P15+CJV!P15+CZS!P15+RMU!P15</f>
        <v>#DIV/0!</v>
      </c>
      <c r="Q15" s="859">
        <f>'CEITEC MU'!Q15+'CEITEC-CŘS'!Q15+SKM!Q15+SUKB!Q17+UCT!Q15+SPSSN!Q15+IBA!Q15+CTT!Q15+ÚVT!Q15+CJV!Q15+CZS!Q15+RMU!Q15</f>
        <v>97655.91961</v>
      </c>
      <c r="R15" s="546"/>
      <c r="S15" s="517"/>
      <c r="T15" s="154"/>
    </row>
    <row r="16" spans="1:20" s="25" customFormat="1" ht="12">
      <c r="A16" s="21"/>
      <c r="B16" s="30" t="s">
        <v>28</v>
      </c>
      <c r="C16" s="27"/>
      <c r="D16" s="27"/>
      <c r="E16" s="28">
        <v>14</v>
      </c>
      <c r="F16" s="119">
        <f t="shared" si="2"/>
        <v>0</v>
      </c>
      <c r="G16" s="499">
        <f>'CEITEC MU'!G16+'CEITEC-CŘS'!G16+SKM!G16+SUKB!G18+UCT!G16+SPSSN!G16+IBA!G16+CTT!G16+ÚVT!G16+CJV!G16+CZS!G16+RMU!G16</f>
        <v>0</v>
      </c>
      <c r="H16" s="94">
        <f>'CEITEC MU'!H16+'CEITEC-CŘS'!H16+SKM!H16+SUKB!H18+UCT!H16+SPSSN!H16+IBA!H16+CTT!H16+ÚVT!H16+CJV!H16+CZS!H16+RMU!H16</f>
        <v>0</v>
      </c>
      <c r="I16" s="95">
        <f>'CEITEC MU'!I16+'CEITEC-CŘS'!I16+SKM!I16+SUKB!I18+UCT!I16+SPSSN!I16+IBA!I16+CTT!I16+ÚVT!I16+CJV!I16+CZS!I16+RMU!I16</f>
        <v>0</v>
      </c>
      <c r="J16" s="95">
        <f>'CEITEC MU'!J16+'CEITEC-CŘS'!J16+SKM!J16+SUKB!J18+UCT!J16+SPSSN!J16+IBA!J16+CTT!J16+ÚVT!J16+CJV!J16+CZS!J16+RMU!J16</f>
        <v>0</v>
      </c>
      <c r="K16" s="95">
        <f>'CEITEC MU'!K16+'CEITEC-CŘS'!K16+SKM!K16+SUKB!K18+UCT!K16+SPSSN!K16+IBA!K16+CTT!K16+ÚVT!K16+CJV!K16+CZS!K16+RMU!K16</f>
        <v>0</v>
      </c>
      <c r="L16" s="94">
        <f>'CEITEC MU'!L16+'CEITEC-CŘS'!L16+SKM!L16+SUKB!L18+UCT!L16+SPSSN!L16+IBA!L16+CTT!L16+ÚVT!L16+CJV!L16+CZS!L16+RMU!L16</f>
        <v>0</v>
      </c>
      <c r="M16" s="165">
        <f>'CEITEC MU'!M16+'CEITEC-CŘS'!M16+SKM!M16+SUKB!M18+UCT!M16+SPSSN!M16+IBA!M16+CTT!M16+ÚVT!M16+CJV!M16+CZS!M16+RMU!M16</f>
        <v>0</v>
      </c>
      <c r="N16" s="96">
        <f>'CEITEC MU'!N16+'CEITEC-CŘS'!N16+SKM!N16+SUKB!N18+UCT!N16+SPSSN!N16+IBA!N16+CTT!N16+ÚVT!N16+CJV!N16+CZS!N16+RMU!N16</f>
        <v>0</v>
      </c>
      <c r="O16" s="126">
        <f>'CEITEC MU'!O16+'CEITEC-CŘS'!O16+SKM!O16+SUKB!O18+UCT!O16+SPSSN!O16+IBA!O16+CTT!O16+ÚVT!O16+CJV!O16+CZS!O16+RMU!O16</f>
        <v>0</v>
      </c>
      <c r="P16" s="308">
        <f>'CEITEC MU'!P16+'CEITEC-CŘS'!P16+SKM!P16+SUKB!P18+UCT!P16+SPSSN!P16+IBA!P16+CTT!P16+ÚVT!P16+CJV!P16+CZS!P16+RMU!P16</f>
        <v>0</v>
      </c>
      <c r="Q16" s="519">
        <f>'CEITEC MU'!Q16+'CEITEC-CŘS'!Q16+SKM!Q16+SUKB!Q18+UCT!Q16+SPSSN!Q16+IBA!Q16+CTT!Q16+ÚVT!Q16+CJV!Q16+CZS!Q16+RMU!Q16</f>
        <v>0</v>
      </c>
      <c r="R16" s="255"/>
      <c r="S16" s="72"/>
      <c r="T16" s="59"/>
    </row>
    <row r="17" spans="1:20" s="25" customFormat="1" ht="12">
      <c r="A17" s="21"/>
      <c r="B17" s="30" t="s">
        <v>30</v>
      </c>
      <c r="C17" s="27"/>
      <c r="D17" s="27"/>
      <c r="E17" s="28">
        <v>15</v>
      </c>
      <c r="F17" s="119">
        <f t="shared" si="2"/>
        <v>37000</v>
      </c>
      <c r="G17" s="499">
        <f>'CEITEC MU'!G17+'CEITEC-CŘS'!G17+SKM!G17+SUKB!G19+UCT!G17+SPSSN!G17+IBA!G17+CTT!G17+ÚVT!G17+CJV!G17+CZS!G17+RMU!G17</f>
        <v>35461</v>
      </c>
      <c r="H17" s="94">
        <f>'CEITEC MU'!H17+'CEITEC-CŘS'!H17+SKM!H17+SUKB!H19+UCT!H17+SPSSN!H17+IBA!H17+CTT!H17+ÚVT!H17+CJV!H17+CZS!H17+RMU!H17</f>
        <v>0</v>
      </c>
      <c r="I17" s="95">
        <f>'CEITEC MU'!I17+'CEITEC-CŘS'!I17+SKM!I17+SUKB!I19+UCT!I17+SPSSN!I17+IBA!I17+CTT!I17+ÚVT!I17+CJV!I17+CZS!I17+RMU!I17</f>
        <v>1539</v>
      </c>
      <c r="J17" s="95">
        <f>'CEITEC MU'!J17+'CEITEC-CŘS'!J17+SKM!J17+SUKB!J19+UCT!J17+SPSSN!J17+IBA!J17+CTT!J17+ÚVT!J17+CJV!J17+CZS!J17+RMU!J17</f>
        <v>0</v>
      </c>
      <c r="K17" s="95">
        <f>'CEITEC MU'!K17+'CEITEC-CŘS'!K17+SKM!K17+SUKB!K19+UCT!K17+SPSSN!K17+IBA!K17+CTT!K17+ÚVT!K17+CJV!K17+CZS!K17+RMU!K17</f>
        <v>0</v>
      </c>
      <c r="L17" s="94">
        <f>'CEITEC MU'!L17+'CEITEC-CŘS'!L17+SKM!L17+SUKB!L19+UCT!L17+SPSSN!L17+IBA!L17+CTT!L17+ÚVT!L17+CJV!L17+CZS!L17+RMU!L17</f>
        <v>0</v>
      </c>
      <c r="M17" s="165">
        <f>'CEITEC MU'!M17+'CEITEC-CŘS'!M17+SKM!M17+SUKB!M19+UCT!M17+SPSSN!M17+IBA!M17+CTT!M17+ÚVT!M17+CJV!M17+CZS!M17+RMU!M17</f>
        <v>0</v>
      </c>
      <c r="N17" s="96">
        <f>'CEITEC MU'!N17+'CEITEC-CŘS'!N17+SKM!N17+SUKB!N19+UCT!N17+SPSSN!N17+IBA!N17+CTT!N17+ÚVT!N17+CJV!N17+CZS!N17+RMU!N17</f>
        <v>0</v>
      </c>
      <c r="O17" s="126">
        <f>'CEITEC MU'!O17+'CEITEC-CŘS'!O17+SKM!O17+SUKB!O19+UCT!O17+SPSSN!O17+IBA!O17+CTT!O17+ÚVT!O17+CJV!O17+CZS!O17+RMU!O17</f>
        <v>0</v>
      </c>
      <c r="P17" s="308">
        <f>'CEITEC MU'!P17+'CEITEC-CŘS'!P17+SKM!P17+SUKB!P19+UCT!P17+SPSSN!P17+IBA!P17+CTT!P17+ÚVT!P17+CJV!P17+CZS!P17+RMU!P17</f>
        <v>0</v>
      </c>
      <c r="Q17" s="519">
        <f>'CEITEC MU'!Q17+'CEITEC-CŘS'!Q17+SKM!Q17+SUKB!Q19+UCT!Q17+SPSSN!Q17+IBA!Q17+CTT!Q17+ÚVT!Q17+CJV!Q17+CZS!Q17+RMU!Q17</f>
        <v>38972.036</v>
      </c>
      <c r="R17" s="255"/>
      <c r="S17" s="72"/>
      <c r="T17" s="59"/>
    </row>
    <row r="18" spans="1:20" s="25" customFormat="1" ht="12">
      <c r="A18" s="21"/>
      <c r="B18" s="31" t="s">
        <v>32</v>
      </c>
      <c r="C18" s="32"/>
      <c r="D18" s="32"/>
      <c r="E18" s="33">
        <v>16</v>
      </c>
      <c r="F18" s="119">
        <f t="shared" si="2"/>
        <v>90954</v>
      </c>
      <c r="G18" s="499">
        <f>'CEITEC MU'!G18+'CEITEC-CŘS'!G18+SKM!G18+SUKB!G20+UCT!G18+SPSSN!G18+IBA!G18+CTT!G18+ÚVT!G18+CJV!G18+CZS!G18+RMU!G18</f>
        <v>90954</v>
      </c>
      <c r="H18" s="94">
        <f>'CEITEC MU'!H18+'CEITEC-CŘS'!H18+SKM!H18+SUKB!H20+UCT!H18+SPSSN!H18+IBA!H18+CTT!H18+ÚVT!H18+CJV!H18+CZS!H18+RMU!H18</f>
        <v>0</v>
      </c>
      <c r="I18" s="95">
        <f>'CEITEC MU'!I18+'CEITEC-CŘS'!I18+SKM!I18+SUKB!I20+UCT!I18+SPSSN!I18+IBA!I18+CTT!I18+ÚVT!I18+CJV!I18+CZS!I18+RMU!I18</f>
        <v>0</v>
      </c>
      <c r="J18" s="95">
        <f>'CEITEC MU'!J18+'CEITEC-CŘS'!J18+SKM!J18+SUKB!J20+UCT!J18+SPSSN!J18+IBA!J18+CTT!J18+ÚVT!J18+CJV!J18+CZS!J18+RMU!J18</f>
        <v>0</v>
      </c>
      <c r="K18" s="95">
        <f>'CEITEC MU'!K18+'CEITEC-CŘS'!K18+SKM!K18+SUKB!K20+UCT!K18+SPSSN!K18+IBA!K18+CTT!K18+ÚVT!K18+CJV!K18+CZS!K18+RMU!K18</f>
        <v>0</v>
      </c>
      <c r="L18" s="94">
        <f>'CEITEC MU'!L18+'CEITEC-CŘS'!L18+SKM!L18+SUKB!L20+UCT!L18+SPSSN!L18+IBA!L18+CTT!L18+ÚVT!L18+CJV!L18+CZS!L18+RMU!L18</f>
        <v>0</v>
      </c>
      <c r="M18" s="165">
        <f>'CEITEC MU'!M18+'CEITEC-CŘS'!M18+SKM!M18+SUKB!M20+UCT!M18+SPSSN!M18+IBA!M18+CTT!M18+ÚVT!M18+CJV!M18+CZS!M18+RMU!M18</f>
        <v>0</v>
      </c>
      <c r="N18" s="96">
        <f>'CEITEC MU'!N18+'CEITEC-CŘS'!N18+SKM!N18+SUKB!N20+UCT!N18+SPSSN!N18+IBA!N18+CTT!N18+ÚVT!N18+CJV!N18+CZS!N18+RMU!N18</f>
        <v>0</v>
      </c>
      <c r="O18" s="126">
        <f>'CEITEC MU'!O18+'CEITEC-CŘS'!O18+SKM!O18+SUKB!O20+UCT!O18+SPSSN!O18+IBA!O18+CTT!O18+ÚVT!O18+CJV!O18+CZS!O18+RMU!O18</f>
        <v>0</v>
      </c>
      <c r="P18" s="308">
        <f>'CEITEC MU'!P18+'CEITEC-CŘS'!P18+SKM!P18+SUKB!P20+UCT!P18+SPSSN!P18+IBA!P18+CTT!P18+ÚVT!P18+CJV!P18+CZS!P18+RMU!P18</f>
        <v>324</v>
      </c>
      <c r="Q18" s="519">
        <f>'CEITEC MU'!Q18+'CEITEC-CŘS'!Q18+SKM!Q18+SUKB!Q20+UCT!Q18+SPSSN!Q18+IBA!Q18+CTT!Q18+ÚVT!Q18+CJV!Q18+CZS!Q18+RMU!Q18</f>
        <v>62950</v>
      </c>
      <c r="R18" s="255"/>
      <c r="S18" s="72"/>
      <c r="T18" s="59"/>
    </row>
    <row r="19" spans="1:20" s="25" customFormat="1" ht="12">
      <c r="A19" s="21"/>
      <c r="B19" s="31" t="s">
        <v>34</v>
      </c>
      <c r="C19" s="32"/>
      <c r="D19" s="32"/>
      <c r="E19" s="33">
        <v>17</v>
      </c>
      <c r="F19" s="119">
        <f t="shared" si="2"/>
        <v>0</v>
      </c>
      <c r="G19" s="499">
        <f>'CEITEC MU'!G19+'CEITEC-CŘS'!G19+SKM!G19+SUKB!G21+UCT!G19+SPSSN!G19+IBA!G19+CTT!G19+ÚVT!G19+CJV!G19+CZS!G19+RMU!G19</f>
        <v>0</v>
      </c>
      <c r="H19" s="94">
        <f>'CEITEC MU'!H19+'CEITEC-CŘS'!H19+SKM!H19+SUKB!H21+UCT!H19+SPSSN!H19+IBA!H19+CTT!H19+ÚVT!H19+CJV!H19+CZS!H19+RMU!H19</f>
        <v>0</v>
      </c>
      <c r="I19" s="95">
        <f>'CEITEC MU'!I19+'CEITEC-CŘS'!I19+SKM!I19+SUKB!I21+UCT!I19+SPSSN!I19+IBA!I19+CTT!I19+ÚVT!I19+CJV!I19+CZS!I19+RMU!I19</f>
        <v>0</v>
      </c>
      <c r="J19" s="95">
        <f>'CEITEC MU'!J19+'CEITEC-CŘS'!J19+SKM!J19+SUKB!J21+UCT!J19+SPSSN!J19+IBA!J19+CTT!J19+ÚVT!J19+CJV!J19+CZS!J19+RMU!J19</f>
        <v>0</v>
      </c>
      <c r="K19" s="95">
        <f>'CEITEC MU'!K19+'CEITEC-CŘS'!K19+SKM!K19+SUKB!K21+UCT!K19+SPSSN!K19+IBA!K19+CTT!K19+ÚVT!K19+CJV!K19+CZS!K19+RMU!K19</f>
        <v>0</v>
      </c>
      <c r="L19" s="94">
        <f>'CEITEC MU'!L19+'CEITEC-CŘS'!L19+SKM!L19+SUKB!L21+UCT!L19+SPSSN!L19+IBA!L19+CTT!L19+ÚVT!L19+CJV!L19+CZS!L19+RMU!L19</f>
        <v>0</v>
      </c>
      <c r="M19" s="165">
        <f>'CEITEC MU'!M19+'CEITEC-CŘS'!M19+SKM!M19+SUKB!M21+UCT!M19+SPSSN!M19+IBA!M19+CTT!M19+ÚVT!M19+CJV!M19+CZS!M19+RMU!M19</f>
        <v>0</v>
      </c>
      <c r="N19" s="96">
        <f>'CEITEC MU'!N19+'CEITEC-CŘS'!N19+SKM!N19+SUKB!N21+UCT!N19+SPSSN!N19+IBA!N19+CTT!N19+ÚVT!N19+CJV!N19+CZS!N19+RMU!N19</f>
        <v>0</v>
      </c>
      <c r="O19" s="126">
        <f>'CEITEC MU'!O19+'CEITEC-CŘS'!O19+SKM!O19+SUKB!O21+UCT!O19+SPSSN!O19+IBA!O19+CTT!O19+ÚVT!O19+CJV!O19+CZS!O19+RMU!O19</f>
        <v>0</v>
      </c>
      <c r="P19" s="308">
        <f>'CEITEC MU'!P19+'CEITEC-CŘS'!P19+SKM!P19+SUKB!P21+UCT!P19+SPSSN!P19+IBA!P19+CTT!P19+ÚVT!P19+CJV!P19+CZS!P19+RMU!P19</f>
        <v>0</v>
      </c>
      <c r="Q19" s="519">
        <f>'CEITEC MU'!Q19+'CEITEC-CŘS'!Q19+SKM!Q19+SUKB!Q21+UCT!Q19+SPSSN!Q19+IBA!Q19+CTT!Q19+ÚVT!Q19+CJV!Q19+CZS!Q19+RMU!Q19</f>
        <v>485</v>
      </c>
      <c r="R19" s="255"/>
      <c r="S19" s="72"/>
      <c r="T19" s="59"/>
    </row>
    <row r="20" spans="1:20" s="25" customFormat="1" ht="12">
      <c r="A20" s="21"/>
      <c r="B20" s="31" t="s">
        <v>36</v>
      </c>
      <c r="C20" s="31"/>
      <c r="D20" s="31"/>
      <c r="E20" s="33">
        <v>18</v>
      </c>
      <c r="F20" s="119">
        <f t="shared" si="2"/>
        <v>10080</v>
      </c>
      <c r="G20" s="499">
        <f>'CEITEC MU'!G20+'CEITEC-CŘS'!G20+SKM!G20+SUKB!G22+UCT!G20+SPSSN!G20+IBA!G20+CTT!G20+ÚVT!G20+CJV!G20+CZS!G20+RMU!G20</f>
        <v>10080</v>
      </c>
      <c r="H20" s="94">
        <f>'CEITEC MU'!H20+'CEITEC-CŘS'!H20+SKM!H20+SUKB!H22+UCT!H20+SPSSN!H20+IBA!H20+CTT!H20+ÚVT!H20+CJV!H20+CZS!H20+RMU!H20</f>
        <v>0</v>
      </c>
      <c r="I20" s="95">
        <f>'CEITEC MU'!I20+'CEITEC-CŘS'!I20+SKM!I20+SUKB!I22+UCT!I20+SPSSN!I20+IBA!I20+CTT!I20+ÚVT!I20+CJV!I20+CZS!I20+RMU!I20</f>
        <v>0</v>
      </c>
      <c r="J20" s="95">
        <f>'CEITEC MU'!J20+'CEITEC-CŘS'!J20+SKM!J20+SUKB!J22+UCT!J20+SPSSN!J20+IBA!J20+CTT!J20+ÚVT!J20+CJV!J20+CZS!J20+RMU!J20</f>
        <v>0</v>
      </c>
      <c r="K20" s="95">
        <f>'CEITEC MU'!K20+'CEITEC-CŘS'!K20+SKM!K20+SUKB!K22+UCT!K20+SPSSN!K20+IBA!K20+CTT!K20+ÚVT!K20+CJV!K20+CZS!K20+RMU!K20</f>
        <v>0</v>
      </c>
      <c r="L20" s="94">
        <f>'CEITEC MU'!L20+'CEITEC-CŘS'!L20+SKM!L20+SUKB!L22+UCT!L20+SPSSN!L20+IBA!L20+CTT!L20+ÚVT!L20+CJV!L20+CZS!L20+RMU!L20</f>
        <v>0</v>
      </c>
      <c r="M20" s="165">
        <f>'CEITEC MU'!M20+'CEITEC-CŘS'!M20+SKM!M20+SUKB!M22+UCT!M20+SPSSN!M20+IBA!M20+CTT!M20+ÚVT!M20+CJV!M20+CZS!M20+RMU!M20</f>
        <v>0</v>
      </c>
      <c r="N20" s="96">
        <f>'CEITEC MU'!N20+'CEITEC-CŘS'!N20+SKM!N20+SUKB!N22+UCT!N20+SPSSN!N20+IBA!N20+CTT!N20+ÚVT!N20+CJV!N20+CZS!N20+RMU!N20</f>
        <v>0</v>
      </c>
      <c r="O20" s="126">
        <f>'CEITEC MU'!O20+'CEITEC-CŘS'!O20+SKM!O20+SUKB!O22+UCT!O20+SPSSN!O20+IBA!O20+CTT!O20+ÚVT!O20+CJV!O20+CZS!O20+RMU!O20</f>
        <v>0</v>
      </c>
      <c r="P20" s="308">
        <f>'CEITEC MU'!P20+'CEITEC-CŘS'!P20+SKM!P20+SUKB!P22+UCT!P20+SPSSN!P20+IBA!P20+CTT!P20+ÚVT!P20+CJV!P20+CZS!P20+RMU!P20</f>
        <v>5800</v>
      </c>
      <c r="Q20" s="519">
        <f>'CEITEC MU'!Q20+'CEITEC-CŘS'!Q20+SKM!Q20+SUKB!Q22+UCT!Q20+SPSSN!Q20+IBA!Q20+CTT!Q20+ÚVT!Q20+CJV!Q20+CZS!Q20+RMU!Q20</f>
        <v>9689.25454</v>
      </c>
      <c r="R20" s="255"/>
      <c r="S20" s="72"/>
      <c r="T20" s="59"/>
    </row>
    <row r="21" spans="1:20" s="640" customFormat="1" ht="12">
      <c r="A21" s="628"/>
      <c r="B21" s="629" t="s">
        <v>175</v>
      </c>
      <c r="C21" s="629"/>
      <c r="D21" s="629"/>
      <c r="E21" s="630">
        <v>19</v>
      </c>
      <c r="F21" s="631">
        <f t="shared" si="2"/>
        <v>53249</v>
      </c>
      <c r="G21" s="907">
        <f>'CEITEC MU'!G21+'CEITEC-CŘS'!G21+SKM!G21+SUKB!G23+UCT!G21+SPSSN!G21+IBA!G21+CTT!G21+ÚVT!G21+CJV!G21+CZS!G21+RMU!G21</f>
        <v>53249</v>
      </c>
      <c r="H21" s="706">
        <f>'CEITEC MU'!H21+'CEITEC-CŘS'!H21+SKM!H21+SUKB!H23+UCT!H21+SPSSN!H21+IBA!H21+CTT!H21+ÚVT!H21+CJV!H21+CZS!H21+RMU!H21</f>
        <v>0</v>
      </c>
      <c r="I21" s="695">
        <f>'CEITEC MU'!I21+'CEITEC-CŘS'!I21+SKM!I21+SUKB!I23+UCT!I21+SPSSN!I21+IBA!I21+CTT!I21+ÚVT!I21+CJV!I21+CZS!I21+RMU!I21</f>
        <v>0</v>
      </c>
      <c r="J21" s="695">
        <f>'CEITEC MU'!J21+'CEITEC-CŘS'!J21+SKM!J21+SUKB!J23+UCT!J21+SPSSN!J21+IBA!J21+CTT!J21+ÚVT!J21+CJV!J21+CZS!J21+RMU!J21</f>
        <v>0</v>
      </c>
      <c r="K21" s="695">
        <f>'CEITEC MU'!K21+'CEITEC-CŘS'!K21+SKM!K21+SUKB!K23+UCT!K21+SPSSN!K21+IBA!K21+CTT!K21+ÚVT!K21+CJV!K21+CZS!K21+RMU!K21</f>
        <v>0</v>
      </c>
      <c r="L21" s="706">
        <f>'CEITEC MU'!L21+'CEITEC-CŘS'!L21+SKM!L21+SUKB!L23+UCT!L21+SPSSN!L21+IBA!L21+CTT!L21+ÚVT!L21+CJV!L21+CZS!L21+RMU!L21</f>
        <v>0</v>
      </c>
      <c r="M21" s="559">
        <f>'CEITEC MU'!M21+'CEITEC-CŘS'!M21+SKM!M21+SUKB!M23+UCT!M21+SPSSN!M21+IBA!M21+CTT!M21+ÚVT!M21+CJV!M21+CZS!M21+RMU!M21</f>
        <v>0</v>
      </c>
      <c r="N21" s="519">
        <f>'CEITEC MU'!N21+'CEITEC-CŘS'!N21+SKM!N21+SUKB!N23+UCT!N21+SPSSN!N21+IBA!N21+CTT!N21+ÚVT!N21+CJV!N21+CZS!N21+RMU!N21</f>
        <v>0</v>
      </c>
      <c r="O21" s="704">
        <f>'CEITEC MU'!O21+'CEITEC-CŘS'!O21+SKM!O21+SUKB!O23+UCT!O21+SPSSN!O21+IBA!O21+CTT!O21+ÚVT!O21+CJV!O21+CZS!O21+RMU!O21</f>
        <v>0</v>
      </c>
      <c r="P21" s="705">
        <f>'CEITEC MU'!P21+'CEITEC-CŘS'!P21+SKM!P21+SUKB!P23+UCT!P21+SPSSN!P21+IBA!P21+CTT!P21+ÚVT!P21+CJV!P21+CZS!P21+RMU!P21</f>
        <v>0</v>
      </c>
      <c r="Q21" s="519">
        <f>'CEITEC MU'!Q21+'CEITEC-CŘS'!Q21+SKM!Q21+SUKB!Q23+UCT!Q21+SPSSN!Q21+IBA!Q21+CTT!Q21+ÚVT!Q21+CJV!Q21+CZS!Q21+RMU!Q21</f>
        <v>38361.738450000004</v>
      </c>
      <c r="R21" s="252"/>
      <c r="S21" s="51"/>
      <c r="T21" s="51"/>
    </row>
    <row r="22" spans="1:20" s="25" customFormat="1" ht="12">
      <c r="A22" s="21"/>
      <c r="B22" s="31" t="s">
        <v>40</v>
      </c>
      <c r="C22" s="31"/>
      <c r="D22" s="31"/>
      <c r="E22" s="33">
        <v>20</v>
      </c>
      <c r="F22" s="119">
        <f t="shared" si="2"/>
        <v>53660</v>
      </c>
      <c r="G22" s="499">
        <f>'CEITEC MU'!G22+'CEITEC-CŘS'!G22+SKM!G22+SUKB!G24+UCT!G22+SPSSN!G22+IBA!G22+CTT!G22+ÚVT!G22+CJV!G22+CZS!G22+RMU!G22</f>
        <v>24936</v>
      </c>
      <c r="H22" s="94">
        <f>'CEITEC MU'!H22+'CEITEC-CŘS'!H22+SKM!H22+SUKB!H24+UCT!H22+SPSSN!H22+IBA!H22+CTT!H22+ÚVT!H22+CJV!H22+CZS!H22+RMU!H22</f>
        <v>0</v>
      </c>
      <c r="I22" s="95">
        <f>'CEITEC MU'!I22+'CEITEC-CŘS'!I22+SKM!I22+SUKB!I24+UCT!I22+SPSSN!I22+IBA!I22+CTT!I22+ÚVT!I22+CJV!I22+CZS!I22+RMU!I22</f>
        <v>28724</v>
      </c>
      <c r="J22" s="95">
        <f>'CEITEC MU'!J22+'CEITEC-CŘS'!J22+SKM!J22+SUKB!J24+UCT!J22+SPSSN!J22+IBA!J22+CTT!J22+ÚVT!J22+CJV!J22+CZS!J22+RMU!J22</f>
        <v>0</v>
      </c>
      <c r="K22" s="95">
        <f>'CEITEC MU'!K22+'CEITEC-CŘS'!K22+SKM!K22+SUKB!K24+UCT!K22+SPSSN!K22+IBA!K22+CTT!K22+ÚVT!K22+CJV!K22+CZS!K22+RMU!K22</f>
        <v>0</v>
      </c>
      <c r="L22" s="94">
        <f>'CEITEC MU'!L22+'CEITEC-CŘS'!L22+SKM!L22+SUKB!L24+UCT!L22+SPSSN!L22+IBA!L22+CTT!L22+ÚVT!L22+CJV!L22+CZS!L22+RMU!L22</f>
        <v>0</v>
      </c>
      <c r="M22" s="165">
        <f>'CEITEC MU'!M22+'CEITEC-CŘS'!M22+SKM!M22+SUKB!M24+UCT!M22+SPSSN!M22+IBA!M22+CTT!M22+ÚVT!M22+CJV!M22+CZS!M22+RMU!M22</f>
        <v>0</v>
      </c>
      <c r="N22" s="96">
        <f>'CEITEC MU'!N22+'CEITEC-CŘS'!N22+SKM!N22+SUKB!N24+UCT!N22+SPSSN!N22+IBA!N22+CTT!N22+ÚVT!N22+CJV!N22+CZS!N22+RMU!N22</f>
        <v>0</v>
      </c>
      <c r="O22" s="126">
        <f>'CEITEC MU'!O22+'CEITEC-CŘS'!O22+SKM!O22+SUKB!O24+UCT!O22+SPSSN!O22+IBA!O22+CTT!O22+ÚVT!O22+CJV!O22+CZS!O22+RMU!O22</f>
        <v>0</v>
      </c>
      <c r="P22" s="308">
        <f>'CEITEC MU'!P22+'CEITEC-CŘS'!P22+SKM!P22+SUKB!P24+UCT!P22+SPSSN!P22+IBA!P22+CTT!P22+ÚVT!P22+CJV!P22+CZS!P22+RMU!P22</f>
        <v>0</v>
      </c>
      <c r="Q22" s="519">
        <f>'CEITEC MU'!Q22+'CEITEC-CŘS'!Q22+SKM!Q22+SUKB!Q24+UCT!Q22+SPSSN!Q22+IBA!Q22+CTT!Q22+ÚVT!Q22+CJV!Q22+CZS!Q22+RMU!Q22</f>
        <v>58475.174</v>
      </c>
      <c r="R22" s="255"/>
      <c r="S22" s="72"/>
      <c r="T22" s="59"/>
    </row>
    <row r="23" spans="1:20" s="25" customFormat="1" ht="12">
      <c r="A23" s="21"/>
      <c r="B23" s="31" t="s">
        <v>42</v>
      </c>
      <c r="C23" s="31"/>
      <c r="D23" s="31"/>
      <c r="E23" s="33">
        <v>21</v>
      </c>
      <c r="F23" s="119">
        <f t="shared" si="2"/>
        <v>30358</v>
      </c>
      <c r="G23" s="499">
        <f>'CEITEC MU'!G23+'CEITEC-CŘS'!G23+SKM!G23+SUKB!G25+UCT!G23+SPSSN!G23+IBA!G23+CTT!G23+ÚVT!G23+CJV!G23+CZS!G23+RMU!G23</f>
        <v>30315</v>
      </c>
      <c r="H23" s="94">
        <f>'CEITEC MU'!H23+'CEITEC-CŘS'!H23+SKM!H23+SUKB!H25+UCT!H23+SPSSN!H23+IBA!H23+CTT!H23+ÚVT!H23+CJV!H23+CZS!H23+RMU!H23</f>
        <v>0</v>
      </c>
      <c r="I23" s="95">
        <f>'CEITEC MU'!I23+'CEITEC-CŘS'!I23+SKM!I23+SUKB!I25+UCT!I23+SPSSN!I23+IBA!I23+CTT!I23+ÚVT!I23+CJV!I23+CZS!I23+RMU!I23</f>
        <v>43</v>
      </c>
      <c r="J23" s="95">
        <f>'CEITEC MU'!J23+'CEITEC-CŘS'!J23+SKM!J23+SUKB!J25+UCT!J23+SPSSN!J23+IBA!J23+CTT!J23+ÚVT!J23+CJV!J23+CZS!J23+RMU!J23</f>
        <v>0</v>
      </c>
      <c r="K23" s="95">
        <f>'CEITEC MU'!K23+'CEITEC-CŘS'!K23+SKM!K23+SUKB!K25+UCT!K23+SPSSN!K23+IBA!K23+CTT!K23+ÚVT!K23+CJV!K23+CZS!K23+RMU!K23</f>
        <v>0</v>
      </c>
      <c r="L23" s="94">
        <f>'CEITEC MU'!L23+'CEITEC-CŘS'!L23+SKM!L23+SUKB!L25+UCT!L23+SPSSN!L23+IBA!L23+CTT!L23+ÚVT!L23+CJV!L23+CZS!L23+RMU!L23</f>
        <v>0</v>
      </c>
      <c r="M23" s="165">
        <f>'CEITEC MU'!M23+'CEITEC-CŘS'!M23+SKM!M23+SUKB!M25+UCT!M23+SPSSN!M23+IBA!M23+CTT!M23+ÚVT!M23+CJV!M23+CZS!M23+RMU!M23</f>
        <v>0</v>
      </c>
      <c r="N23" s="96">
        <f>'CEITEC MU'!N23+'CEITEC-CŘS'!N23+SKM!N23+SUKB!N25+UCT!N23+SPSSN!N23+IBA!N23+CTT!N23+ÚVT!N23+CJV!N23+CZS!N23+RMU!N23</f>
        <v>0</v>
      </c>
      <c r="O23" s="126">
        <f>'CEITEC MU'!O23+'CEITEC-CŘS'!O23+SKM!O23+SUKB!O25+UCT!O23+SPSSN!O23+IBA!O23+CTT!O23+ÚVT!O23+CJV!O23+CZS!O23+RMU!O23</f>
        <v>0</v>
      </c>
      <c r="P23" s="308">
        <f>'CEITEC MU'!P23+'CEITEC-CŘS'!P23+SKM!P23+SUKB!P25+UCT!P23+SPSSN!P23+IBA!P23+CTT!P23+ÚVT!P23+CJV!P23+CZS!P23+RMU!P23</f>
        <v>0</v>
      </c>
      <c r="Q23" s="519">
        <f>'CEITEC MU'!Q23+'CEITEC-CŘS'!Q23+SKM!Q23+SUKB!Q25+UCT!Q23+SPSSN!Q23+IBA!Q23+CTT!Q23+ÚVT!Q23+CJV!Q23+CZS!Q23+RMU!Q23</f>
        <v>930.95</v>
      </c>
      <c r="R23" s="255"/>
      <c r="S23" s="72"/>
      <c r="T23" s="59"/>
    </row>
    <row r="24" spans="1:20" s="25" customFormat="1" ht="12">
      <c r="A24" s="21"/>
      <c r="B24" s="31" t="s">
        <v>43</v>
      </c>
      <c r="C24" s="31"/>
      <c r="D24" s="31"/>
      <c r="E24" s="33">
        <v>22</v>
      </c>
      <c r="F24" s="119">
        <f t="shared" si="2"/>
        <v>42636</v>
      </c>
      <c r="G24" s="499">
        <f>'CEITEC MU'!G24+'CEITEC-CŘS'!G24+SKM!G24+SUKB!G26+UCT!G24+SPSSN!G24+IBA!G24+CTT!G24+ÚVT!G24+CJV!G24+CZS!G24+RMU!G24</f>
        <v>42150</v>
      </c>
      <c r="H24" s="94">
        <f>'CEITEC MU'!H24+'CEITEC-CŘS'!H24+SKM!H24+SUKB!H26+UCT!H24+SPSSN!H24+IBA!H24+CTT!H24+ÚVT!H24+CJV!H24+CZS!H24+RMU!H24</f>
        <v>0</v>
      </c>
      <c r="I24" s="95">
        <f>'CEITEC MU'!I24+'CEITEC-CŘS'!I24+SKM!I24+SUKB!I26+UCT!I24+SPSSN!I24+IBA!I24+CTT!I24+ÚVT!I24+CJV!I24+CZS!I24+RMU!I24</f>
        <v>486</v>
      </c>
      <c r="J24" s="95">
        <f>'CEITEC MU'!J24+'CEITEC-CŘS'!J24+SKM!J24+SUKB!J26+UCT!J24+SPSSN!J24+IBA!J24+CTT!J24+ÚVT!J24+CJV!J24+CZS!J24+RMU!J24</f>
        <v>0</v>
      </c>
      <c r="K24" s="95">
        <f>'CEITEC MU'!K24+'CEITEC-CŘS'!K24+SKM!K24+SUKB!K26+UCT!K24+SPSSN!K24+IBA!K24+CTT!K24+ÚVT!K24+CJV!K24+CZS!K24+RMU!K24</f>
        <v>0</v>
      </c>
      <c r="L24" s="94">
        <f>'CEITEC MU'!L24+'CEITEC-CŘS'!L24+SKM!L24+SUKB!L26+UCT!L24+SPSSN!L24+IBA!L24+CTT!L24+ÚVT!L24+CJV!L24+CZS!L24+RMU!L24</f>
        <v>0</v>
      </c>
      <c r="M24" s="165">
        <f>'CEITEC MU'!M24+'CEITEC-CŘS'!M24+SKM!M24+SUKB!M26+UCT!M24+SPSSN!M24+IBA!M24+CTT!M24+ÚVT!M24+CJV!M24+CZS!M24+RMU!M24</f>
        <v>0</v>
      </c>
      <c r="N24" s="96">
        <f>'CEITEC MU'!N24+'CEITEC-CŘS'!N24+SKM!N24+SUKB!N26+UCT!N24+SPSSN!N24+IBA!N24+CTT!N24+ÚVT!N24+CJV!N24+CZS!N24+RMU!N24</f>
        <v>0</v>
      </c>
      <c r="O24" s="126">
        <f>'CEITEC MU'!O24+'CEITEC-CŘS'!O24+SKM!O24+SUKB!O26+UCT!O24+SPSSN!O24+IBA!O24+CTT!O24+ÚVT!O24+CJV!O24+CZS!O24+RMU!O24</f>
        <v>0</v>
      </c>
      <c r="P24" s="308">
        <f>'CEITEC MU'!P24+'CEITEC-CŘS'!P24+SKM!P24+SUKB!P26+UCT!P24+SPSSN!P24+IBA!P24+CTT!P24+ÚVT!P24+CJV!P24+CZS!P24+RMU!P24</f>
        <v>0</v>
      </c>
      <c r="Q24" s="519">
        <f>'CEITEC MU'!Q24+'CEITEC-CŘS'!Q24+SKM!Q24+SUKB!Q26+UCT!Q24+SPSSN!Q24+IBA!Q24+CTT!Q24+ÚVT!Q24+CJV!Q24+CZS!Q24+RMU!Q24</f>
        <v>6253</v>
      </c>
      <c r="R24" s="255"/>
      <c r="S24" s="72"/>
      <c r="T24" s="59"/>
    </row>
    <row r="25" spans="1:20" s="640" customFormat="1" ht="12">
      <c r="A25" s="628"/>
      <c r="B25" s="629" t="s">
        <v>186</v>
      </c>
      <c r="C25" s="629"/>
      <c r="D25" s="629"/>
      <c r="E25" s="630">
        <v>23</v>
      </c>
      <c r="F25" s="631">
        <f t="shared" si="2"/>
        <v>94889</v>
      </c>
      <c r="G25" s="907">
        <f>'CEITEC MU'!G25+'CEITEC-CŘS'!G25+SKM!G25+SUKB!G27+UCT!G25+SPSSN!G25+IBA!G25+CTT!G25+ÚVT!G25+CJV!G25+CZS!G25+RMU!G25</f>
        <v>82984</v>
      </c>
      <c r="H25" s="706">
        <f>'CEITEC MU'!H25+'CEITEC-CŘS'!H25+SKM!H25+SUKB!H27+UCT!H25+SPSSN!H25+IBA!H25+CTT!H25+ÚVT!H25+CJV!H25+CZS!H25+RMU!H25</f>
        <v>0</v>
      </c>
      <c r="I25" s="695">
        <f>'CEITEC MU'!I25+'CEITEC-CŘS'!I25+SKM!I25+SUKB!I27+UCT!I25+SPSSN!I25+IBA!I25+CTT!I25+ÚVT!I25+CJV!I25+CZS!I25+RMU!I25</f>
        <v>11905</v>
      </c>
      <c r="J25" s="695">
        <f>'CEITEC MU'!J25+'CEITEC-CŘS'!J25+SKM!J25+SUKB!J27+UCT!J25+SPSSN!J25+IBA!J25+CTT!J25+ÚVT!J25+CJV!J25+CZS!J25+RMU!J25</f>
        <v>0</v>
      </c>
      <c r="K25" s="695">
        <f>'CEITEC MU'!K25+'CEITEC-CŘS'!K25+SKM!K25+SUKB!K27+UCT!K25+SPSSN!K25+IBA!K25+CTT!K25+ÚVT!K25+CJV!K25+CZS!K25+RMU!K25</f>
        <v>0</v>
      </c>
      <c r="L25" s="706">
        <f>'CEITEC MU'!L25+'CEITEC-CŘS'!L25+SKM!L25+SUKB!L27+UCT!L25+SPSSN!L25+IBA!L25+CTT!L25+ÚVT!L25+CJV!L25+CZS!L25+RMU!L25</f>
        <v>0</v>
      </c>
      <c r="M25" s="559">
        <f>'CEITEC MU'!M25+'CEITEC-CŘS'!M25+SKM!M25+SUKB!M27+UCT!M25+SPSSN!M25+IBA!M25+CTT!M25+ÚVT!M25+CJV!M25+CZS!M25+RMU!M25</f>
        <v>0</v>
      </c>
      <c r="N25" s="519">
        <f>'CEITEC MU'!N25+'CEITEC-CŘS'!N25+SKM!N25+SUKB!N27+UCT!N25+SPSSN!N25+IBA!N25+CTT!N25+ÚVT!N25+CJV!N25+CZS!N25+RMU!N25</f>
        <v>0</v>
      </c>
      <c r="O25" s="704">
        <f>'CEITEC MU'!O25+'CEITEC-CŘS'!O25+SKM!O25+SUKB!O27+UCT!O25+SPSSN!O25+IBA!O25+CTT!O25+ÚVT!O25+CJV!O25+CZS!O25+RMU!O25</f>
        <v>0</v>
      </c>
      <c r="P25" s="705">
        <f>'CEITEC MU'!P25+'CEITEC-CŘS'!P25+SKM!P25+SUKB!P27+UCT!P25+SPSSN!P25+IBA!P25+CTT!P25+ÚVT!P25+CJV!P25+CZS!P25+RMU!P25</f>
        <v>3047</v>
      </c>
      <c r="Q25" s="519">
        <f>'CEITEC MU'!Q25+'CEITEC-CŘS'!Q25+SKM!Q25+SUKB!Q27+UCT!Q25+SPSSN!Q25+IBA!Q25+CTT!Q25+ÚVT!Q25+CJV!Q25+CZS!Q25+RMU!Q25</f>
        <v>16705</v>
      </c>
      <c r="R25" s="252"/>
      <c r="S25" s="51"/>
      <c r="T25" s="51"/>
    </row>
    <row r="26" spans="1:20" s="25" customFormat="1" ht="12">
      <c r="A26" s="21"/>
      <c r="B26" s="31" t="s">
        <v>45</v>
      </c>
      <c r="C26" s="31"/>
      <c r="D26" s="31"/>
      <c r="E26" s="33">
        <v>24</v>
      </c>
      <c r="F26" s="119">
        <f t="shared" si="2"/>
        <v>5553</v>
      </c>
      <c r="G26" s="499">
        <f>'CEITEC MU'!G26+'CEITEC-CŘS'!G26+SKM!G26+SUKB!G28+UCT!G26+SPSSN!G26+IBA!G26+CTT!G26+ÚVT!G26+CJV!G26+CZS!G26+RMU!G26</f>
        <v>5553</v>
      </c>
      <c r="H26" s="94">
        <f>'CEITEC MU'!H26+'CEITEC-CŘS'!H26+SKM!H26+SUKB!H28+UCT!H26+SPSSN!H26+IBA!H26+CTT!H26+ÚVT!H26+CJV!H26+CZS!H26+RMU!H26</f>
        <v>0</v>
      </c>
      <c r="I26" s="95">
        <f>'CEITEC MU'!I26+'CEITEC-CŘS'!I26+SKM!I26+SUKB!I28+UCT!I26+SPSSN!I26+IBA!I26+CTT!I26+ÚVT!I26+CJV!I26+CZS!I26+RMU!I26</f>
        <v>0</v>
      </c>
      <c r="J26" s="95">
        <f>'CEITEC MU'!J26+'CEITEC-CŘS'!J26+SKM!J26+SUKB!J28+UCT!J26+SPSSN!J26+IBA!J26+CTT!J26+ÚVT!J26+CJV!J26+CZS!J26+RMU!J26</f>
        <v>0</v>
      </c>
      <c r="K26" s="95">
        <f>'CEITEC MU'!K26+'CEITEC-CŘS'!K26+SKM!K26+SUKB!K28+UCT!K26+SPSSN!K26+IBA!K26+CTT!K26+ÚVT!K26+CJV!K26+CZS!K26+RMU!K26</f>
        <v>0</v>
      </c>
      <c r="L26" s="94">
        <f>'CEITEC MU'!L26+'CEITEC-CŘS'!L26+SKM!L26+SUKB!L28+UCT!L26+SPSSN!L26+IBA!L26+CTT!L26+ÚVT!L26+CJV!L26+CZS!L26+RMU!L26</f>
        <v>0</v>
      </c>
      <c r="M26" s="165">
        <f>'CEITEC MU'!M26+'CEITEC-CŘS'!M26+SKM!M26+SUKB!M28+UCT!M26+SPSSN!M26+IBA!M26+CTT!M26+ÚVT!M26+CJV!M26+CZS!M26+RMU!M26</f>
        <v>0</v>
      </c>
      <c r="N26" s="96">
        <f>'CEITEC MU'!N26+'CEITEC-CŘS'!N26+SKM!N26+SUKB!N28+UCT!N26+SPSSN!N26+IBA!N26+CTT!N26+ÚVT!N26+CJV!N26+CZS!N26+RMU!N26</f>
        <v>0</v>
      </c>
      <c r="O26" s="126">
        <f>'CEITEC MU'!O26+'CEITEC-CŘS'!O26+SKM!O26+SUKB!O28+UCT!O26+SPSSN!O26+IBA!O26+CTT!O26+ÚVT!O26+CJV!O26+CZS!O26+RMU!O26</f>
        <v>0</v>
      </c>
      <c r="P26" s="308">
        <f>'CEITEC MU'!P26+'CEITEC-CŘS'!P26+SKM!P26+SUKB!P28+UCT!P26+SPSSN!P26+IBA!P26+CTT!P26+ÚVT!P26+CJV!P26+CZS!P26+RMU!P26</f>
        <v>0</v>
      </c>
      <c r="Q26" s="519">
        <f>'CEITEC MU'!Q26+'CEITEC-CŘS'!Q26+SKM!Q26+SUKB!Q28+UCT!Q26+SPSSN!Q26+IBA!Q26+CTT!Q26+ÚVT!Q26+CJV!Q26+CZS!Q26+RMU!Q26</f>
        <v>3033</v>
      </c>
      <c r="R26" s="255"/>
      <c r="S26" s="72"/>
      <c r="T26" s="59"/>
    </row>
    <row r="27" spans="1:20" s="25" customFormat="1" ht="12.75" thickBot="1">
      <c r="A27" s="21"/>
      <c r="B27" s="30" t="s">
        <v>47</v>
      </c>
      <c r="C27" s="30"/>
      <c r="D27" s="30"/>
      <c r="E27" s="28">
        <v>25</v>
      </c>
      <c r="F27" s="119">
        <f t="shared" si="2"/>
        <v>72851</v>
      </c>
      <c r="G27" s="499">
        <f>'CEITEC MU'!G27+'CEITEC-CŘS'!G27+SKM!G27+SUKB!G29+UCT!G27+SPSSN!G27+IBA!G27+CTT!G27+ÚVT!G27+CJV!G27+CZS!G27+RMU!G27</f>
        <v>72768</v>
      </c>
      <c r="H27" s="94">
        <f>'CEITEC MU'!H27+'CEITEC-CŘS'!H27+SKM!H27+SUKB!H29+UCT!H27+SPSSN!H27+IBA!H27+CTT!H27+ÚVT!H27+CJV!H27+CZS!H27+RMU!H27</f>
        <v>0</v>
      </c>
      <c r="I27" s="95">
        <f>'CEITEC MU'!I27+'CEITEC-CŘS'!I27+SKM!I27+SUKB!I29+UCT!I27+SPSSN!I27+IBA!I27+CTT!I27+ÚVT!I27+CJV!I27+CZS!I27+RMU!I27</f>
        <v>0</v>
      </c>
      <c r="J27" s="95">
        <f>'CEITEC MU'!J27+'CEITEC-CŘS'!J27+SKM!J27+SUKB!J29+UCT!J27+SPSSN!J27+IBA!J27+CTT!J27+ÚVT!J27+CJV!J27+CZS!J27+RMU!J27</f>
        <v>0</v>
      </c>
      <c r="K27" s="95">
        <f>'CEITEC MU'!K27+'CEITEC-CŘS'!K27+SKM!K27+SUKB!K29+UCT!K27+SPSSN!K27+IBA!K27+CTT!K27+ÚVT!K27+CJV!K27+CZS!K27+RMU!K27</f>
        <v>83</v>
      </c>
      <c r="L27" s="94">
        <f>'CEITEC MU'!L27+'CEITEC-CŘS'!L27+SKM!L27+SUKB!L29+UCT!L27+SPSSN!L27+IBA!L27+CTT!L27+ÚVT!L27+CJV!L27+CZS!L27+RMU!L27</f>
        <v>0</v>
      </c>
      <c r="M27" s="165">
        <f>'CEITEC MU'!M27+'CEITEC-CŘS'!M27+SKM!M27+SUKB!M29+UCT!M27+SPSSN!M27+IBA!M27+CTT!M27+ÚVT!M27+CJV!M27+CZS!M27+RMU!M27</f>
        <v>0</v>
      </c>
      <c r="N27" s="96">
        <f>'CEITEC MU'!N27+'CEITEC-CŘS'!N27+SKM!N27+SUKB!N29+UCT!N27+SPSSN!N27+IBA!N27+CTT!N27+ÚVT!N27+CJV!N27+CZS!N27+RMU!N27</f>
        <v>0</v>
      </c>
      <c r="O27" s="126">
        <f>'CEITEC MU'!O27+'CEITEC-CŘS'!O27+SKM!O27+SUKB!O29+UCT!O27+SPSSN!O27+IBA!O27+CTT!O27+ÚVT!O27+CJV!O27+CZS!O27+RMU!O27</f>
        <v>0</v>
      </c>
      <c r="P27" s="308" t="e">
        <f>'CEITEC MU'!P27+'CEITEC-CŘS'!P27+SKM!P27+SUKB!P29+UCT!P27+SPSSN!P27+IBA!P27+CTT!P27+ÚVT!P27+CJV!P27+CZS!P27+RMU!P27</f>
        <v>#DIV/0!</v>
      </c>
      <c r="Q27" s="519">
        <f>'CEITEC MU'!Q27+'CEITEC-CŘS'!Q27+SKM!Q27+SUKB!Q29+UCT!Q27+SPSSN!Q27+IBA!Q27+CTT!Q27+ÚVT!Q27+CJV!Q27+CZS!Q27+RMU!Q27</f>
        <v>83181.68289</v>
      </c>
      <c r="R27" s="255"/>
      <c r="S27" s="72"/>
      <c r="T27" s="59"/>
    </row>
    <row r="28" spans="1:20" ht="13.5" thickBot="1">
      <c r="A28" s="37" t="s">
        <v>49</v>
      </c>
      <c r="B28" s="38"/>
      <c r="C28" s="38"/>
      <c r="D28" s="38"/>
      <c r="E28" s="19">
        <v>26</v>
      </c>
      <c r="F28" s="197">
        <f aca="true" t="shared" si="3" ref="F28:Q28">SUM(F29:F45)</f>
        <v>1392244</v>
      </c>
      <c r="G28" s="595">
        <f t="shared" si="3"/>
        <v>1297925</v>
      </c>
      <c r="H28" s="479">
        <f t="shared" si="3"/>
        <v>11208</v>
      </c>
      <c r="I28" s="249">
        <f t="shared" si="3"/>
        <v>81069</v>
      </c>
      <c r="J28" s="249">
        <f t="shared" si="3"/>
        <v>37</v>
      </c>
      <c r="K28" s="249">
        <f t="shared" si="3"/>
        <v>1995</v>
      </c>
      <c r="L28" s="250">
        <f t="shared" si="3"/>
        <v>10</v>
      </c>
      <c r="M28" s="877">
        <f>SUM(M29:M45)</f>
        <v>0</v>
      </c>
      <c r="N28" s="197">
        <f t="shared" si="3"/>
        <v>0</v>
      </c>
      <c r="O28" s="624">
        <f t="shared" si="3"/>
        <v>0</v>
      </c>
      <c r="P28" s="877" t="e">
        <f t="shared" si="3"/>
        <v>#DIV/0!</v>
      </c>
      <c r="Q28" s="950">
        <f t="shared" si="3"/>
        <v>1331910.62989</v>
      </c>
      <c r="T28" s="239"/>
    </row>
    <row r="29" spans="1:20" s="25" customFormat="1" ht="12">
      <c r="A29" s="21" t="s">
        <v>14</v>
      </c>
      <c r="B29" s="27" t="s">
        <v>50</v>
      </c>
      <c r="C29" s="27"/>
      <c r="D29" s="27"/>
      <c r="E29" s="168">
        <v>27</v>
      </c>
      <c r="F29" s="119">
        <f aca="true" t="shared" si="4" ref="F29:F45">SUM(G29:L29)</f>
        <v>359984</v>
      </c>
      <c r="G29" s="499">
        <f>'CEITEC MU'!G29+'CEITEC-CŘS'!G29+SKM!G29+SUKB!G31+UCT!G29+SPSSN!G29+IBA!G29+CTT!G29+ÚVT!G29+CJV!G29+CZS!G29+RMU!G29</f>
        <v>359984</v>
      </c>
      <c r="H29" s="94">
        <f>'CEITEC MU'!H29+'CEITEC-CŘS'!H29+SKM!H29+SUKB!H31+UCT!H29+SPSSN!H29+IBA!H29+CTT!H29+ÚVT!H29+CJV!H29+CZS!H29+RMU!H29</f>
        <v>0</v>
      </c>
      <c r="I29" s="95">
        <f>'CEITEC MU'!I29+'CEITEC-CŘS'!I29+SKM!I29+SUKB!I31+UCT!I29+SPSSN!I29+IBA!I29+CTT!I29+ÚVT!I29+CJV!I29+CZS!I29+RMU!I29</f>
        <v>0</v>
      </c>
      <c r="J29" s="95">
        <f>'CEITEC MU'!J29+'CEITEC-CŘS'!J29+SKM!J29+SUKB!J31+UCT!J29+SPSSN!J29+IBA!J29+CTT!J29+ÚVT!J29+CJV!J29+CZS!J29+RMU!J29</f>
        <v>0</v>
      </c>
      <c r="K29" s="95">
        <f>'CEITEC MU'!K29+'CEITEC-CŘS'!K29+SKM!K29+SUKB!K31+UCT!K29+SPSSN!K29+IBA!K29+CTT!K29+ÚVT!K29+CJV!K29+CZS!K29+RMU!K29</f>
        <v>0</v>
      </c>
      <c r="L29" s="94">
        <f>'CEITEC MU'!L29+'CEITEC-CŘS'!L29+SKM!L29+SUKB!L31+UCT!L29+SPSSN!L29+IBA!L29+CTT!L29+ÚVT!L29+CJV!L29+CZS!L29+RMU!L29</f>
        <v>0</v>
      </c>
      <c r="M29" s="165">
        <f>'CEITEC MU'!M29+'CEITEC-CŘS'!M29+SKM!M29+SUKB!M31+UCT!M29+SPSSN!M29+IBA!M29+CTT!M29+ÚVT!M29+CJV!M29+CZS!M29+RMU!M29</f>
        <v>0</v>
      </c>
      <c r="N29" s="96">
        <f>'CEITEC MU'!N29+'CEITEC-CŘS'!N29+SKM!N29+SUKB!N31+UCT!N29+SPSSN!N29+IBA!N29+CTT!N29+ÚVT!N29+CJV!N29+CZS!N29+RMU!N29</f>
        <v>0</v>
      </c>
      <c r="O29" s="126">
        <f>'CEITEC MU'!O29+'CEITEC-CŘS'!O29+SKM!O29+SUKB!O31+UCT!O29+SPSSN!O29+IBA!O29+CTT!O29+ÚVT!O29+CJV!O29+CZS!O29+RMU!O29</f>
        <v>0</v>
      </c>
      <c r="P29" s="308">
        <f>'CEITEC MU'!P29+'CEITEC-CŘS'!P29+SKM!P29+SUKB!P31+UCT!P29+SPSSN!P29+IBA!P29+CTT!P29+ÚVT!P29+CJV!P29+CZS!P29+RMU!P29</f>
        <v>36558</v>
      </c>
      <c r="Q29" s="589">
        <f>'CEITEC MU'!Q29+'CEITEC-CŘS'!Q29+SKM!Q29+SUKB!Q31+UCT!Q29+SPSSN!Q29+IBA!Q29+CTT!Q29+ÚVT!Q29+CJV!Q29+CZS!Q29+RMU!Q29</f>
        <v>461403</v>
      </c>
      <c r="R29" s="909">
        <f>'CEITEC MU'!R29+'CEITEC-CŘS'!R29+SKM!R29+SUKB!R31+UCT!R29+SPSSN!R29+IBA!R29+CTT!R29+ÚVT!R29+CJV!R29+CZS!R29+RMU!R29</f>
        <v>248555</v>
      </c>
      <c r="S29" s="908"/>
      <c r="T29" s="59"/>
    </row>
    <row r="30" spans="1:20" s="25" customFormat="1" ht="12">
      <c r="A30" s="21"/>
      <c r="B30" s="30" t="s">
        <v>28</v>
      </c>
      <c r="C30" s="30"/>
      <c r="D30" s="30"/>
      <c r="E30" s="168">
        <v>28</v>
      </c>
      <c r="F30" s="119">
        <f t="shared" si="4"/>
        <v>0</v>
      </c>
      <c r="G30" s="499">
        <f>'CEITEC MU'!G30+'CEITEC-CŘS'!G30+SKM!G30+SUKB!G32+UCT!G30+SPSSN!G30+IBA!G30+CTT!G30+ÚVT!G30+CJV!G30+CZS!G30+RMU!G30</f>
        <v>0</v>
      </c>
      <c r="H30" s="94">
        <f>'CEITEC MU'!H30+'CEITEC-CŘS'!H30+SKM!H30+SUKB!H32+UCT!H30+SPSSN!H30+IBA!H30+CTT!H30+ÚVT!H30+CJV!H30+CZS!H30+RMU!H30</f>
        <v>0</v>
      </c>
      <c r="I30" s="95">
        <f>'CEITEC MU'!I30+'CEITEC-CŘS'!I30+SKM!I30+SUKB!I32+UCT!I30+SPSSN!I30+IBA!I30+CTT!I30+ÚVT!I30+CJV!I30+CZS!I30+RMU!I30</f>
        <v>0</v>
      </c>
      <c r="J30" s="95">
        <f>'CEITEC MU'!J30+'CEITEC-CŘS'!J30+SKM!J30+SUKB!J32+UCT!J30+SPSSN!J30+IBA!J30+CTT!J30+ÚVT!J30+CJV!J30+CZS!J30+RMU!J30</f>
        <v>0</v>
      </c>
      <c r="K30" s="95">
        <f>'CEITEC MU'!K30+'CEITEC-CŘS'!K30+SKM!K30+SUKB!K32+UCT!K30+SPSSN!K30+IBA!K30+CTT!K30+ÚVT!K30+CJV!K30+CZS!K30+RMU!K30</f>
        <v>0</v>
      </c>
      <c r="L30" s="94">
        <f>'CEITEC MU'!L30+'CEITEC-CŘS'!L30+SKM!L30+SUKB!L32+UCT!L30+SPSSN!L30+IBA!L30+CTT!L30+ÚVT!L30+CJV!L30+CZS!L30+RMU!L30</f>
        <v>0</v>
      </c>
      <c r="M30" s="165">
        <f>'CEITEC MU'!M30+'CEITEC-CŘS'!M30+SKM!M30+SUKB!M32+UCT!M30+SPSSN!M30+IBA!M30+CTT!M30+ÚVT!M30+CJV!M30+CZS!M30+RMU!M30</f>
        <v>0</v>
      </c>
      <c r="N30" s="96">
        <f>'CEITEC MU'!N30+'CEITEC-CŘS'!N30+SKM!N30+SUKB!N32+UCT!N30+SPSSN!N30+IBA!N30+CTT!N30+ÚVT!N30+CJV!N30+CZS!N30+RMU!N30</f>
        <v>0</v>
      </c>
      <c r="O30" s="126">
        <f>'CEITEC MU'!O30+'CEITEC-CŘS'!O30+SKM!O30+SUKB!O32+UCT!O30+SPSSN!O30+IBA!O30+CTT!O30+ÚVT!O30+CJV!O30+CZS!O30+RMU!O30</f>
        <v>0</v>
      </c>
      <c r="P30" s="308">
        <f>'CEITEC MU'!P30+'CEITEC-CŘS'!P30+SKM!P30+SUKB!P32+UCT!P30+SPSSN!P30+IBA!P30+CTT!P30+ÚVT!P30+CJV!P30+CZS!P30+RMU!P30</f>
        <v>0</v>
      </c>
      <c r="Q30" s="519">
        <f>'CEITEC MU'!Q30+'CEITEC-CŘS'!Q30+SKM!Q30+SUKB!Q32+UCT!Q30+SPSSN!Q30+IBA!Q30+CTT!Q30+ÚVT!Q30+CJV!Q30+CZS!Q30+RMU!Q30</f>
        <v>0</v>
      </c>
      <c r="R30" s="909"/>
      <c r="S30" s="908"/>
      <c r="T30" s="59"/>
    </row>
    <row r="31" spans="1:20" s="25" customFormat="1" ht="12">
      <c r="A31" s="21"/>
      <c r="B31" s="30" t="s">
        <v>30</v>
      </c>
      <c r="C31" s="30"/>
      <c r="D31" s="30"/>
      <c r="E31" s="168">
        <v>29</v>
      </c>
      <c r="F31" s="119">
        <f t="shared" si="4"/>
        <v>37000</v>
      </c>
      <c r="G31" s="499">
        <f>'CEITEC MU'!G31+'CEITEC-CŘS'!G31+SKM!G31+SUKB!G33+UCT!G31+SPSSN!G31+IBA!G31+CTT!G31+ÚVT!G31+CJV!G31+CZS!G31+RMU!G31</f>
        <v>35461</v>
      </c>
      <c r="H31" s="94">
        <f>'CEITEC MU'!H31+'CEITEC-CŘS'!H31+SKM!H31+SUKB!H33+UCT!H31+SPSSN!H31+IBA!H31+CTT!H31+ÚVT!H31+CJV!H31+CZS!H31+RMU!H31</f>
        <v>0</v>
      </c>
      <c r="I31" s="95">
        <f>'CEITEC MU'!I31+'CEITEC-CŘS'!I31+SKM!I31+SUKB!I33+UCT!I31+SPSSN!I31+IBA!I31+CTT!I31+ÚVT!I31+CJV!I31+CZS!I31+RMU!I31</f>
        <v>1539</v>
      </c>
      <c r="J31" s="95">
        <f>'CEITEC MU'!J31+'CEITEC-CŘS'!J31+SKM!J31+SUKB!J33+UCT!J31+SPSSN!J31+IBA!J31+CTT!J31+ÚVT!J31+CJV!J31+CZS!J31+RMU!J31</f>
        <v>0</v>
      </c>
      <c r="K31" s="95">
        <f>'CEITEC MU'!K31+'CEITEC-CŘS'!K31+SKM!K31+SUKB!K33+UCT!K31+SPSSN!K31+IBA!K31+CTT!K31+ÚVT!K31+CJV!K31+CZS!K31+RMU!K31</f>
        <v>0</v>
      </c>
      <c r="L31" s="94">
        <f>'CEITEC MU'!L31+'CEITEC-CŘS'!L31+SKM!L31+SUKB!L33+UCT!L31+SPSSN!L31+IBA!L31+CTT!L31+ÚVT!L31+CJV!L31+CZS!L31+RMU!L31</f>
        <v>0</v>
      </c>
      <c r="M31" s="165">
        <f>'CEITEC MU'!M31+'CEITEC-CŘS'!M31+SKM!M31+SUKB!M33+UCT!M31+SPSSN!M31+IBA!M31+CTT!M31+ÚVT!M31+CJV!M31+CZS!M31+RMU!M31</f>
        <v>0</v>
      </c>
      <c r="N31" s="96">
        <f>'CEITEC MU'!N31+'CEITEC-CŘS'!N31+SKM!N31+SUKB!N33+UCT!N31+SPSSN!N31+IBA!N31+CTT!N31+ÚVT!N31+CJV!N31+CZS!N31+RMU!N31</f>
        <v>0</v>
      </c>
      <c r="O31" s="126">
        <f>'CEITEC MU'!O31+'CEITEC-CŘS'!O31+SKM!O31+SUKB!O33+UCT!O31+SPSSN!O31+IBA!O31+CTT!O31+ÚVT!O31+CJV!O31+CZS!O31+RMU!O31</f>
        <v>0</v>
      </c>
      <c r="P31" s="308">
        <f>'CEITEC MU'!P31+'CEITEC-CŘS'!P31+SKM!P31+SUKB!P33+UCT!P31+SPSSN!P31+IBA!P31+CTT!P31+ÚVT!P31+CJV!P31+CZS!P31+RMU!P31</f>
        <v>0</v>
      </c>
      <c r="Q31" s="519">
        <f>'CEITEC MU'!Q31+'CEITEC-CŘS'!Q31+SKM!Q31+SUKB!Q33+UCT!Q31+SPSSN!Q31+IBA!Q31+CTT!Q31+ÚVT!Q31+CJV!Q31+CZS!Q31+RMU!Q31</f>
        <v>38972.036</v>
      </c>
      <c r="R31" s="909"/>
      <c r="S31" s="908"/>
      <c r="T31" s="59"/>
    </row>
    <row r="32" spans="1:20" s="25" customFormat="1" ht="12">
      <c r="A32" s="21"/>
      <c r="B32" s="31" t="s">
        <v>32</v>
      </c>
      <c r="C32" s="32"/>
      <c r="D32" s="32"/>
      <c r="E32" s="169">
        <v>30</v>
      </c>
      <c r="F32" s="119">
        <f t="shared" si="4"/>
        <v>90954</v>
      </c>
      <c r="G32" s="499">
        <f>'CEITEC MU'!G32+'CEITEC-CŘS'!G32+SKM!G32+SUKB!G34+UCT!G32+SPSSN!G32+IBA!G32+CTT!G32+ÚVT!G32+CJV!G32+CZS!G32+RMU!G32</f>
        <v>90954</v>
      </c>
      <c r="H32" s="94">
        <f>'CEITEC MU'!H32+'CEITEC-CŘS'!H32+SKM!H32+SUKB!H34+UCT!H32+SPSSN!H32+IBA!H32+CTT!H32+ÚVT!H32+CJV!H32+CZS!H32+RMU!H32</f>
        <v>0</v>
      </c>
      <c r="I32" s="95">
        <f>'CEITEC MU'!I32+'CEITEC-CŘS'!I32+SKM!I32+SUKB!I34+UCT!I32+SPSSN!I32+IBA!I32+CTT!I32+ÚVT!I32+CJV!I32+CZS!I32+RMU!I32</f>
        <v>0</v>
      </c>
      <c r="J32" s="95">
        <f>'CEITEC MU'!J32+'CEITEC-CŘS'!J32+SKM!J32+SUKB!J34+UCT!J32+SPSSN!J32+IBA!J32+CTT!J32+ÚVT!J32+CJV!J32+CZS!J32+RMU!J32</f>
        <v>0</v>
      </c>
      <c r="K32" s="95">
        <f>'CEITEC MU'!K32+'CEITEC-CŘS'!K32+SKM!K32+SUKB!K34+UCT!K32+SPSSN!K32+IBA!K32+CTT!K32+ÚVT!K32+CJV!K32+CZS!K32+RMU!K32</f>
        <v>0</v>
      </c>
      <c r="L32" s="94">
        <f>'CEITEC MU'!L32+'CEITEC-CŘS'!L32+SKM!L32+SUKB!L34+UCT!L32+SPSSN!L32+IBA!L32+CTT!L32+ÚVT!L32+CJV!L32+CZS!L32+RMU!L32</f>
        <v>0</v>
      </c>
      <c r="M32" s="165">
        <f>'CEITEC MU'!M32+'CEITEC-CŘS'!M32+SKM!M32+SUKB!M34+UCT!M32+SPSSN!M32+IBA!M32+CTT!M32+ÚVT!M32+CJV!M32+CZS!M32+RMU!M32</f>
        <v>0</v>
      </c>
      <c r="N32" s="96">
        <f>'CEITEC MU'!N32+'CEITEC-CŘS'!N32+SKM!N32+SUKB!N34+UCT!N32+SPSSN!N32+IBA!N32+CTT!N32+ÚVT!N32+CJV!N32+CZS!N32+RMU!N32</f>
        <v>0</v>
      </c>
      <c r="O32" s="126">
        <f>'CEITEC MU'!O32+'CEITEC-CŘS'!O32+SKM!O32+SUKB!O34+UCT!O32+SPSSN!O32+IBA!O32+CTT!O32+ÚVT!O32+CJV!O32+CZS!O32+RMU!O32</f>
        <v>0</v>
      </c>
      <c r="P32" s="308">
        <f>'CEITEC MU'!P32+'CEITEC-CŘS'!P32+SKM!P32+SUKB!P34+UCT!P32+SPSSN!P32+IBA!P32+CTT!P32+ÚVT!P32+CJV!P32+CZS!P32+RMU!P32</f>
        <v>324</v>
      </c>
      <c r="Q32" s="519">
        <f>'CEITEC MU'!Q32+'CEITEC-CŘS'!Q32+SKM!Q32+SUKB!Q34+UCT!Q32+SPSSN!Q32+IBA!Q32+CTT!Q32+ÚVT!Q32+CJV!Q32+CZS!Q32+RMU!Q32</f>
        <v>62950</v>
      </c>
      <c r="R32" s="909"/>
      <c r="S32" s="908"/>
      <c r="T32" s="59"/>
    </row>
    <row r="33" spans="1:20" s="25" customFormat="1" ht="12">
      <c r="A33" s="21"/>
      <c r="B33" s="31" t="s">
        <v>34</v>
      </c>
      <c r="C33" s="31"/>
      <c r="D33" s="31"/>
      <c r="E33" s="169">
        <v>31</v>
      </c>
      <c r="F33" s="119">
        <f t="shared" si="4"/>
        <v>0</v>
      </c>
      <c r="G33" s="499">
        <f>'CEITEC MU'!G33+'CEITEC-CŘS'!G33+SKM!G33+SUKB!G35+UCT!G33+SPSSN!G33+IBA!G33+CTT!G33+ÚVT!G33+CJV!G33+CZS!G33+RMU!G33</f>
        <v>0</v>
      </c>
      <c r="H33" s="94">
        <f>'CEITEC MU'!H33+'CEITEC-CŘS'!H33+SKM!H33+SUKB!H35+UCT!H33+SPSSN!H33+IBA!H33+CTT!H33+ÚVT!H33+CJV!H33+CZS!H33+RMU!H33</f>
        <v>0</v>
      </c>
      <c r="I33" s="95">
        <f>'CEITEC MU'!I33+'CEITEC-CŘS'!I33+SKM!I33+SUKB!I35+UCT!I33+SPSSN!I33+IBA!I33+CTT!I33+ÚVT!I33+CJV!I33+CZS!I33+RMU!I33</f>
        <v>0</v>
      </c>
      <c r="J33" s="95">
        <f>'CEITEC MU'!J33+'CEITEC-CŘS'!J33+SKM!J33+SUKB!J35+UCT!J33+SPSSN!J33+IBA!J33+CTT!J33+ÚVT!J33+CJV!J33+CZS!J33+RMU!J33</f>
        <v>0</v>
      </c>
      <c r="K33" s="95">
        <f>'CEITEC MU'!K33+'CEITEC-CŘS'!K33+SKM!K33+SUKB!K35+UCT!K33+SPSSN!K33+IBA!K33+CTT!K33+ÚVT!K33+CJV!K33+CZS!K33+RMU!K33</f>
        <v>0</v>
      </c>
      <c r="L33" s="94">
        <f>'CEITEC MU'!L33+'CEITEC-CŘS'!L33+SKM!L33+SUKB!L35+UCT!L33+SPSSN!L33+IBA!L33+CTT!L33+ÚVT!L33+CJV!L33+CZS!L33+RMU!L33</f>
        <v>0</v>
      </c>
      <c r="M33" s="165">
        <f>'CEITEC MU'!M33+'CEITEC-CŘS'!M33+SKM!M33+SUKB!M35+UCT!M33+SPSSN!M33+IBA!M33+CTT!M33+ÚVT!M33+CJV!M33+CZS!M33+RMU!M33</f>
        <v>0</v>
      </c>
      <c r="N33" s="96">
        <f>'CEITEC MU'!N33+'CEITEC-CŘS'!N33+SKM!N33+SUKB!N35+UCT!N33+SPSSN!N33+IBA!N33+CTT!N33+ÚVT!N33+CJV!N33+CZS!N33+RMU!N33</f>
        <v>0</v>
      </c>
      <c r="O33" s="126">
        <f>'CEITEC MU'!O33+'CEITEC-CŘS'!O33+SKM!O33+SUKB!O35+UCT!O33+SPSSN!O33+IBA!O33+CTT!O33+ÚVT!O33+CJV!O33+CZS!O33+RMU!O33</f>
        <v>0</v>
      </c>
      <c r="P33" s="308">
        <f>'CEITEC MU'!P33+'CEITEC-CŘS'!P33+SKM!P33+SUKB!P35+UCT!P33+SPSSN!P33+IBA!P33+CTT!P33+ÚVT!P33+CJV!P33+CZS!P33+RMU!P33</f>
        <v>0</v>
      </c>
      <c r="Q33" s="519">
        <f>'CEITEC MU'!Q33+'CEITEC-CŘS'!Q33+SKM!Q33+SUKB!Q35+UCT!Q33+SPSSN!Q33+IBA!Q33+CTT!Q33+ÚVT!Q33+CJV!Q33+CZS!Q33+RMU!Q33</f>
        <v>485</v>
      </c>
      <c r="R33" s="909"/>
      <c r="S33" s="908"/>
      <c r="T33" s="59"/>
    </row>
    <row r="34" spans="1:20" s="25" customFormat="1" ht="12">
      <c r="A34" s="21"/>
      <c r="B34" s="31" t="s">
        <v>52</v>
      </c>
      <c r="C34" s="31"/>
      <c r="D34" s="31"/>
      <c r="E34" s="169">
        <v>32</v>
      </c>
      <c r="F34" s="119">
        <f t="shared" si="4"/>
        <v>140467</v>
      </c>
      <c r="G34" s="499">
        <f>'CEITEC MU'!G34+'CEITEC-CŘS'!G34+SKM!G34+SUKB!G36+UCT!G34+SPSSN!G34+IBA!G34+CTT!G34+ÚVT!G34+CJV!G34+CZS!G34+RMU!G34</f>
        <v>140467</v>
      </c>
      <c r="H34" s="94">
        <f>'CEITEC MU'!H34+'CEITEC-CŘS'!H34+SKM!H34+SUKB!H36+UCT!H34+SPSSN!H34+IBA!H34+CTT!H34+ÚVT!H34+CJV!H34+CZS!H34+RMU!H34</f>
        <v>0</v>
      </c>
      <c r="I34" s="95">
        <f>'CEITEC MU'!I34+'CEITEC-CŘS'!I34+SKM!I34+SUKB!I36+UCT!I34+SPSSN!I34+IBA!I34+CTT!I34+ÚVT!I34+CJV!I34+CZS!I34+RMU!I34</f>
        <v>0</v>
      </c>
      <c r="J34" s="95">
        <f>'CEITEC MU'!J34+'CEITEC-CŘS'!J34+SKM!J34+SUKB!J36+UCT!J34+SPSSN!J34+IBA!J34+CTT!J34+ÚVT!J34+CJV!J34+CZS!J34+RMU!J34</f>
        <v>0</v>
      </c>
      <c r="K34" s="95">
        <f>'CEITEC MU'!K34+'CEITEC-CŘS'!K34+SKM!K34+SUKB!K36+UCT!K34+SPSSN!K34+IBA!K34+CTT!K34+ÚVT!K34+CJV!K34+CZS!K34+RMU!K34</f>
        <v>0</v>
      </c>
      <c r="L34" s="94">
        <f>'CEITEC MU'!L34+'CEITEC-CŘS'!L34+SKM!L34+SUKB!L36+UCT!L34+SPSSN!L34+IBA!L34+CTT!L34+ÚVT!L34+CJV!L34+CZS!L34+RMU!L34</f>
        <v>0</v>
      </c>
      <c r="M34" s="165">
        <f>'CEITEC MU'!M34+'CEITEC-CŘS'!M34+SKM!M34+SUKB!M36+UCT!M34+SPSSN!M34+IBA!M34+CTT!M34+ÚVT!M34+CJV!M34+CZS!M34+RMU!M34</f>
        <v>0</v>
      </c>
      <c r="N34" s="96">
        <f>'CEITEC MU'!N34+'CEITEC-CŘS'!N34+SKM!N34+SUKB!N36+UCT!N34+SPSSN!N34+IBA!N34+CTT!N34+ÚVT!N34+CJV!N34+CZS!N34+RMU!N34</f>
        <v>0</v>
      </c>
      <c r="O34" s="126">
        <f>'CEITEC MU'!O34+'CEITEC-CŘS'!O34+SKM!O34+SUKB!O36+UCT!O34+SPSSN!O34+IBA!O34+CTT!O34+ÚVT!O34+CJV!O34+CZS!O34+RMU!O34</f>
        <v>0</v>
      </c>
      <c r="P34" s="308">
        <f>'CEITEC MU'!P34+'CEITEC-CŘS'!P34+SKM!P34+SUKB!P36+UCT!P34+SPSSN!P34+IBA!P34+CTT!P34+ÚVT!P34+CJV!P34+CZS!P34+RMU!P34</f>
        <v>0</v>
      </c>
      <c r="Q34" s="519">
        <f>'CEITEC MU'!Q34+'CEITEC-CŘS'!Q34+SKM!Q34+SUKB!Q36+UCT!Q34+SPSSN!Q34+IBA!Q34+CTT!Q34+ÚVT!Q34+CJV!Q34+CZS!Q34+RMU!Q34</f>
        <v>152660.173</v>
      </c>
      <c r="R34" s="909"/>
      <c r="S34" s="908"/>
      <c r="T34" s="59"/>
    </row>
    <row r="35" spans="1:20" s="25" customFormat="1" ht="12">
      <c r="A35" s="21"/>
      <c r="B35" s="31" t="s">
        <v>36</v>
      </c>
      <c r="C35" s="31"/>
      <c r="D35" s="31"/>
      <c r="E35" s="169">
        <v>33</v>
      </c>
      <c r="F35" s="119">
        <f t="shared" si="4"/>
        <v>10080</v>
      </c>
      <c r="G35" s="499">
        <f>'CEITEC MU'!G35+'CEITEC-CŘS'!G35+SKM!G35+SUKB!G37+UCT!G35+SPSSN!G35+IBA!G35+CTT!G35+ÚVT!G35+CJV!G35+CZS!G35+RMU!G35</f>
        <v>10080</v>
      </c>
      <c r="H35" s="94">
        <f>'CEITEC MU'!H35+'CEITEC-CŘS'!H35+SKM!H35+SUKB!H37+UCT!H35+SPSSN!H35+IBA!H35+CTT!H35+ÚVT!H35+CJV!H35+CZS!H35+RMU!H35</f>
        <v>0</v>
      </c>
      <c r="I35" s="95">
        <f>'CEITEC MU'!I35+'CEITEC-CŘS'!I35+SKM!I35+SUKB!I37+UCT!I35+SPSSN!I35+IBA!I35+CTT!I35+ÚVT!I35+CJV!I35+CZS!I35+RMU!I35</f>
        <v>0</v>
      </c>
      <c r="J35" s="95">
        <f>'CEITEC MU'!J35+'CEITEC-CŘS'!J35+SKM!J35+SUKB!J37+UCT!J35+SPSSN!J35+IBA!J35+CTT!J35+ÚVT!J35+CJV!J35+CZS!J35+RMU!J35</f>
        <v>0</v>
      </c>
      <c r="K35" s="95">
        <f>'CEITEC MU'!K35+'CEITEC-CŘS'!K35+SKM!K35+SUKB!K37+UCT!K35+SPSSN!K35+IBA!K35+CTT!K35+ÚVT!K35+CJV!K35+CZS!K35+RMU!K35</f>
        <v>0</v>
      </c>
      <c r="L35" s="94">
        <f>'CEITEC MU'!L35+'CEITEC-CŘS'!L35+SKM!L35+SUKB!L37+UCT!L35+SPSSN!L35+IBA!L35+CTT!L35+ÚVT!L35+CJV!L35+CZS!L35+RMU!L35</f>
        <v>0</v>
      </c>
      <c r="M35" s="165">
        <f>'CEITEC MU'!M35+'CEITEC-CŘS'!M35+SKM!M35+SUKB!M37+UCT!M35+SPSSN!M35+IBA!M35+CTT!M35+ÚVT!M35+CJV!M35+CZS!M35+RMU!M35</f>
        <v>0</v>
      </c>
      <c r="N35" s="96">
        <f>'CEITEC MU'!N35+'CEITEC-CŘS'!N35+SKM!N35+SUKB!N37+UCT!N35+SPSSN!N35+IBA!N35+CTT!N35+ÚVT!N35+CJV!N35+CZS!N35+RMU!N35</f>
        <v>0</v>
      </c>
      <c r="O35" s="126">
        <f>'CEITEC MU'!O35+'CEITEC-CŘS'!O35+SKM!O35+SUKB!O37+UCT!O35+SPSSN!O35+IBA!O35+CTT!O35+ÚVT!O35+CJV!O35+CZS!O35+RMU!O35</f>
        <v>0</v>
      </c>
      <c r="P35" s="308">
        <f>'CEITEC MU'!P35+'CEITEC-CŘS'!P35+SKM!P35+SUKB!P37+UCT!P35+SPSSN!P35+IBA!P35+CTT!P35+ÚVT!P35+CJV!P35+CZS!P35+RMU!P35</f>
        <v>5800</v>
      </c>
      <c r="Q35" s="519">
        <f>'CEITEC MU'!Q35+'CEITEC-CŘS'!Q35+SKM!Q35+SUKB!Q37+UCT!Q35+SPSSN!Q35+IBA!Q35+CTT!Q35+ÚVT!Q35+CJV!Q35+CZS!Q35+RMU!Q35</f>
        <v>9689.25454</v>
      </c>
      <c r="R35" s="909"/>
      <c r="S35" s="908"/>
      <c r="T35" s="59"/>
    </row>
    <row r="36" spans="1:20" s="640" customFormat="1" ht="12">
      <c r="A36" s="628"/>
      <c r="B36" s="629" t="s">
        <v>175</v>
      </c>
      <c r="C36" s="629"/>
      <c r="D36" s="629"/>
      <c r="E36" s="702">
        <v>34</v>
      </c>
      <c r="F36" s="631">
        <f t="shared" si="4"/>
        <v>53249</v>
      </c>
      <c r="G36" s="649">
        <f>'CEITEC MU'!G36+'CEITEC-CŘS'!G36+SKM!G36+SUKB!G38+UCT!G36+SPSSN!G36+IBA!G36+CTT!G36+ÚVT!G36+CJV!G36+CZS!G36+RMU!G36</f>
        <v>53249</v>
      </c>
      <c r="H36" s="636">
        <f>'CEITEC MU'!H36+'CEITEC-CŘS'!H36+SKM!H36+SUKB!H38+UCT!H36+SPSSN!H36+IBA!H36+CTT!H36+ÚVT!H36+CJV!H36+CZS!H36+RMU!H36</f>
        <v>0</v>
      </c>
      <c r="I36" s="634">
        <f>'CEITEC MU'!I36+'CEITEC-CŘS'!I36+SKM!I36+SUKB!I38+UCT!I36+SPSSN!I36+IBA!I36+CTT!I36+ÚVT!I36+CJV!I36+CZS!I36+RMU!I36</f>
        <v>0</v>
      </c>
      <c r="J36" s="634">
        <f>'CEITEC MU'!J36+'CEITEC-CŘS'!J36+SKM!J36+SUKB!J38+UCT!J36+SPSSN!J36+IBA!J36+CTT!J36+ÚVT!J36+CJV!J36+CZS!J36+RMU!J36</f>
        <v>0</v>
      </c>
      <c r="K36" s="634">
        <f>'CEITEC MU'!K36+'CEITEC-CŘS'!K36+SKM!K36+SUKB!K38+UCT!K36+SPSSN!K36+IBA!K36+CTT!K36+ÚVT!K36+CJV!K36+CZS!K36+RMU!K36</f>
        <v>0</v>
      </c>
      <c r="L36" s="636">
        <f>'CEITEC MU'!L36+'CEITEC-CŘS'!L36+SKM!L36+SUKB!L38+UCT!L36+SPSSN!L36+IBA!L36+CTT!L36+ÚVT!L36+CJV!L36+CZS!L36+RMU!L36</f>
        <v>0</v>
      </c>
      <c r="M36" s="884">
        <f>'CEITEC MU'!M36+'CEITEC-CŘS'!M36+SKM!M36+SUKB!M38+UCT!M36+SPSSN!M36+IBA!M36+CTT!M36+ÚVT!M36+CJV!M36+CZS!M36+RMU!M36</f>
        <v>0</v>
      </c>
      <c r="N36" s="632">
        <f>'CEITEC MU'!N36+'CEITEC-CŘS'!N36+SKM!N36+SUKB!N38+UCT!N36+SPSSN!N36+IBA!N36+CTT!N36+ÚVT!N36+CJV!N36+CZS!N36+RMU!N36</f>
        <v>0</v>
      </c>
      <c r="O36" s="633">
        <f>'CEITEC MU'!O36+'CEITEC-CŘS'!O36+SKM!O36+SUKB!O38+UCT!O36+SPSSN!O36+IBA!O36+CTT!O36+ÚVT!O36+CJV!O36+CZS!O36+RMU!O36</f>
        <v>0</v>
      </c>
      <c r="P36" s="635">
        <f>'CEITEC MU'!P36+'CEITEC-CŘS'!P36+SKM!P36+SUKB!P38+UCT!P36+SPSSN!P36+IBA!P36+CTT!P36+ÚVT!P36+CJV!P36+CZS!P36+RMU!P36</f>
        <v>0</v>
      </c>
      <c r="Q36" s="519">
        <f>'CEITEC MU'!Q36+'CEITEC-CŘS'!Q36+SKM!Q36+SUKB!Q38+UCT!Q36+SPSSN!Q36+IBA!Q36+CTT!Q36+ÚVT!Q36+CJV!Q36+CZS!Q36+RMU!Q36</f>
        <v>38361.738450000004</v>
      </c>
      <c r="R36" s="909"/>
      <c r="S36" s="908"/>
      <c r="T36" s="51"/>
    </row>
    <row r="37" spans="1:20" s="25" customFormat="1" ht="12">
      <c r="A37" s="21"/>
      <c r="B37" s="31" t="s">
        <v>54</v>
      </c>
      <c r="C37" s="31"/>
      <c r="D37" s="31"/>
      <c r="E37" s="169">
        <v>35</v>
      </c>
      <c r="F37" s="119">
        <f t="shared" si="4"/>
        <v>53660</v>
      </c>
      <c r="G37" s="499">
        <f>'CEITEC MU'!G37+'CEITEC-CŘS'!G37+SKM!G37+SUKB!G39+UCT!G37+SPSSN!G37+IBA!G37+CTT!G37+ÚVT!G37+CJV!G37+CZS!G37+RMU!G37</f>
        <v>24936</v>
      </c>
      <c r="H37" s="94">
        <f>'CEITEC MU'!H37+'CEITEC-CŘS'!H37+SKM!H37+SUKB!H39+UCT!H37+SPSSN!H37+IBA!H37+CTT!H37+ÚVT!H37+CJV!H37+CZS!H37+RMU!H37</f>
        <v>0</v>
      </c>
      <c r="I37" s="95">
        <f>'CEITEC MU'!I37+'CEITEC-CŘS'!I37+SKM!I37+SUKB!I39+UCT!I37+SPSSN!I37+IBA!I37+CTT!I37+ÚVT!I37+CJV!I37+CZS!I37+RMU!I37</f>
        <v>28724</v>
      </c>
      <c r="J37" s="95">
        <f>'CEITEC MU'!J37+'CEITEC-CŘS'!J37+SKM!J37+SUKB!J39+UCT!J37+SPSSN!J37+IBA!J37+CTT!J37+ÚVT!J37+CJV!J37+CZS!J37+RMU!J37</f>
        <v>0</v>
      </c>
      <c r="K37" s="95">
        <f>'CEITEC MU'!K37+'CEITEC-CŘS'!K37+SKM!K37+SUKB!K39+UCT!K37+SPSSN!K37+IBA!K37+CTT!K37+ÚVT!K37+CJV!K37+CZS!K37+RMU!K37</f>
        <v>0</v>
      </c>
      <c r="L37" s="94">
        <f>'CEITEC MU'!L37+'CEITEC-CŘS'!L37+SKM!L37+SUKB!L39+UCT!L37+SPSSN!L37+IBA!L37+CTT!L37+ÚVT!L37+CJV!L37+CZS!L37+RMU!L37</f>
        <v>0</v>
      </c>
      <c r="M37" s="165">
        <f>'CEITEC MU'!M37+'CEITEC-CŘS'!M37+SKM!M37+SUKB!M39+UCT!M37+SPSSN!M37+IBA!M37+CTT!M37+ÚVT!M37+CJV!M37+CZS!M37+RMU!M37</f>
        <v>0</v>
      </c>
      <c r="N37" s="96">
        <f>'CEITEC MU'!N37+'CEITEC-CŘS'!N37+SKM!N37+SUKB!N39+UCT!N37+SPSSN!N37+IBA!N37+CTT!N37+ÚVT!N37+CJV!N37+CZS!N37+RMU!N37</f>
        <v>0</v>
      </c>
      <c r="O37" s="126">
        <f>'CEITEC MU'!O37+'CEITEC-CŘS'!O37+SKM!O37+SUKB!O39+UCT!O37+SPSSN!O37+IBA!O37+CTT!O37+ÚVT!O37+CJV!O37+CZS!O37+RMU!O37</f>
        <v>0</v>
      </c>
      <c r="P37" s="308">
        <f>'CEITEC MU'!P37+'CEITEC-CŘS'!P37+SKM!P37+SUKB!P39+UCT!P37+SPSSN!P37+IBA!P37+CTT!P37+ÚVT!P37+CJV!P37+CZS!P37+RMU!P37</f>
        <v>0</v>
      </c>
      <c r="Q37" s="519">
        <f>'CEITEC MU'!Q37+'CEITEC-CŘS'!Q37+SKM!Q37+SUKB!Q39+UCT!Q37+SPSSN!Q37+IBA!Q37+CTT!Q37+ÚVT!Q37+CJV!Q37+CZS!Q37+RMU!Q37</f>
        <v>58525.174</v>
      </c>
      <c r="R37" s="909"/>
      <c r="S37" s="908"/>
      <c r="T37" s="59"/>
    </row>
    <row r="38" spans="1:20" s="25" customFormat="1" ht="12">
      <c r="A38" s="21"/>
      <c r="B38" s="31" t="s">
        <v>55</v>
      </c>
      <c r="C38" s="31"/>
      <c r="D38" s="31"/>
      <c r="E38" s="169">
        <v>36</v>
      </c>
      <c r="F38" s="119">
        <f t="shared" si="4"/>
        <v>512</v>
      </c>
      <c r="G38" s="499">
        <f>'CEITEC MU'!G38+'CEITEC-CŘS'!G38+SKM!G38+SUKB!G40+UCT!G38+SPSSN!G38+IBA!G38+CTT!G38+ÚVT!G38+CJV!G38+CZS!G38+RMU!G38</f>
        <v>512</v>
      </c>
      <c r="H38" s="94">
        <f>'CEITEC MU'!H38+'CEITEC-CŘS'!H38+SKM!H38+SUKB!H40+UCT!H38+SPSSN!H38+IBA!H38+CTT!H38+ÚVT!H38+CJV!H38+CZS!H38+RMU!H38</f>
        <v>0</v>
      </c>
      <c r="I38" s="95">
        <f>'CEITEC MU'!I38+'CEITEC-CŘS'!I38+SKM!I38+SUKB!I40+UCT!I38+SPSSN!I38+IBA!I38+CTT!I38+ÚVT!I38+CJV!I38+CZS!I38+RMU!I38</f>
        <v>0</v>
      </c>
      <c r="J38" s="95">
        <f>'CEITEC MU'!J38+'CEITEC-CŘS'!J38+SKM!J38+SUKB!J40+UCT!J38+SPSSN!J38+IBA!J38+CTT!J38+ÚVT!J38+CJV!J38+CZS!J38+RMU!J38</f>
        <v>0</v>
      </c>
      <c r="K38" s="95">
        <f>'CEITEC MU'!K38+'CEITEC-CŘS'!K38+SKM!K38+SUKB!K40+UCT!K38+SPSSN!K38+IBA!K38+CTT!K38+ÚVT!K38+CJV!K38+CZS!K38+RMU!K38</f>
        <v>0</v>
      </c>
      <c r="L38" s="94">
        <f>'CEITEC MU'!L38+'CEITEC-CŘS'!L38+SKM!L38+SUKB!L40+UCT!L38+SPSSN!L38+IBA!L38+CTT!L38+ÚVT!L38+CJV!L38+CZS!L38+RMU!L38</f>
        <v>0</v>
      </c>
      <c r="M38" s="165">
        <f>'CEITEC MU'!M38+'CEITEC-CŘS'!M38+SKM!M38+SUKB!M40+UCT!M38+SPSSN!M38+IBA!M38+CTT!M38+ÚVT!M38+CJV!M38+CZS!M38+RMU!M38</f>
        <v>0</v>
      </c>
      <c r="N38" s="96">
        <f>'CEITEC MU'!N38+'CEITEC-CŘS'!N38+SKM!N38+SUKB!N40+UCT!N38+SPSSN!N38+IBA!N38+CTT!N38+ÚVT!N38+CJV!N38+CZS!N38+RMU!N38</f>
        <v>0</v>
      </c>
      <c r="O38" s="126">
        <f>'CEITEC MU'!O38+'CEITEC-CŘS'!O38+SKM!O38+SUKB!O40+UCT!O38+SPSSN!O38+IBA!O38+CTT!O38+ÚVT!O38+CJV!O38+CZS!O38+RMU!O38</f>
        <v>0</v>
      </c>
      <c r="P38" s="308">
        <f>'CEITEC MU'!P38+'CEITEC-CŘS'!P38+SKM!P38+SUKB!P40+UCT!P38+SPSSN!P38+IBA!P38+CTT!P38+ÚVT!P38+CJV!P38+CZS!P38+RMU!P38</f>
        <v>0</v>
      </c>
      <c r="Q38" s="519">
        <f>'CEITEC MU'!Q38+'CEITEC-CŘS'!Q38+SKM!Q38+SUKB!Q40+UCT!Q38+SPSSN!Q38+IBA!Q38+CTT!Q38+ÚVT!Q38+CJV!Q38+CZS!Q38+RMU!Q38</f>
        <v>746</v>
      </c>
      <c r="R38" s="909"/>
      <c r="S38" s="908"/>
      <c r="T38" s="59"/>
    </row>
    <row r="39" spans="1:20" s="25" customFormat="1" ht="12">
      <c r="A39" s="21"/>
      <c r="B39" s="31" t="s">
        <v>56</v>
      </c>
      <c r="C39" s="31"/>
      <c r="D39" s="31"/>
      <c r="E39" s="169">
        <v>37</v>
      </c>
      <c r="F39" s="119">
        <f t="shared" si="4"/>
        <v>30315</v>
      </c>
      <c r="G39" s="499">
        <f>'CEITEC MU'!G39+'CEITEC-CŘS'!G39+SKM!G39+SUKB!G41+UCT!G39+SPSSN!G39+IBA!G39+CTT!G39+ÚVT!G39+CJV!G39+CZS!G39+RMU!G39</f>
        <v>30315</v>
      </c>
      <c r="H39" s="94">
        <f>'CEITEC MU'!H39+'CEITEC-CŘS'!H39+SKM!H39+SUKB!H41+UCT!H39+SPSSN!H39+IBA!H39+CTT!H39+ÚVT!H39+CJV!H39+CZS!H39+RMU!H39</f>
        <v>0</v>
      </c>
      <c r="I39" s="95">
        <f>'CEITEC MU'!I39+'CEITEC-CŘS'!I39+SKM!I39+SUKB!I41+UCT!I39+SPSSN!I39+IBA!I39+CTT!I39+ÚVT!I39+CJV!I39+CZS!I39+RMU!I39</f>
        <v>0</v>
      </c>
      <c r="J39" s="95">
        <f>'CEITEC MU'!J39+'CEITEC-CŘS'!J39+SKM!J39+SUKB!J41+UCT!J39+SPSSN!J39+IBA!J39+CTT!J39+ÚVT!J39+CJV!J39+CZS!J39+RMU!J39</f>
        <v>0</v>
      </c>
      <c r="K39" s="95">
        <f>'CEITEC MU'!K39+'CEITEC-CŘS'!K39+SKM!K39+SUKB!K41+UCT!K39+SPSSN!K39+IBA!K39+CTT!K39+ÚVT!K39+CJV!K39+CZS!K39+RMU!K39</f>
        <v>0</v>
      </c>
      <c r="L39" s="94">
        <f>'CEITEC MU'!L39+'CEITEC-CŘS'!L39+SKM!L39+SUKB!L41+UCT!L39+SPSSN!L39+IBA!L39+CTT!L39+ÚVT!L39+CJV!L39+CZS!L39+RMU!L39</f>
        <v>0</v>
      </c>
      <c r="M39" s="165">
        <f>'CEITEC MU'!M39+'CEITEC-CŘS'!M39+SKM!M39+SUKB!M41+UCT!M39+SPSSN!M39+IBA!M39+CTT!M39+ÚVT!M39+CJV!M39+CZS!M39+RMU!M39</f>
        <v>0</v>
      </c>
      <c r="N39" s="96">
        <f>'CEITEC MU'!N39+'CEITEC-CŘS'!N39+SKM!N39+SUKB!N41+UCT!N39+SPSSN!N39+IBA!N39+CTT!N39+ÚVT!N39+CJV!N39+CZS!N39+RMU!N39</f>
        <v>0</v>
      </c>
      <c r="O39" s="126">
        <f>'CEITEC MU'!O39+'CEITEC-CŘS'!O39+SKM!O39+SUKB!O41+UCT!O39+SPSSN!O39+IBA!O39+CTT!O39+ÚVT!O39+CJV!O39+CZS!O39+RMU!O39</f>
        <v>0</v>
      </c>
      <c r="P39" s="308">
        <f>'CEITEC MU'!P39+'CEITEC-CŘS'!P39+SKM!P39+SUKB!P41+UCT!P39+SPSSN!P39+IBA!P39+CTT!P39+ÚVT!P39+CJV!P39+CZS!P39+RMU!P39</f>
        <v>0</v>
      </c>
      <c r="Q39" s="519">
        <f>'CEITEC MU'!Q39+'CEITEC-CŘS'!Q39+SKM!Q39+SUKB!Q41+UCT!Q39+SPSSN!Q39+IBA!Q39+CTT!Q39+ÚVT!Q39+CJV!Q39+CZS!Q39+RMU!Q39</f>
        <v>930.95</v>
      </c>
      <c r="R39" s="909"/>
      <c r="S39" s="908"/>
      <c r="T39" s="59"/>
    </row>
    <row r="40" spans="1:20" s="25" customFormat="1" ht="12">
      <c r="A40" s="21"/>
      <c r="B40" s="31" t="s">
        <v>57</v>
      </c>
      <c r="C40" s="31"/>
      <c r="D40" s="31"/>
      <c r="E40" s="169">
        <v>38</v>
      </c>
      <c r="F40" s="119">
        <f t="shared" si="4"/>
        <v>42636</v>
      </c>
      <c r="G40" s="499">
        <f>'CEITEC MU'!G40+'CEITEC-CŘS'!G40+SKM!G40+SUKB!G42+UCT!G40+SPSSN!G40+IBA!G40+CTT!G40+ÚVT!G40+CJV!G40+CZS!G40+RMU!G40</f>
        <v>42150</v>
      </c>
      <c r="H40" s="94">
        <f>'CEITEC MU'!H40+'CEITEC-CŘS'!H40+SKM!H40+SUKB!H42+UCT!H40+SPSSN!H40+IBA!H40+CTT!H40+ÚVT!H40+CJV!H40+CZS!H40+RMU!H40</f>
        <v>0</v>
      </c>
      <c r="I40" s="95">
        <f>'CEITEC MU'!I40+'CEITEC-CŘS'!I40+SKM!I40+SUKB!I42+UCT!I40+SPSSN!I40+IBA!I40+CTT!I40+ÚVT!I40+CJV!I40+CZS!I40+RMU!I40</f>
        <v>486</v>
      </c>
      <c r="J40" s="95">
        <f>'CEITEC MU'!J40+'CEITEC-CŘS'!J40+SKM!J40+SUKB!J42+UCT!J40+SPSSN!J40+IBA!J40+CTT!J40+ÚVT!J40+CJV!J40+CZS!J40+RMU!J40</f>
        <v>0</v>
      </c>
      <c r="K40" s="95">
        <f>'CEITEC MU'!K40+'CEITEC-CŘS'!K40+SKM!K40+SUKB!K42+UCT!K40+SPSSN!K40+IBA!K40+CTT!K40+ÚVT!K40+CJV!K40+CZS!K40+RMU!K40</f>
        <v>0</v>
      </c>
      <c r="L40" s="94">
        <f>'CEITEC MU'!L40+'CEITEC-CŘS'!L40+SKM!L40+SUKB!L42+UCT!L40+SPSSN!L40+IBA!L40+CTT!L40+ÚVT!L40+CJV!L40+CZS!L40+RMU!L40</f>
        <v>0</v>
      </c>
      <c r="M40" s="165">
        <f>'CEITEC MU'!M40+'CEITEC-CŘS'!M40+SKM!M40+SUKB!M42+UCT!M40+SPSSN!M40+IBA!M40+CTT!M40+ÚVT!M40+CJV!M40+CZS!M40+RMU!M40</f>
        <v>0</v>
      </c>
      <c r="N40" s="96">
        <f>'CEITEC MU'!N40+'CEITEC-CŘS'!N40+SKM!N40+SUKB!N42+UCT!N40+SPSSN!N40+IBA!N40+CTT!N40+ÚVT!N40+CJV!N40+CZS!N40+RMU!N40</f>
        <v>0</v>
      </c>
      <c r="O40" s="126">
        <f>'CEITEC MU'!O40+'CEITEC-CŘS'!O40+SKM!O40+SUKB!O42+UCT!O40+SPSSN!O40+IBA!O40+CTT!O40+ÚVT!O40+CJV!O40+CZS!O40+RMU!O40</f>
        <v>0</v>
      </c>
      <c r="P40" s="308">
        <f>'CEITEC MU'!P40+'CEITEC-CŘS'!P40+SKM!P40+SUKB!P42+UCT!P40+SPSSN!P40+IBA!P40+CTT!P40+ÚVT!P40+CJV!P40+CZS!P40+RMU!P40</f>
        <v>0</v>
      </c>
      <c r="Q40" s="519">
        <f>'CEITEC MU'!Q40+'CEITEC-CŘS'!Q40+SKM!Q40+SUKB!Q42+UCT!Q40+SPSSN!Q40+IBA!Q40+CTT!Q40+ÚVT!Q40+CJV!Q40+CZS!Q40+RMU!Q40</f>
        <v>6253</v>
      </c>
      <c r="R40" s="909"/>
      <c r="S40" s="909">
        <f>'CEITEC MU'!S40+'CEITEC-CŘS'!S40+SKM!S40+SUKB!S42+UCT!S40+SPSSN!S40+IBA!S40+CTT!S40+ÚVT!S40+CJV!S40+CZS!S40+RMU!S40</f>
        <v>0</v>
      </c>
      <c r="T40" s="59"/>
    </row>
    <row r="41" spans="1:20" s="640" customFormat="1" ht="12">
      <c r="A41" s="628"/>
      <c r="B41" s="629" t="s">
        <v>186</v>
      </c>
      <c r="C41" s="629"/>
      <c r="D41" s="629"/>
      <c r="E41" s="702">
        <v>39</v>
      </c>
      <c r="F41" s="631">
        <f t="shared" si="4"/>
        <v>94889</v>
      </c>
      <c r="G41" s="649">
        <f>'CEITEC MU'!G41+'CEITEC-CŘS'!G41+SKM!G41+SUKB!G43+UCT!G41+SPSSN!G41+IBA!G41+CTT!G41+ÚVT!G41+CJV!G41+CZS!G41+RMU!G41</f>
        <v>82984</v>
      </c>
      <c r="H41" s="636">
        <f>'CEITEC MU'!H41+'CEITEC-CŘS'!H41+SKM!H41+SUKB!H43+UCT!H41+SPSSN!H41+IBA!H41+CTT!H41+ÚVT!H41+CJV!H41+CZS!H41+RMU!H41</f>
        <v>0</v>
      </c>
      <c r="I41" s="634">
        <f>'CEITEC MU'!I41+'CEITEC-CŘS'!I41+SKM!I41+SUKB!I43+UCT!I41+SPSSN!I41+IBA!I41+CTT!I41+ÚVT!I41+CJV!I41+CZS!I41+RMU!I41</f>
        <v>11905</v>
      </c>
      <c r="J41" s="634">
        <f>'CEITEC MU'!J41+'CEITEC-CŘS'!J41+SKM!J41+SUKB!J43+UCT!J41+SPSSN!J41+IBA!J41+CTT!J41+ÚVT!J41+CJV!J41+CZS!J41+RMU!J41</f>
        <v>0</v>
      </c>
      <c r="K41" s="634">
        <f>'CEITEC MU'!K41+'CEITEC-CŘS'!K41+SKM!K41+SUKB!K43+UCT!K41+SPSSN!K41+IBA!K41+CTT!K41+ÚVT!K41+CJV!K41+CZS!K41+RMU!K41</f>
        <v>0</v>
      </c>
      <c r="L41" s="636">
        <f>'CEITEC MU'!L41+'CEITEC-CŘS'!L41+SKM!L41+SUKB!L43+UCT!L41+SPSSN!L41+IBA!L41+CTT!L41+ÚVT!L41+CJV!L41+CZS!L41+RMU!L41</f>
        <v>0</v>
      </c>
      <c r="M41" s="884">
        <f>'CEITEC MU'!M41+'CEITEC-CŘS'!M41+SKM!M41+SUKB!M43+UCT!M41+SPSSN!M41+IBA!M41+CTT!M41+ÚVT!M41+CJV!M41+CZS!M41+RMU!M41</f>
        <v>0</v>
      </c>
      <c r="N41" s="632">
        <f>'CEITEC MU'!N41+'CEITEC-CŘS'!N41+SKM!N41+SUKB!N43+UCT!N41+SPSSN!N41+IBA!N41+CTT!N41+ÚVT!N41+CJV!N41+CZS!N41+RMU!N41</f>
        <v>0</v>
      </c>
      <c r="O41" s="633">
        <f>'CEITEC MU'!O41+'CEITEC-CŘS'!O41+SKM!O41+SUKB!O43+UCT!O41+SPSSN!O41+IBA!O41+CTT!O41+ÚVT!O41+CJV!O41+CZS!O41+RMU!O41</f>
        <v>0</v>
      </c>
      <c r="P41" s="635" t="e">
        <f>'CEITEC MU'!P41+'CEITEC-CŘS'!P41+SKM!P41+SUKB!P43+UCT!P41+SPSSN!P41+IBA!P41+CTT!P41+ÚVT!P41+CJV!P41+CZS!P41+RMU!P41</f>
        <v>#DIV/0!</v>
      </c>
      <c r="Q41" s="519">
        <f>'CEITEC MU'!Q41+'CEITEC-CŘS'!Q41+SKM!Q41+SUKB!Q43+UCT!Q41+SPSSN!Q41+IBA!Q41+CTT!Q41+ÚVT!Q41+CJV!Q41+CZS!Q41+RMU!Q41</f>
        <v>16705</v>
      </c>
      <c r="R41" s="909"/>
      <c r="S41" s="908"/>
      <c r="T41" s="51"/>
    </row>
    <row r="42" spans="1:20" s="25" customFormat="1" ht="12">
      <c r="A42" s="21"/>
      <c r="B42" s="31" t="s">
        <v>58</v>
      </c>
      <c r="C42" s="31"/>
      <c r="D42" s="31"/>
      <c r="E42" s="169">
        <v>40</v>
      </c>
      <c r="F42" s="119">
        <f t="shared" si="4"/>
        <v>5553</v>
      </c>
      <c r="G42" s="499">
        <f>'CEITEC MU'!G42+'CEITEC-CŘS'!G42+SKM!G42+SUKB!G44+UCT!G42+SPSSN!G42+IBA!G42+CTT!G42+ÚVT!G42+CJV!G42+CZS!G42+RMU!G42</f>
        <v>5553</v>
      </c>
      <c r="H42" s="94">
        <f>'CEITEC MU'!H42+'CEITEC-CŘS'!H42+SKM!H42+SUKB!H44+UCT!H42+SPSSN!H42+IBA!H42+CTT!H42+ÚVT!H42+CJV!H42+CZS!H42+RMU!H42</f>
        <v>0</v>
      </c>
      <c r="I42" s="95">
        <f>'CEITEC MU'!I42+'CEITEC-CŘS'!I42+SKM!I42+SUKB!I44+UCT!I42+SPSSN!I42+IBA!I42+CTT!I42+ÚVT!I42+CJV!I42+CZS!I42+RMU!I42</f>
        <v>0</v>
      </c>
      <c r="J42" s="95">
        <f>'CEITEC MU'!J42+'CEITEC-CŘS'!J42+SKM!J42+SUKB!J44+UCT!J42+SPSSN!J42+IBA!J42+CTT!J42+ÚVT!J42+CJV!J42+CZS!J42+RMU!J42</f>
        <v>0</v>
      </c>
      <c r="K42" s="95">
        <f>'CEITEC MU'!K42+'CEITEC-CŘS'!K42+SKM!K42+SUKB!K44+UCT!K42+SPSSN!K42+IBA!K42+CTT!K42+ÚVT!K42+CJV!K42+CZS!K42+RMU!K42</f>
        <v>0</v>
      </c>
      <c r="L42" s="94">
        <f>'CEITEC MU'!L42+'CEITEC-CŘS'!L42+SKM!L42+SUKB!L44+UCT!L42+SPSSN!L42+IBA!L42+CTT!L42+ÚVT!L42+CJV!L42+CZS!L42+RMU!L42</f>
        <v>0</v>
      </c>
      <c r="M42" s="165">
        <f>'CEITEC MU'!M42+'CEITEC-CŘS'!M42+SKM!M42+SUKB!M44+UCT!M42+SPSSN!M42+IBA!M42+CTT!M42+ÚVT!M42+CJV!M42+CZS!M42+RMU!M42</f>
        <v>0</v>
      </c>
      <c r="N42" s="96">
        <f>'CEITEC MU'!N42+'CEITEC-CŘS'!N42+SKM!N42+SUKB!N44+UCT!N42+SPSSN!N42+IBA!N42+CTT!N42+ÚVT!N42+CJV!N42+CZS!N42+RMU!N42</f>
        <v>0</v>
      </c>
      <c r="O42" s="126">
        <f>'CEITEC MU'!O42+'CEITEC-CŘS'!O42+SKM!O42+SUKB!O44+UCT!O42+SPSSN!O42+IBA!O42+CTT!O42+ÚVT!O42+CJV!O42+CZS!O42+RMU!O42</f>
        <v>0</v>
      </c>
      <c r="P42" s="308">
        <f>'CEITEC MU'!P42+'CEITEC-CŘS'!P42+SKM!P42+SUKB!P44+UCT!P42+SPSSN!P42+IBA!P42+CTT!P42+ÚVT!P42+CJV!P42+CZS!P42+RMU!P42</f>
        <v>0</v>
      </c>
      <c r="Q42" s="519">
        <f>'CEITEC MU'!Q42+'CEITEC-CŘS'!Q42+SKM!Q42+SUKB!Q44+UCT!Q42+SPSSN!Q42+IBA!Q42+CTT!Q42+ÚVT!Q42+CJV!Q42+CZS!Q42+RMU!Q42</f>
        <v>3033</v>
      </c>
      <c r="R42" s="909"/>
      <c r="S42" s="908"/>
      <c r="T42" s="59"/>
    </row>
    <row r="43" spans="1:20" s="25" customFormat="1" ht="12">
      <c r="A43" s="21"/>
      <c r="B43" s="31" t="s">
        <v>59</v>
      </c>
      <c r="C43" s="31"/>
      <c r="D43" s="31"/>
      <c r="E43" s="169">
        <v>41</v>
      </c>
      <c r="F43" s="119">
        <f t="shared" si="4"/>
        <v>336995</v>
      </c>
      <c r="G43" s="499">
        <f>'CEITEC MU'!G43+'CEITEC-CŘS'!G43+SKM!G43+SUKB!G45+UCT!G43+SPSSN!G43+IBA!G43+CTT!G43+ÚVT!G43+CJV!G43+CZS!G43+RMU!G43</f>
        <v>336295</v>
      </c>
      <c r="H43" s="94">
        <f>'CEITEC MU'!H43+'CEITEC-CŘS'!H43+SKM!H43+SUKB!H45+UCT!H43+SPSSN!H43+IBA!H43+CTT!H43+ÚVT!H43+CJV!H43+CZS!H43+RMU!H43</f>
        <v>0</v>
      </c>
      <c r="I43" s="95">
        <f>'CEITEC MU'!I43+'CEITEC-CŘS'!I43+SKM!I43+SUKB!I45+UCT!I43+SPSSN!I43+IBA!I43+CTT!I43+ÚVT!I43+CJV!I43+CZS!I43+RMU!I43</f>
        <v>700</v>
      </c>
      <c r="J43" s="95">
        <f>'CEITEC MU'!J43+'CEITEC-CŘS'!J43+SKM!J43+SUKB!J45+UCT!J43+SPSSN!J43+IBA!J43+CTT!J43+ÚVT!J43+CJV!J43+CZS!J43+RMU!J43</f>
        <v>0</v>
      </c>
      <c r="K43" s="95">
        <f>'CEITEC MU'!K43+'CEITEC-CŘS'!K43+SKM!K43+SUKB!K45+UCT!K43+SPSSN!K43+IBA!K43+CTT!K43+ÚVT!K43+CJV!K43+CZS!K43+RMU!K43</f>
        <v>0</v>
      </c>
      <c r="L43" s="94">
        <f>'CEITEC MU'!L43+'CEITEC-CŘS'!L43+SKM!L43+SUKB!L45+UCT!L43+SPSSN!L43+IBA!L43+CTT!L43+ÚVT!L43+CJV!L43+CZS!L43+RMU!L43</f>
        <v>0</v>
      </c>
      <c r="M43" s="165">
        <f>'CEITEC MU'!M43+'CEITEC-CŘS'!M43+SKM!M43+SUKB!M45+UCT!M43+SPSSN!M43+IBA!M43+CTT!M43+ÚVT!M43+CJV!M43+CZS!M43+RMU!M43</f>
        <v>0</v>
      </c>
      <c r="N43" s="96">
        <f>'CEITEC MU'!N43+'CEITEC-CŘS'!N43+SKM!N43+SUKB!N45+UCT!N43+SPSSN!N43+IBA!N43+CTT!N43+ÚVT!N43+CJV!N43+CZS!N43+RMU!N43</f>
        <v>0</v>
      </c>
      <c r="O43" s="126">
        <f>'CEITEC MU'!O43+'CEITEC-CŘS'!O43+SKM!O43+SUKB!O45+UCT!O43+SPSSN!O43+IBA!O43+CTT!O43+ÚVT!O43+CJV!O43+CZS!O43+RMU!O43</f>
        <v>0</v>
      </c>
      <c r="P43" s="308" t="e">
        <f>'CEITEC MU'!P43+'CEITEC-CŘS'!P43+SKM!P43+SUKB!P45+UCT!P43+SPSSN!P43+IBA!P43+CTT!P43+ÚVT!P43+CJV!P43+CZS!P43+RMU!P43</f>
        <v>#DIV/0!</v>
      </c>
      <c r="Q43" s="519">
        <f>'CEITEC MU'!Q43+'CEITEC-CŘS'!Q43+SKM!Q43+SUKB!Q45+UCT!Q43+SPSSN!Q43+IBA!Q43+CTT!Q43+ÚVT!Q43+CJV!Q43+CZS!Q43+RMU!Q43</f>
        <v>362311.28283000004</v>
      </c>
      <c r="R43" s="909"/>
      <c r="S43" s="908"/>
      <c r="T43" s="59"/>
    </row>
    <row r="44" spans="1:20" s="25" customFormat="1" ht="12">
      <c r="A44" s="21"/>
      <c r="B44" s="31" t="s">
        <v>60</v>
      </c>
      <c r="C44" s="31"/>
      <c r="D44" s="31"/>
      <c r="E44" s="169">
        <v>42</v>
      </c>
      <c r="F44" s="119">
        <f t="shared" si="4"/>
        <v>50965</v>
      </c>
      <c r="G44" s="499">
        <f>'CEITEC MU'!G44+'CEITEC-CŘS'!G44+SKM!G44+SUKB!G46+UCT!G44+SPSSN!G44+IBA!G44+CTT!G44+ÚVT!G44+CJV!G44+CZS!G44+RMU!G44</f>
        <v>0</v>
      </c>
      <c r="H44" s="94">
        <f>'CEITEC MU'!H44+'CEITEC-CŘS'!H44+SKM!H44+SUKB!H46+UCT!H44+SPSSN!H44+IBA!H44+CTT!H44+ÚVT!H44+CJV!H44+CZS!H44+RMU!H44</f>
        <v>11208</v>
      </c>
      <c r="I44" s="95">
        <f>'CEITEC MU'!I44+'CEITEC-CŘS'!I44+SKM!I44+SUKB!I46+UCT!I44+SPSSN!I44+IBA!I44+CTT!I44+ÚVT!I44+CJV!I44+CZS!I44+RMU!I44</f>
        <v>37715</v>
      </c>
      <c r="J44" s="95">
        <f>'CEITEC MU'!J44+'CEITEC-CŘS'!J44+SKM!J44+SUKB!J46+UCT!J44+SPSSN!J44+IBA!J44+CTT!J44+ÚVT!J44+CJV!J44+CZS!J44+RMU!J44</f>
        <v>37</v>
      </c>
      <c r="K44" s="95">
        <f>'CEITEC MU'!K44+'CEITEC-CŘS'!K44+SKM!K44+SUKB!K46+UCT!K44+SPSSN!K44+IBA!K44+CTT!K44+ÚVT!K44+CJV!K44+CZS!K44+RMU!K44</f>
        <v>1995</v>
      </c>
      <c r="L44" s="94">
        <f>'CEITEC MU'!L44+'CEITEC-CŘS'!L44+SKM!L44+SUKB!L46+UCT!L44+SPSSN!L44+IBA!L44+CTT!L44+ÚVT!L44+CJV!L44+CZS!L44+RMU!L44</f>
        <v>10</v>
      </c>
      <c r="M44" s="165">
        <f>'CEITEC MU'!M44+'CEITEC-CŘS'!M44+SKM!M44+SUKB!M46+UCT!M44+SPSSN!M44+IBA!M44+CTT!M44+ÚVT!M44+CJV!M44+CZS!M44+RMU!M44</f>
        <v>0</v>
      </c>
      <c r="N44" s="96">
        <f>'CEITEC MU'!N44+'CEITEC-CŘS'!N44+SKM!N44+SUKB!N46+UCT!N44+SPSSN!N44+IBA!N44+CTT!N44+ÚVT!N44+CJV!N44+CZS!N44+RMU!N44</f>
        <v>0</v>
      </c>
      <c r="O44" s="126">
        <f>'CEITEC MU'!O44+'CEITEC-CŘS'!O44+SKM!O44+SUKB!O46+UCT!O44+SPSSN!O44+IBA!O44+CTT!O44+ÚVT!O44+CJV!O44+CZS!O44+RMU!O44</f>
        <v>0</v>
      </c>
      <c r="P44" s="308">
        <f>'CEITEC MU'!P44+'CEITEC-CŘS'!P44+SKM!P44+SUKB!P46+UCT!P44+SPSSN!P44+IBA!P44+CTT!P44+ÚVT!P44+CJV!P44+CZS!P44+RMU!P44</f>
        <v>0</v>
      </c>
      <c r="Q44" s="519">
        <f>'CEITEC MU'!Q44+'CEITEC-CŘS'!Q44+SKM!Q44+SUKB!Q46+UCT!Q44+SPSSN!Q44+IBA!Q44+CTT!Q44+ÚVT!Q44+CJV!Q44+CZS!Q44+RMU!Q44</f>
        <v>19926.89611</v>
      </c>
      <c r="R44" s="909"/>
      <c r="S44" s="909">
        <f>'CEITEC MU'!S44+'CEITEC-CŘS'!S44+SKM!S44+SUKB!S46+UCT!S44+SPSSN!S44+IBA!S44+CTT!S44+ÚVT!S44+CJV!S44+CZS!S44+RMU!S44</f>
        <v>100548</v>
      </c>
      <c r="T44" s="59"/>
    </row>
    <row r="45" spans="1:20" s="25" customFormat="1" ht="12.75" thickBot="1">
      <c r="A45" s="40"/>
      <c r="B45" s="41" t="s">
        <v>47</v>
      </c>
      <c r="C45" s="41"/>
      <c r="D45" s="41"/>
      <c r="E45" s="170">
        <v>43</v>
      </c>
      <c r="F45" s="119">
        <f t="shared" si="4"/>
        <v>84985</v>
      </c>
      <c r="G45" s="499">
        <f>'CEITEC MU'!G45+'CEITEC-CŘS'!G45+SKM!G45+SUKB!G47+UCT!G45+SPSSN!G45+IBA!G45+CTT!G45+ÚVT!G45+CJV!G45+CZS!G45+RMU!G45</f>
        <v>84985</v>
      </c>
      <c r="H45" s="94">
        <f>'CEITEC MU'!H45+'CEITEC-CŘS'!H45+SKM!H45+SUKB!H47+UCT!H45+SPSSN!H45+IBA!H45+CTT!H45+ÚVT!H45+CJV!H45+CZS!H45+RMU!H45</f>
        <v>0</v>
      </c>
      <c r="I45" s="95">
        <f>'CEITEC MU'!I45+'CEITEC-CŘS'!I45+SKM!I45+SUKB!I47+UCT!I45+SPSSN!I45+IBA!I45+CTT!I45+ÚVT!I45+CJV!I45+CZS!I45+RMU!I45</f>
        <v>0</v>
      </c>
      <c r="J45" s="95">
        <f>'CEITEC MU'!J45+'CEITEC-CŘS'!J45+SKM!J45+SUKB!J47+UCT!J45+SPSSN!J45+IBA!J45+CTT!J45+ÚVT!J45+CJV!J45+CZS!J45+RMU!J45</f>
        <v>0</v>
      </c>
      <c r="K45" s="95">
        <f>'CEITEC MU'!K45+'CEITEC-CŘS'!K45+SKM!K45+SUKB!K47+UCT!K45+SPSSN!K45+IBA!K45+CTT!K45+ÚVT!K45+CJV!K45+CZS!K45+RMU!K45</f>
        <v>0</v>
      </c>
      <c r="L45" s="94">
        <f>'CEITEC MU'!L45+'CEITEC-CŘS'!L45+SKM!L45+SUKB!L47+UCT!L45+SPSSN!L45+IBA!L45+CTT!L45+ÚVT!L45+CJV!L45+CZS!L45+RMU!L45</f>
        <v>0</v>
      </c>
      <c r="M45" s="165">
        <f>'CEITEC MU'!M45+'CEITEC-CŘS'!M45+SKM!M45+SUKB!M47+UCT!M45+SPSSN!M45+IBA!M45+CTT!M45+ÚVT!M45+CJV!M45+CZS!M45+RMU!M45</f>
        <v>0</v>
      </c>
      <c r="N45" s="96">
        <f>'CEITEC MU'!N45+'CEITEC-CŘS'!N45+SKM!N45+SUKB!N47+UCT!N45+SPSSN!N45+IBA!N45+CTT!N45+ÚVT!N45+CJV!N45+CZS!N45+RMU!N45</f>
        <v>0</v>
      </c>
      <c r="O45" s="126">
        <f>'CEITEC MU'!O45+'CEITEC-CŘS'!O45+SKM!O45+SUKB!O47+UCT!O45+SPSSN!O45+IBA!O45+CTT!O45+ÚVT!O45+CJV!O45+CZS!O45+RMU!O45</f>
        <v>0</v>
      </c>
      <c r="P45" s="308" t="e">
        <f>'CEITEC MU'!P45+'CEITEC-CŘS'!P45+SKM!P45+SUKB!P47+UCT!P45+SPSSN!P45+IBA!P45+CTT!P45+ÚVT!P45+CJV!P45+CZS!P45+RMU!P45</f>
        <v>#DIV/0!</v>
      </c>
      <c r="Q45" s="519">
        <f>'CEITEC MU'!Q45+'CEITEC-CŘS'!Q45+SKM!Q45+SUKB!Q47+UCT!Q45+SPSSN!Q45+IBA!Q45+CTT!Q45+ÚVT!Q45+CJV!Q45+CZS!Q45+RMU!Q45</f>
        <v>98958.12496</v>
      </c>
      <c r="R45" s="255"/>
      <c r="S45" s="72"/>
      <c r="T45" s="59"/>
    </row>
    <row r="46" spans="1:20" s="25" customFormat="1" ht="12.75" hidden="1" thickBot="1">
      <c r="A46" s="44" t="s">
        <v>61</v>
      </c>
      <c r="B46" s="45"/>
      <c r="C46" s="45"/>
      <c r="D46" s="45"/>
      <c r="E46" s="168">
        <v>44</v>
      </c>
      <c r="F46" s="201">
        <f>F29+F34+F38+F43+F44+F45-F4-F27</f>
        <v>14786</v>
      </c>
      <c r="G46" s="596">
        <f>SKM!G46+SUKB!G48+UCT!G46+SPSSN!G46+IBA!G46+ÚVT!G46+CJV!G46+CZS!G46+RMU!G46</f>
        <v>14563</v>
      </c>
      <c r="H46" s="91">
        <f>SKM!H46+SUKB!H48+UCT!H46+SPSSN!H46+IBA!H46+ÚVT!H46+CJV!H46+CZS!H46+RMU!H46</f>
        <v>0</v>
      </c>
      <c r="I46" s="90">
        <f>SKM!I46+SUKB!I48+UCT!I46+SPSSN!I46+IBA!I46+ÚVT!I46+CJV!I46+CZS!I46+RMU!I46</f>
        <v>43</v>
      </c>
      <c r="J46" s="90">
        <f>SKM!J46+SUKB!J48+UCT!J46+SPSSN!J46+IBA!J46+ÚVT!J46+CJV!J46+CZS!J46+RMU!J46</f>
        <v>0</v>
      </c>
      <c r="K46" s="90">
        <f>SKM!K46+SUKB!K48+UCT!K46+SPSSN!K46+IBA!K46+ÚVT!K46+CJV!K46+CZS!K46+RMU!K46</f>
        <v>0</v>
      </c>
      <c r="L46" s="91">
        <f>SKM!L46+SUKB!L48+UCT!L46+SPSSN!L46+IBA!L46+ÚVT!L46+CJV!L46+CZS!L46+RMU!L46</f>
        <v>0</v>
      </c>
      <c r="M46" s="879">
        <f>SKM!M46+SUKB!M48+UCT!M46+SPSSN!M46+IBA!M46+ÚVT!M46+CJV!M46+CZS!M46+RMU!M46</f>
        <v>0</v>
      </c>
      <c r="N46" s="201">
        <f>SKM!N46+SUKB!N48+UCT!N46+SPSSN!N46+IBA!N46+ÚVT!N46+CJV!N46+CZS!N46+RMU!N46</f>
        <v>936922.08</v>
      </c>
      <c r="O46" s="882"/>
      <c r="P46" s="879" t="e">
        <f>P29+P34+P38+P43+P44+P45-P4-P27</f>
        <v>#DIV/0!</v>
      </c>
      <c r="Q46" s="590">
        <f>SKM!Q46+SUKB!Q48+UCT!Q46+SPSSN!Q46+IBA!Q46+ÚVT!Q46+CJV!Q46+CZS!Q46+RMU!Q46</f>
        <v>22084.65306000003</v>
      </c>
      <c r="R46" s="255"/>
      <c r="S46" s="72"/>
      <c r="T46" s="59"/>
    </row>
    <row r="47" spans="1:20" ht="13.5" thickBot="1">
      <c r="A47" s="37" t="s">
        <v>62</v>
      </c>
      <c r="B47" s="38"/>
      <c r="C47" s="38"/>
      <c r="D47" s="38"/>
      <c r="E47" s="171">
        <v>45</v>
      </c>
      <c r="F47" s="197">
        <f aca="true" t="shared" si="5" ref="F47:N47">F28-F3</f>
        <v>14743</v>
      </c>
      <c r="G47" s="597">
        <f t="shared" si="5"/>
        <v>14743</v>
      </c>
      <c r="H47" s="76">
        <f t="shared" si="5"/>
        <v>0</v>
      </c>
      <c r="I47" s="77">
        <f t="shared" si="5"/>
        <v>0</v>
      </c>
      <c r="J47" s="77">
        <f t="shared" si="5"/>
        <v>0</v>
      </c>
      <c r="K47" s="77">
        <f t="shared" si="5"/>
        <v>0</v>
      </c>
      <c r="L47" s="245">
        <f t="shared" si="5"/>
        <v>0</v>
      </c>
      <c r="M47" s="877">
        <f>M28-M3</f>
        <v>0</v>
      </c>
      <c r="N47" s="197">
        <f t="shared" si="5"/>
        <v>0</v>
      </c>
      <c r="O47" s="883"/>
      <c r="P47" s="877" t="e">
        <f>P28-P3</f>
        <v>#DIV/0!</v>
      </c>
      <c r="Q47" s="950">
        <f>Q28-Q3</f>
        <v>22134.653059999924</v>
      </c>
      <c r="T47" s="239"/>
    </row>
    <row r="48" spans="1:5" ht="12.75">
      <c r="A48" s="47"/>
      <c r="B48" s="47"/>
      <c r="C48" s="47"/>
      <c r="D48" s="47"/>
      <c r="E48" s="48"/>
    </row>
    <row r="49" spans="5:20" s="47" customFormat="1" ht="11.25">
      <c r="E49" s="48"/>
      <c r="G49" s="59"/>
      <c r="H49" s="59"/>
      <c r="I49" s="59"/>
      <c r="J49" s="59"/>
      <c r="K49" s="59"/>
      <c r="L49" s="72"/>
      <c r="M49" s="72"/>
      <c r="N49" s="858">
        <f>RMU!N49</f>
        <v>0</v>
      </c>
      <c r="O49" s="254"/>
      <c r="P49" s="72"/>
      <c r="Q49" s="825">
        <f>RMU!Q49</f>
        <v>0</v>
      </c>
      <c r="R49" s="255"/>
      <c r="S49" s="72"/>
      <c r="T49" s="59"/>
    </row>
    <row r="50" spans="1:20" s="47" customFormat="1" ht="11.25">
      <c r="A50" s="51" t="s">
        <v>166</v>
      </c>
      <c r="E50" s="48"/>
      <c r="F50" s="202"/>
      <c r="G50" s="59"/>
      <c r="I50" s="109">
        <f>SKM!I50+SUKB!I52+UCT!I50+SPSSN!I50+IBA!I50+ÚVT!I50+CJV!I50+CZS!I50+RMU!I50</f>
        <v>0</v>
      </c>
      <c r="L50" s="59"/>
      <c r="M50" s="59"/>
      <c r="N50" s="59"/>
      <c r="O50" s="254"/>
      <c r="P50" s="59"/>
      <c r="Q50" s="952"/>
      <c r="R50" s="255"/>
      <c r="S50" s="72"/>
      <c r="T50" s="59"/>
    </row>
    <row r="51" spans="5:20" s="51" customFormat="1" ht="11.25" hidden="1">
      <c r="E51" s="53"/>
      <c r="G51" s="72"/>
      <c r="H51" s="72"/>
      <c r="I51" s="72"/>
      <c r="J51" s="72"/>
      <c r="K51" s="72"/>
      <c r="L51" s="72"/>
      <c r="M51" s="72"/>
      <c r="N51" s="72"/>
      <c r="O51" s="254"/>
      <c r="P51" s="72"/>
      <c r="Q51" s="72"/>
      <c r="R51" s="255"/>
      <c r="S51" s="72"/>
      <c r="T51" s="72"/>
    </row>
    <row r="52" spans="5:20" s="51" customFormat="1" ht="11.25" hidden="1">
      <c r="E52" s="53"/>
      <c r="G52" s="72"/>
      <c r="H52" s="72"/>
      <c r="I52" s="72"/>
      <c r="J52" s="72"/>
      <c r="K52" s="72"/>
      <c r="L52" s="72"/>
      <c r="M52" s="72"/>
      <c r="N52" s="72"/>
      <c r="O52" s="254"/>
      <c r="P52" s="72"/>
      <c r="Q52" s="72"/>
      <c r="R52" s="255"/>
      <c r="S52" s="72"/>
      <c r="T52" s="72"/>
    </row>
    <row r="53" spans="2:20" s="51" customFormat="1" ht="11.25" hidden="1">
      <c r="B53" s="51" t="s">
        <v>191</v>
      </c>
      <c r="E53" s="53"/>
      <c r="G53" s="72"/>
      <c r="H53" s="72"/>
      <c r="I53" s="72"/>
      <c r="J53" s="72"/>
      <c r="K53" s="72"/>
      <c r="L53" s="72"/>
      <c r="M53" s="72"/>
      <c r="N53" s="72"/>
      <c r="O53" s="254"/>
      <c r="P53" s="72"/>
      <c r="Q53" s="72"/>
      <c r="R53" s="255"/>
      <c r="S53" s="72"/>
      <c r="T53" s="72"/>
    </row>
    <row r="54" spans="1:20" s="47" customFormat="1" ht="11.25" hidden="1">
      <c r="A54" s="51"/>
      <c r="B54" s="51"/>
      <c r="C54" s="51"/>
      <c r="D54" s="51"/>
      <c r="E54" s="48"/>
      <c r="G54" s="59"/>
      <c r="H54" s="59"/>
      <c r="I54" s="59"/>
      <c r="J54" s="59"/>
      <c r="K54" s="59"/>
      <c r="L54" s="59"/>
      <c r="M54" s="59"/>
      <c r="N54" s="59"/>
      <c r="O54" s="253"/>
      <c r="P54" s="59"/>
      <c r="Q54" s="72"/>
      <c r="R54" s="255"/>
      <c r="S54" s="72"/>
      <c r="T54" s="59"/>
    </row>
    <row r="55" spans="1:19" s="59" customFormat="1" ht="11.25" hidden="1">
      <c r="A55" s="51"/>
      <c r="B55" s="51"/>
      <c r="C55" s="51"/>
      <c r="D55" s="51"/>
      <c r="E55" s="57"/>
      <c r="F55" s="47"/>
      <c r="O55" s="253"/>
      <c r="Q55" s="72"/>
      <c r="R55" s="255"/>
      <c r="S55" s="72"/>
    </row>
    <row r="56" spans="1:19" s="59" customFormat="1" ht="11.25">
      <c r="A56" s="51"/>
      <c r="B56" s="51"/>
      <c r="C56" s="51"/>
      <c r="D56" s="51"/>
      <c r="E56" s="57"/>
      <c r="F56" s="47"/>
      <c r="O56" s="253"/>
      <c r="Q56" s="72"/>
      <c r="R56" s="255"/>
      <c r="S56" s="72"/>
    </row>
    <row r="57" spans="1:19" s="59" customFormat="1" ht="11.25">
      <c r="A57" s="51"/>
      <c r="B57" s="51"/>
      <c r="C57" s="51"/>
      <c r="D57" s="51"/>
      <c r="E57" s="57"/>
      <c r="F57" s="47"/>
      <c r="O57" s="253"/>
      <c r="Q57" s="72"/>
      <c r="R57" s="255"/>
      <c r="S57" s="72"/>
    </row>
    <row r="60" spans="2:19" s="59" customFormat="1" ht="11.25" hidden="1">
      <c r="B60" s="826" t="s">
        <v>191</v>
      </c>
      <c r="C60" s="827"/>
      <c r="D60" s="827"/>
      <c r="E60" s="828"/>
      <c r="F60" s="829"/>
      <c r="G60" s="830"/>
      <c r="H60" s="827"/>
      <c r="I60" s="827"/>
      <c r="J60" s="827"/>
      <c r="K60" s="827"/>
      <c r="L60" s="827"/>
      <c r="M60" s="827"/>
      <c r="N60" s="843">
        <f>SKM!N60+SUKB!N62+UCT!N53+SPSSN!N60+IBA!N58+ÚVT!N53+CJV!N59+CZS!N59+RMU!N60</f>
        <v>0</v>
      </c>
      <c r="O60" s="831"/>
      <c r="P60" s="843" t="e">
        <f>SKM!P60+SUKB!P62+UCT!P53+SPSSN!P60+IBA!P58+ÚVT!P53+CJV!P59+CZS!P59+RMU!P60</f>
        <v>#DIV/0!</v>
      </c>
      <c r="Q60" s="72"/>
      <c r="R60" s="255"/>
      <c r="S60" s="72"/>
    </row>
    <row r="61" spans="2:19" s="59" customFormat="1" ht="11.25" hidden="1">
      <c r="B61" s="837" t="s">
        <v>192</v>
      </c>
      <c r="C61" s="838"/>
      <c r="D61" s="838"/>
      <c r="E61" s="839"/>
      <c r="F61" s="840"/>
      <c r="G61" s="841"/>
      <c r="H61" s="838"/>
      <c r="I61" s="838"/>
      <c r="J61" s="838"/>
      <c r="K61" s="838"/>
      <c r="L61" s="838"/>
      <c r="M61" s="838"/>
      <c r="N61" s="844">
        <f>SKM!N61+SUKB!N63+UCT!N54+SPSSN!N61+IBA!N59+ÚVT!N54+CJV!N60+CZS!N60+RMU!N61</f>
        <v>0</v>
      </c>
      <c r="O61" s="842"/>
      <c r="P61" s="844" t="e">
        <f>SKM!P61+SUKB!P63+UCT!P54+SPSSN!P61+IBA!P59+ÚVT!P54+CJV!P60+CZS!P60+RMU!P61</f>
        <v>#DIV/0!</v>
      </c>
      <c r="Q61" s="72"/>
      <c r="R61" s="255"/>
      <c r="S61" s="72"/>
    </row>
    <row r="62" spans="2:19" s="59" customFormat="1" ht="11.25" hidden="1">
      <c r="B62" s="837" t="s">
        <v>193</v>
      </c>
      <c r="C62" s="838"/>
      <c r="D62" s="838"/>
      <c r="E62" s="839"/>
      <c r="F62" s="840"/>
      <c r="G62" s="841"/>
      <c r="H62" s="838"/>
      <c r="I62" s="838"/>
      <c r="J62" s="838"/>
      <c r="K62" s="838"/>
      <c r="L62" s="838"/>
      <c r="M62" s="838"/>
      <c r="N62" s="844">
        <f>SKM!N62+SUKB!N64+UCT!N55+SPSSN!N62+IBA!N60+ÚVT!N55+CJV!N61+CZS!N61+RMU!N62</f>
        <v>0</v>
      </c>
      <c r="O62" s="842"/>
      <c r="P62" s="844" t="e">
        <f>SKM!P62+SUKB!P64+UCT!P55+SPSSN!P62+IBA!P60+ÚVT!P55+CJV!P61+CZS!P61+RMU!P62</f>
        <v>#DIV/0!</v>
      </c>
      <c r="Q62" s="72"/>
      <c r="R62" s="255"/>
      <c r="S62" s="72"/>
    </row>
    <row r="63" spans="2:19" s="59" customFormat="1" ht="11.25" hidden="1">
      <c r="B63" s="837" t="s">
        <v>194</v>
      </c>
      <c r="C63" s="838"/>
      <c r="D63" s="838"/>
      <c r="E63" s="839"/>
      <c r="F63" s="840"/>
      <c r="G63" s="841"/>
      <c r="H63" s="838"/>
      <c r="I63" s="838"/>
      <c r="J63" s="838"/>
      <c r="K63" s="838"/>
      <c r="L63" s="838"/>
      <c r="M63" s="838"/>
      <c r="N63" s="844">
        <f>SKM!N63+SUKB!N65+UCT!N56+SPSSN!N63+IBA!N61+ÚVT!N56+CJV!N62+CZS!N62+RMU!N63</f>
        <v>0</v>
      </c>
      <c r="O63" s="842"/>
      <c r="P63" s="844" t="e">
        <f>SKM!P63+SUKB!P65+UCT!P56+SPSSN!P63+IBA!P61+ÚVT!P56+CJV!P62+CZS!P62+RMU!P63</f>
        <v>#DIV/0!</v>
      </c>
      <c r="Q63" s="72"/>
      <c r="R63" s="255"/>
      <c r="S63" s="72"/>
    </row>
    <row r="64" spans="2:19" s="59" customFormat="1" ht="11.25" hidden="1">
      <c r="B64" s="832" t="s">
        <v>195</v>
      </c>
      <c r="C64" s="833"/>
      <c r="D64" s="833"/>
      <c r="E64" s="834"/>
      <c r="F64" s="835"/>
      <c r="G64" s="833"/>
      <c r="H64" s="833"/>
      <c r="I64" s="833"/>
      <c r="J64" s="833"/>
      <c r="K64" s="833"/>
      <c r="L64" s="833"/>
      <c r="M64" s="833"/>
      <c r="N64" s="845">
        <f>SKM!N64+SUKB!N66+UCT!N57+SPSSN!N64+IBA!N62+ÚVT!N57+CJV!N63+CZS!N63+RMU!N64</f>
        <v>0</v>
      </c>
      <c r="O64" s="836"/>
      <c r="P64" s="845" t="e">
        <f>SKM!P64+SUKB!P66+UCT!P57+SPSSN!P64+IBA!P62+ÚVT!P57+CJV!P63+CZS!P63+RMU!P64</f>
        <v>#DIV/0!</v>
      </c>
      <c r="Q64" s="72"/>
      <c r="R64" s="255"/>
      <c r="S64" s="72"/>
    </row>
  </sheetData>
  <mergeCells count="5">
    <mergeCell ref="S1:S2"/>
    <mergeCell ref="A1:D1"/>
    <mergeCell ref="H1:L1"/>
    <mergeCell ref="C2:D2"/>
    <mergeCell ref="R1:R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7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Q50"/>
  <sheetViews>
    <sheetView workbookViewId="0" topLeftCell="A4">
      <selection activeCell="J50" sqref="J50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60" bestFit="1" customWidth="1"/>
    <col min="6" max="6" width="11.375" style="25" customWidth="1"/>
    <col min="7" max="7" width="11.125" style="25" customWidth="1"/>
    <col min="8" max="8" width="11.625" style="228" customWidth="1"/>
    <col min="9" max="9" width="5.125" style="0" hidden="1" customWidth="1"/>
    <col min="10" max="11" width="10.625" style="59" customWidth="1"/>
    <col min="12" max="12" width="10.00390625" style="401" hidden="1" customWidth="1"/>
    <col min="13" max="13" width="8.00390625" style="255" customWidth="1"/>
  </cols>
  <sheetData>
    <row r="1" spans="1:13" ht="15.75" customHeight="1">
      <c r="A1" s="1046" t="s">
        <v>200</v>
      </c>
      <c r="B1" s="1047"/>
      <c r="C1" s="1047"/>
      <c r="D1" s="1048"/>
      <c r="E1" s="203"/>
      <c r="F1" s="211"/>
      <c r="G1" s="206"/>
      <c r="H1" s="221" t="s">
        <v>150</v>
      </c>
      <c r="I1" s="4" t="s">
        <v>1</v>
      </c>
      <c r="J1" s="67" t="s">
        <v>7</v>
      </c>
      <c r="K1" s="67" t="s">
        <v>147</v>
      </c>
      <c r="L1" s="67" t="s">
        <v>145</v>
      </c>
      <c r="M1" s="1064"/>
    </row>
    <row r="2" spans="1:13" s="16" customFormat="1" ht="13.5" thickBot="1">
      <c r="A2" s="6" t="s">
        <v>127</v>
      </c>
      <c r="B2" s="7"/>
      <c r="C2" s="1052" t="s">
        <v>149</v>
      </c>
      <c r="D2" s="1053"/>
      <c r="E2" s="204" t="s">
        <v>5</v>
      </c>
      <c r="F2" s="217" t="s">
        <v>117</v>
      </c>
      <c r="G2" s="218" t="s">
        <v>27</v>
      </c>
      <c r="H2" s="222">
        <v>2011</v>
      </c>
      <c r="I2" s="12" t="s">
        <v>7</v>
      </c>
      <c r="J2" s="71">
        <v>2011</v>
      </c>
      <c r="K2" s="71">
        <v>2010</v>
      </c>
      <c r="L2" s="71">
        <v>2009</v>
      </c>
      <c r="M2" s="1064"/>
    </row>
    <row r="3" spans="1:12" ht="13.5" thickBot="1">
      <c r="A3" s="17" t="s">
        <v>13</v>
      </c>
      <c r="B3" s="18"/>
      <c r="C3" s="18"/>
      <c r="D3" s="18"/>
      <c r="E3" s="171">
        <v>1</v>
      </c>
      <c r="F3" s="212">
        <f aca="true" t="shared" si="0" ref="F3:L3">SUM(F5:F27)</f>
        <v>0</v>
      </c>
      <c r="G3" s="207">
        <f t="shared" si="0"/>
        <v>0</v>
      </c>
      <c r="H3" s="172">
        <f>SUM(H5:H27)</f>
        <v>0</v>
      </c>
      <c r="I3" s="75">
        <f t="shared" si="0"/>
        <v>0</v>
      </c>
      <c r="J3" s="78">
        <f t="shared" si="0"/>
        <v>4850217</v>
      </c>
      <c r="K3" s="78">
        <f>SUM(K5:K27)</f>
        <v>1313035.8738299997</v>
      </c>
      <c r="L3" s="78" t="e">
        <f t="shared" si="0"/>
        <v>#REF!</v>
      </c>
    </row>
    <row r="4" spans="1:13" s="25" customFormat="1" ht="12">
      <c r="A4" s="21" t="s">
        <v>14</v>
      </c>
      <c r="B4" s="22" t="s">
        <v>15</v>
      </c>
      <c r="C4" s="22"/>
      <c r="D4" s="22"/>
      <c r="E4" s="205">
        <v>2</v>
      </c>
      <c r="F4" s="213">
        <f>SUM(F5:F15)</f>
        <v>0</v>
      </c>
      <c r="G4" s="79">
        <f>SUM(G5:G15)</f>
        <v>0</v>
      </c>
      <c r="H4" s="223">
        <f>SUM(F4:G4)</f>
        <v>0</v>
      </c>
      <c r="I4" s="79">
        <f>SUM(I5:I15)</f>
        <v>0</v>
      </c>
      <c r="J4" s="82">
        <f>'fak-skut.'!Q5+ostatni_skut!R5</f>
        <v>1170430</v>
      </c>
      <c r="K4" s="82">
        <f>'fak-skut.'!R5+ostatni_skut!S5</f>
        <v>219644.7409</v>
      </c>
      <c r="L4" s="82" t="e">
        <f>'fak-skut.'!S5+ostatni_skut!T5</f>
        <v>#REF!</v>
      </c>
      <c r="M4" s="255"/>
    </row>
    <row r="5" spans="1:13" s="25" customFormat="1" ht="12">
      <c r="A5" s="21"/>
      <c r="B5" s="26"/>
      <c r="C5" s="26" t="s">
        <v>16</v>
      </c>
      <c r="D5" s="27" t="s">
        <v>17</v>
      </c>
      <c r="E5" s="168">
        <v>3</v>
      </c>
      <c r="F5" s="214">
        <f>'fak-skut.'!O5</f>
        <v>0</v>
      </c>
      <c r="G5" s="208">
        <f>ostatni_skut!P5</f>
        <v>0</v>
      </c>
      <c r="H5" s="846">
        <f aca="true" t="shared" si="1" ref="H5:H27">SUM(F5:G5)</f>
        <v>0</v>
      </c>
      <c r="I5" s="83"/>
      <c r="J5" s="164">
        <f>MU_plan!H5</f>
        <v>1170430</v>
      </c>
      <c r="K5" s="164">
        <f>'fak-skut.'!R5+ostatni_skut!S5</f>
        <v>219644.7409</v>
      </c>
      <c r="L5" s="164" t="e">
        <f>'fak-skut.'!S5+ostatni_skut!T5</f>
        <v>#REF!</v>
      </c>
      <c r="M5" s="255"/>
    </row>
    <row r="6" spans="1:13" s="25" customFormat="1" ht="12">
      <c r="A6" s="21"/>
      <c r="B6" s="26"/>
      <c r="C6" s="26"/>
      <c r="D6" s="27" t="s">
        <v>18</v>
      </c>
      <c r="E6" s="168">
        <v>4</v>
      </c>
      <c r="F6" s="215">
        <f>'fak-skut.'!O6</f>
        <v>0</v>
      </c>
      <c r="G6" s="209">
        <f>ostatni_skut!P6</f>
        <v>0</v>
      </c>
      <c r="H6" s="846">
        <f t="shared" si="1"/>
        <v>0</v>
      </c>
      <c r="I6" s="83"/>
      <c r="J6" s="164">
        <f>MU_plan!H6</f>
        <v>55823</v>
      </c>
      <c r="K6" s="164">
        <f>'fak-skut.'!R6+ostatni_skut!S6</f>
        <v>20374.6305</v>
      </c>
      <c r="L6" s="164" t="e">
        <f>'fak-skut.'!S6+ostatni_skut!T6</f>
        <v>#REF!</v>
      </c>
      <c r="M6" s="255"/>
    </row>
    <row r="7" spans="1:13" s="25" customFormat="1" ht="12">
      <c r="A7" s="21"/>
      <c r="B7" s="26"/>
      <c r="C7" s="26"/>
      <c r="D7" s="27" t="s">
        <v>19</v>
      </c>
      <c r="E7" s="168">
        <v>5</v>
      </c>
      <c r="F7" s="215">
        <f>'fak-skut.'!O7</f>
        <v>0</v>
      </c>
      <c r="G7" s="209">
        <f>ostatni_skut!P7</f>
        <v>0</v>
      </c>
      <c r="H7" s="846">
        <f t="shared" si="1"/>
        <v>0</v>
      </c>
      <c r="I7" s="83"/>
      <c r="J7" s="164">
        <f>MU_plan!H7</f>
        <v>410494</v>
      </c>
      <c r="K7" s="164">
        <f>'fak-skut.'!R7+ostatni_skut!S7</f>
        <v>79632.64033000001</v>
      </c>
      <c r="L7" s="164" t="e">
        <f>'fak-skut.'!S7+ostatni_skut!T7</f>
        <v>#REF!</v>
      </c>
      <c r="M7" s="255"/>
    </row>
    <row r="8" spans="1:13" s="25" customFormat="1" ht="12">
      <c r="A8" s="21"/>
      <c r="B8" s="26"/>
      <c r="C8" s="26"/>
      <c r="D8" s="27" t="s">
        <v>20</v>
      </c>
      <c r="E8" s="168">
        <v>6</v>
      </c>
      <c r="F8" s="215">
        <f>'fak-skut.'!O8</f>
        <v>0</v>
      </c>
      <c r="G8" s="209">
        <f>ostatni_skut!P8</f>
        <v>0</v>
      </c>
      <c r="H8" s="846">
        <f t="shared" si="1"/>
        <v>0</v>
      </c>
      <c r="I8" s="83"/>
      <c r="J8" s="164">
        <f>MU_plan!H8</f>
        <v>164838</v>
      </c>
      <c r="K8" s="164">
        <f>'fak-skut.'!R8+ostatni_skut!S8</f>
        <v>46833.88389</v>
      </c>
      <c r="L8" s="164" t="e">
        <f>'fak-skut.'!S8+ostatni_skut!T8</f>
        <v>#DIV/0!</v>
      </c>
      <c r="M8" s="255"/>
    </row>
    <row r="9" spans="1:13" s="25" customFormat="1" ht="12">
      <c r="A9" s="21"/>
      <c r="B9" s="26"/>
      <c r="C9" s="26"/>
      <c r="D9" s="27" t="s">
        <v>21</v>
      </c>
      <c r="E9" s="168">
        <v>7</v>
      </c>
      <c r="F9" s="215">
        <f>'fak-skut.'!O9</f>
        <v>0</v>
      </c>
      <c r="G9" s="209">
        <f>ostatni_skut!P9</f>
        <v>0</v>
      </c>
      <c r="H9" s="846">
        <f t="shared" si="1"/>
        <v>0</v>
      </c>
      <c r="I9" s="83"/>
      <c r="J9" s="164">
        <f>MU_plan!H9</f>
        <v>72983</v>
      </c>
      <c r="K9" s="164">
        <f>'fak-skut.'!R9+ostatni_skut!S9</f>
        <v>41676.079</v>
      </c>
      <c r="L9" s="164" t="e">
        <f>'fak-skut.'!S9+ostatni_skut!T9</f>
        <v>#DIV/0!</v>
      </c>
      <c r="M9" s="255"/>
    </row>
    <row r="10" spans="1:13" s="25" customFormat="1" ht="12">
      <c r="A10" s="21"/>
      <c r="B10" s="26"/>
      <c r="C10" s="26"/>
      <c r="D10" s="27" t="s">
        <v>22</v>
      </c>
      <c r="E10" s="168">
        <v>8</v>
      </c>
      <c r="F10" s="215">
        <f>'fak-skut.'!O10</f>
        <v>0</v>
      </c>
      <c r="G10" s="209">
        <f>ostatni_skut!P10</f>
        <v>0</v>
      </c>
      <c r="H10" s="846">
        <f t="shared" si="1"/>
        <v>0</v>
      </c>
      <c r="I10" s="83"/>
      <c r="J10" s="164">
        <f>MU_plan!H10</f>
        <v>133259</v>
      </c>
      <c r="K10" s="164">
        <f>'fak-skut.'!R10+ostatni_skut!S10</f>
        <v>107187.97256</v>
      </c>
      <c r="L10" s="164" t="e">
        <f>'fak-skut.'!S10+ostatni_skut!T10</f>
        <v>#DIV/0!</v>
      </c>
      <c r="M10" s="255"/>
    </row>
    <row r="11" spans="1:13" s="25" customFormat="1" ht="12">
      <c r="A11" s="21"/>
      <c r="B11" s="26"/>
      <c r="C11" s="26"/>
      <c r="D11" s="27" t="s">
        <v>23</v>
      </c>
      <c r="E11" s="168">
        <v>9</v>
      </c>
      <c r="F11" s="215">
        <f>'fak-skut.'!O11</f>
        <v>0</v>
      </c>
      <c r="G11" s="209">
        <f>ostatni_skut!P11</f>
        <v>0</v>
      </c>
      <c r="H11" s="846">
        <f t="shared" si="1"/>
        <v>0</v>
      </c>
      <c r="I11" s="83"/>
      <c r="J11" s="164">
        <f>MU_plan!H11</f>
        <v>232648</v>
      </c>
      <c r="K11" s="164">
        <f>'fak-skut.'!R11+ostatni_skut!S11</f>
        <v>113945.40117999999</v>
      </c>
      <c r="L11" s="164" t="e">
        <f>'fak-skut.'!S11+ostatni_skut!T11</f>
        <v>#DIV/0!</v>
      </c>
      <c r="M11" s="255"/>
    </row>
    <row r="12" spans="1:13" s="25" customFormat="1" ht="12">
      <c r="A12" s="21"/>
      <c r="B12" s="26"/>
      <c r="C12" s="26"/>
      <c r="D12" s="27" t="s">
        <v>24</v>
      </c>
      <c r="E12" s="168">
        <v>10</v>
      </c>
      <c r="F12" s="215">
        <f>'fak-skut.'!O12</f>
        <v>0</v>
      </c>
      <c r="G12" s="209">
        <f>ostatni_skut!P12</f>
        <v>0</v>
      </c>
      <c r="H12" s="846">
        <f t="shared" si="1"/>
        <v>0</v>
      </c>
      <c r="I12" s="83"/>
      <c r="J12" s="164">
        <f>MU_plan!H12</f>
        <v>15530</v>
      </c>
      <c r="K12" s="164">
        <f>'fak-skut.'!R12+ostatni_skut!S12</f>
        <v>4175.56157</v>
      </c>
      <c r="L12" s="164" t="e">
        <f>'fak-skut.'!S12+ostatni_skut!T12</f>
        <v>#DIV/0!</v>
      </c>
      <c r="M12" s="255"/>
    </row>
    <row r="13" spans="1:13" s="25" customFormat="1" ht="12">
      <c r="A13" s="21"/>
      <c r="B13" s="26"/>
      <c r="C13" s="26"/>
      <c r="D13" s="27" t="s">
        <v>25</v>
      </c>
      <c r="E13" s="168">
        <v>11</v>
      </c>
      <c r="F13" s="215">
        <f>'fak-skut.'!O13</f>
        <v>0</v>
      </c>
      <c r="G13" s="209">
        <f>ostatni_skut!P13</f>
        <v>0</v>
      </c>
      <c r="H13" s="846">
        <f t="shared" si="1"/>
        <v>0</v>
      </c>
      <c r="I13" s="83"/>
      <c r="J13" s="164">
        <f>MU_plan!H13</f>
        <v>390795</v>
      </c>
      <c r="K13" s="164">
        <f>'fak-skut.'!R13+ostatni_skut!S13</f>
        <v>144801.52541000003</v>
      </c>
      <c r="L13" s="164" t="e">
        <f>'fak-skut.'!S13+ostatni_skut!T13</f>
        <v>#REF!</v>
      </c>
      <c r="M13" s="255"/>
    </row>
    <row r="14" spans="1:13" s="25" customFormat="1" ht="12">
      <c r="A14" s="21"/>
      <c r="B14" s="26"/>
      <c r="C14" s="26"/>
      <c r="D14" s="27" t="s">
        <v>26</v>
      </c>
      <c r="E14" s="168">
        <v>12</v>
      </c>
      <c r="F14" s="215">
        <f>'fak-skut.'!O14</f>
        <v>0</v>
      </c>
      <c r="G14" s="209">
        <f>ostatni_skut!P14</f>
        <v>0</v>
      </c>
      <c r="H14" s="846">
        <f t="shared" si="1"/>
        <v>0</v>
      </c>
      <c r="I14" s="83"/>
      <c r="J14" s="164">
        <f>MU_plan!H14</f>
        <v>166306</v>
      </c>
      <c r="K14" s="164">
        <f>'fak-skut.'!R14+ostatni_skut!S14</f>
        <v>116540.567</v>
      </c>
      <c r="L14" s="164" t="e">
        <f>'fak-skut.'!S14+ostatni_skut!T14</f>
        <v>#DIV/0!</v>
      </c>
      <c r="M14" s="255"/>
    </row>
    <row r="15" spans="1:13" s="25" customFormat="1" ht="12">
      <c r="A15" s="21"/>
      <c r="B15" s="26"/>
      <c r="C15" s="27"/>
      <c r="D15" s="27" t="s">
        <v>27</v>
      </c>
      <c r="E15" s="168">
        <v>13</v>
      </c>
      <c r="F15" s="215">
        <f>'fak-skut.'!O15</f>
        <v>0</v>
      </c>
      <c r="G15" s="209">
        <f>ostatni_skut!P15</f>
        <v>0</v>
      </c>
      <c r="H15" s="846">
        <f t="shared" si="1"/>
        <v>0</v>
      </c>
      <c r="I15" s="83"/>
      <c r="J15" s="164">
        <f>MU_plan!H15</f>
        <v>268488</v>
      </c>
      <c r="K15" s="164">
        <f>'fak-skut.'!R15+ostatni_skut!S15</f>
        <v>97922.26961</v>
      </c>
      <c r="L15" s="164" t="e">
        <f>'fak-skut.'!S15+ostatni_skut!T15</f>
        <v>#DIV/0!</v>
      </c>
      <c r="M15" s="255"/>
    </row>
    <row r="16" spans="1:13" s="25" customFormat="1" ht="12">
      <c r="A16" s="21"/>
      <c r="B16" s="30" t="s">
        <v>28</v>
      </c>
      <c r="C16" s="27"/>
      <c r="D16" s="27"/>
      <c r="E16" s="168">
        <v>14</v>
      </c>
      <c r="F16" s="507">
        <f>'fak-skut.'!O16</f>
        <v>0</v>
      </c>
      <c r="G16" s="139">
        <f>ostatni_skut!P16</f>
        <v>0</v>
      </c>
      <c r="H16" s="846">
        <f t="shared" si="1"/>
        <v>0</v>
      </c>
      <c r="I16" s="139"/>
      <c r="J16" s="96">
        <f>MU_plan!H16</f>
        <v>152087</v>
      </c>
      <c r="K16" s="96">
        <f>'fak-skut.'!R16+ostatni_skut!S16</f>
        <v>146.629</v>
      </c>
      <c r="L16" s="96" t="e">
        <f>'fak-skut.'!S16+ostatni_skut!T16</f>
        <v>#REF!</v>
      </c>
      <c r="M16" s="255"/>
    </row>
    <row r="17" spans="1:13" s="25" customFormat="1" ht="12">
      <c r="A17" s="21"/>
      <c r="B17" s="30" t="s">
        <v>30</v>
      </c>
      <c r="C17" s="27"/>
      <c r="D17" s="27"/>
      <c r="E17" s="168">
        <v>15</v>
      </c>
      <c r="F17" s="507">
        <f>'fak-skut.'!O17</f>
        <v>0</v>
      </c>
      <c r="G17" s="139">
        <f>ostatni_skut!P17</f>
        <v>0</v>
      </c>
      <c r="H17" s="846">
        <f t="shared" si="1"/>
        <v>0</v>
      </c>
      <c r="I17" s="139"/>
      <c r="J17" s="96">
        <f>MU_plan!H17</f>
        <v>44925</v>
      </c>
      <c r="K17" s="96">
        <f>'fak-skut.'!R17+ostatni_skut!S17</f>
        <v>38981.381</v>
      </c>
      <c r="L17" s="96" t="e">
        <f>'fak-skut.'!S17+ostatni_skut!T17</f>
        <v>#REF!</v>
      </c>
      <c r="M17" s="255"/>
    </row>
    <row r="18" spans="1:13" s="25" customFormat="1" ht="12">
      <c r="A18" s="21"/>
      <c r="B18" s="31" t="s">
        <v>32</v>
      </c>
      <c r="C18" s="32"/>
      <c r="D18" s="32"/>
      <c r="E18" s="169">
        <v>16</v>
      </c>
      <c r="F18" s="507">
        <f>'fak-skut.'!O18</f>
        <v>0</v>
      </c>
      <c r="G18" s="139">
        <f>ostatni_skut!P18</f>
        <v>0</v>
      </c>
      <c r="H18" s="846">
        <f t="shared" si="1"/>
        <v>0</v>
      </c>
      <c r="I18" s="139"/>
      <c r="J18" s="96">
        <f>MU_plan!H18</f>
        <v>113173</v>
      </c>
      <c r="K18" s="96">
        <f>'fak-skut.'!R18+ostatni_skut!S18</f>
        <v>63002.003</v>
      </c>
      <c r="L18" s="96" t="e">
        <f>'fak-skut.'!S18+ostatni_skut!T18</f>
        <v>#REF!</v>
      </c>
      <c r="M18" s="255"/>
    </row>
    <row r="19" spans="1:13" s="25" customFormat="1" ht="12">
      <c r="A19" s="21"/>
      <c r="B19" s="31" t="s">
        <v>34</v>
      </c>
      <c r="C19" s="32"/>
      <c r="D19" s="32"/>
      <c r="E19" s="169">
        <v>17</v>
      </c>
      <c r="F19" s="507">
        <f>'fak-skut.'!O19</f>
        <v>0</v>
      </c>
      <c r="G19" s="139">
        <f>ostatni_skut!P19</f>
        <v>0</v>
      </c>
      <c r="H19" s="846">
        <f t="shared" si="1"/>
        <v>0</v>
      </c>
      <c r="I19" s="139"/>
      <c r="J19" s="96">
        <f>MU_plan!H19</f>
        <v>7314</v>
      </c>
      <c r="K19" s="96">
        <f>'fak-skut.'!R19+ostatni_skut!S19</f>
        <v>491.818</v>
      </c>
      <c r="L19" s="96" t="e">
        <f>'fak-skut.'!S19+ostatni_skut!T19</f>
        <v>#REF!</v>
      </c>
      <c r="M19" s="255"/>
    </row>
    <row r="20" spans="1:13" s="25" customFormat="1" ht="12">
      <c r="A20" s="21"/>
      <c r="B20" s="31" t="s">
        <v>36</v>
      </c>
      <c r="C20" s="31"/>
      <c r="D20" s="31"/>
      <c r="E20" s="169">
        <v>18</v>
      </c>
      <c r="F20" s="507">
        <f>'fak-skut.'!O20</f>
        <v>0</v>
      </c>
      <c r="G20" s="139">
        <f>ostatni_skut!P20</f>
        <v>0</v>
      </c>
      <c r="H20" s="846">
        <f t="shared" si="1"/>
        <v>0</v>
      </c>
      <c r="I20" s="139"/>
      <c r="J20" s="96">
        <f>MU_plan!H20</f>
        <v>29430</v>
      </c>
      <c r="K20" s="96">
        <f>'fak-skut.'!R20+ostatni_skut!S20</f>
        <v>9709.58654</v>
      </c>
      <c r="L20" s="96" t="e">
        <f>'fak-skut.'!S20+ostatni_skut!T20</f>
        <v>#REF!</v>
      </c>
      <c r="M20" s="255"/>
    </row>
    <row r="21" spans="1:13" s="25" customFormat="1" ht="12">
      <c r="A21" s="21"/>
      <c r="B21" s="31" t="s">
        <v>38</v>
      </c>
      <c r="C21" s="31"/>
      <c r="D21" s="31"/>
      <c r="E21" s="169">
        <v>19</v>
      </c>
      <c r="F21" s="507">
        <f>'fak-skut.'!O21</f>
        <v>0</v>
      </c>
      <c r="G21" s="139">
        <f>ostatni_skut!P21</f>
        <v>0</v>
      </c>
      <c r="H21" s="846">
        <f t="shared" si="1"/>
        <v>0</v>
      </c>
      <c r="I21" s="139"/>
      <c r="J21" s="96">
        <f>MU_plan!H21</f>
        <v>283406</v>
      </c>
      <c r="K21" s="96">
        <f>'fak-skut.'!R21+ostatni_skut!S21</f>
        <v>38488.17745</v>
      </c>
      <c r="L21" s="96" t="e">
        <f>'fak-skut.'!S21+ostatni_skut!T21</f>
        <v>#REF!</v>
      </c>
      <c r="M21" s="255"/>
    </row>
    <row r="22" spans="1:13" s="25" customFormat="1" ht="12">
      <c r="A22" s="21"/>
      <c r="B22" s="31" t="s">
        <v>40</v>
      </c>
      <c r="C22" s="31"/>
      <c r="D22" s="31"/>
      <c r="E22" s="169">
        <v>20</v>
      </c>
      <c r="F22" s="507">
        <f>'fak-skut.'!O22</f>
        <v>0</v>
      </c>
      <c r="G22" s="139">
        <f>ostatni_skut!P22</f>
        <v>0</v>
      </c>
      <c r="H22" s="846">
        <f t="shared" si="1"/>
        <v>0</v>
      </c>
      <c r="I22" s="139"/>
      <c r="J22" s="96">
        <f>MU_plan!H22</f>
        <v>77273</v>
      </c>
      <c r="K22" s="96">
        <f>'fak-skut.'!R22+ostatni_skut!S22</f>
        <v>58509.434</v>
      </c>
      <c r="L22" s="96" t="e">
        <f>'fak-skut.'!S22+ostatni_skut!T22</f>
        <v>#REF!</v>
      </c>
      <c r="M22" s="255"/>
    </row>
    <row r="23" spans="1:13" s="25" customFormat="1" ht="12">
      <c r="A23" s="21"/>
      <c r="B23" s="31" t="s">
        <v>42</v>
      </c>
      <c r="C23" s="31"/>
      <c r="D23" s="31"/>
      <c r="E23" s="169">
        <v>21</v>
      </c>
      <c r="F23" s="507">
        <f>'fak-skut.'!O23</f>
        <v>0</v>
      </c>
      <c r="G23" s="139">
        <f>ostatni_skut!P23</f>
        <v>0</v>
      </c>
      <c r="H23" s="846">
        <f t="shared" si="1"/>
        <v>0</v>
      </c>
      <c r="I23" s="139"/>
      <c r="J23" s="96">
        <f>MU_plan!H23</f>
        <v>159423</v>
      </c>
      <c r="K23" s="96">
        <f>'fak-skut.'!R23+ostatni_skut!S23</f>
        <v>1173.476</v>
      </c>
      <c r="L23" s="96" t="e">
        <f>'fak-skut.'!S23+ostatni_skut!T23</f>
        <v>#REF!</v>
      </c>
      <c r="M23" s="255"/>
    </row>
    <row r="24" spans="1:13" s="25" customFormat="1" ht="12">
      <c r="A24" s="21"/>
      <c r="B24" s="31" t="s">
        <v>43</v>
      </c>
      <c r="C24" s="31"/>
      <c r="D24" s="31"/>
      <c r="E24" s="169">
        <v>22</v>
      </c>
      <c r="F24" s="507">
        <f>'fak-skut.'!O24</f>
        <v>0</v>
      </c>
      <c r="G24" s="139">
        <f>ostatni_skut!P24</f>
        <v>0</v>
      </c>
      <c r="H24" s="846">
        <f t="shared" si="1"/>
        <v>0</v>
      </c>
      <c r="I24" s="139"/>
      <c r="J24" s="96">
        <f>MU_plan!H24</f>
        <v>549480</v>
      </c>
      <c r="K24" s="96">
        <f>'fak-skut.'!R24+ostatni_skut!S24</f>
        <v>6719.032</v>
      </c>
      <c r="L24" s="96" t="e">
        <f>'fak-skut.'!S24+ostatni_skut!T24</f>
        <v>#REF!</v>
      </c>
      <c r="M24" s="255"/>
    </row>
    <row r="25" spans="1:13" s="25" customFormat="1" ht="12">
      <c r="A25" s="21"/>
      <c r="B25" s="31" t="s">
        <v>186</v>
      </c>
      <c r="C25" s="31"/>
      <c r="D25" s="31"/>
      <c r="E25" s="169">
        <v>23</v>
      </c>
      <c r="F25" s="507">
        <f>'fak-skut.'!O25</f>
        <v>0</v>
      </c>
      <c r="G25" s="139">
        <f>ostatni_skut!P25</f>
        <v>0</v>
      </c>
      <c r="H25" s="846">
        <f t="shared" si="1"/>
        <v>0</v>
      </c>
      <c r="I25" s="139"/>
      <c r="J25" s="96">
        <f>MU_plan!H25</f>
        <v>180864</v>
      </c>
      <c r="K25" s="96">
        <f>'fak-skut.'!R25+ostatni_skut!S25</f>
        <v>16767.079</v>
      </c>
      <c r="L25" s="96" t="e">
        <f>'fak-skut.'!S25+ostatni_skut!T25</f>
        <v>#REF!</v>
      </c>
      <c r="M25" s="255"/>
    </row>
    <row r="26" spans="1:13" s="25" customFormat="1" ht="12">
      <c r="A26" s="21"/>
      <c r="B26" s="31" t="s">
        <v>45</v>
      </c>
      <c r="C26" s="31"/>
      <c r="D26" s="31"/>
      <c r="E26" s="169">
        <v>24</v>
      </c>
      <c r="F26" s="507">
        <f>'fak-skut.'!O26</f>
        <v>0</v>
      </c>
      <c r="G26" s="139">
        <f>ostatni_skut!P26</f>
        <v>0</v>
      </c>
      <c r="H26" s="846">
        <f t="shared" si="1"/>
        <v>0</v>
      </c>
      <c r="I26" s="139"/>
      <c r="J26" s="96">
        <f>MU_plan!H26</f>
        <v>62586</v>
      </c>
      <c r="K26" s="96">
        <f>'fak-skut.'!R26+ostatni_skut!S26</f>
        <v>3092.477</v>
      </c>
      <c r="L26" s="96" t="e">
        <f>'fak-skut.'!S26+ostatni_skut!T26</f>
        <v>#REF!</v>
      </c>
      <c r="M26" s="255"/>
    </row>
    <row r="27" spans="1:13" s="25" customFormat="1" ht="12.75" thickBot="1">
      <c r="A27" s="21"/>
      <c r="B27" s="30" t="s">
        <v>47</v>
      </c>
      <c r="C27" s="30"/>
      <c r="D27" s="30"/>
      <c r="E27" s="168">
        <v>25</v>
      </c>
      <c r="F27" s="507">
        <f>'fak-skut.'!O27</f>
        <v>0</v>
      </c>
      <c r="G27" s="139">
        <f>ostatni_skut!P27</f>
        <v>0</v>
      </c>
      <c r="H27" s="847">
        <f t="shared" si="1"/>
        <v>0</v>
      </c>
      <c r="I27" s="139"/>
      <c r="J27" s="96">
        <f>MU_plan!H27</f>
        <v>108662</v>
      </c>
      <c r="K27" s="96">
        <f>'fak-skut.'!R27+ostatni_skut!S27</f>
        <v>83219.50889</v>
      </c>
      <c r="L27" s="96" t="e">
        <f>'fak-skut.'!S27+ostatni_skut!T27</f>
        <v>#DIV/0!</v>
      </c>
      <c r="M27" s="255"/>
    </row>
    <row r="28" spans="1:12" ht="13.5" thickBot="1">
      <c r="A28" s="37" t="s">
        <v>49</v>
      </c>
      <c r="B28" s="38"/>
      <c r="C28" s="38"/>
      <c r="D28" s="38"/>
      <c r="E28" s="171">
        <v>26</v>
      </c>
      <c r="F28" s="179">
        <f aca="true" t="shared" si="2" ref="F28:L28">SUM(F29:F45)</f>
        <v>0</v>
      </c>
      <c r="G28" s="172">
        <f t="shared" si="2"/>
        <v>0</v>
      </c>
      <c r="H28" s="279">
        <f t="shared" si="2"/>
        <v>0</v>
      </c>
      <c r="I28" s="172">
        <f t="shared" si="2"/>
        <v>0</v>
      </c>
      <c r="J28" s="78">
        <f t="shared" si="2"/>
        <v>4881666</v>
      </c>
      <c r="K28" s="78">
        <f t="shared" si="2"/>
        <v>1335219.51389</v>
      </c>
      <c r="L28" s="78" t="e">
        <f t="shared" si="2"/>
        <v>#REF!</v>
      </c>
    </row>
    <row r="29" spans="1:13" s="25" customFormat="1" ht="12">
      <c r="A29" s="21" t="s">
        <v>14</v>
      </c>
      <c r="B29" s="27" t="s">
        <v>50</v>
      </c>
      <c r="C29" s="27"/>
      <c r="D29" s="27"/>
      <c r="E29" s="168">
        <v>27</v>
      </c>
      <c r="F29" s="507">
        <f>'fak-skut.'!O29</f>
        <v>0</v>
      </c>
      <c r="G29" s="139">
        <f>ostatni_skut!P29</f>
        <v>0</v>
      </c>
      <c r="H29" s="508">
        <f>SUM(F29:G29)</f>
        <v>0</v>
      </c>
      <c r="I29" s="282"/>
      <c r="J29" s="96">
        <f>MU_plan!H29</f>
        <v>1613457</v>
      </c>
      <c r="K29" s="96">
        <f>'fak-skut.'!R29+ostatni_skut!S29</f>
        <v>462725.304</v>
      </c>
      <c r="L29" s="96" t="e">
        <f>'fak-skut.'!S29+ostatni_skut!T29</f>
        <v>#REF!</v>
      </c>
      <c r="M29" s="255"/>
    </row>
    <row r="30" spans="1:13" s="25" customFormat="1" ht="12">
      <c r="A30" s="21"/>
      <c r="B30" s="30" t="s">
        <v>28</v>
      </c>
      <c r="C30" s="30"/>
      <c r="D30" s="30"/>
      <c r="E30" s="168">
        <v>28</v>
      </c>
      <c r="F30" s="507">
        <f>'fak-skut.'!O30</f>
        <v>0</v>
      </c>
      <c r="G30" s="139">
        <f>ostatni_skut!P30</f>
        <v>0</v>
      </c>
      <c r="H30" s="508">
        <f aca="true" t="shared" si="3" ref="H30:H45">SUM(F30:G30)</f>
        <v>0</v>
      </c>
      <c r="I30" s="290"/>
      <c r="J30" s="96">
        <f>MU_plan!H30</f>
        <v>151646</v>
      </c>
      <c r="K30" s="96">
        <f>'fak-skut.'!R30+ostatni_skut!S30</f>
        <v>146.629</v>
      </c>
      <c r="L30" s="96" t="e">
        <f>'fak-skut.'!S30+ostatni_skut!T30</f>
        <v>#REF!</v>
      </c>
      <c r="M30" s="255"/>
    </row>
    <row r="31" spans="1:13" s="25" customFormat="1" ht="12">
      <c r="A31" s="21"/>
      <c r="B31" s="30" t="s">
        <v>30</v>
      </c>
      <c r="C31" s="30"/>
      <c r="D31" s="30"/>
      <c r="E31" s="168">
        <v>29</v>
      </c>
      <c r="F31" s="507">
        <f>'fak-skut.'!O31</f>
        <v>0</v>
      </c>
      <c r="G31" s="139">
        <f>ostatni_skut!P31</f>
        <v>0</v>
      </c>
      <c r="H31" s="508">
        <f t="shared" si="3"/>
        <v>0</v>
      </c>
      <c r="I31" s="290"/>
      <c r="J31" s="96">
        <f>MU_plan!H31</f>
        <v>44925</v>
      </c>
      <c r="K31" s="96">
        <f>'fak-skut.'!R31+ostatni_skut!S31</f>
        <v>38981.381</v>
      </c>
      <c r="L31" s="96" t="e">
        <f>'fak-skut.'!S31+ostatni_skut!T31</f>
        <v>#REF!</v>
      </c>
      <c r="M31" s="255"/>
    </row>
    <row r="32" spans="1:13" s="25" customFormat="1" ht="12">
      <c r="A32" s="21"/>
      <c r="B32" s="31" t="s">
        <v>32</v>
      </c>
      <c r="C32" s="32"/>
      <c r="D32" s="32"/>
      <c r="E32" s="169">
        <v>30</v>
      </c>
      <c r="F32" s="507">
        <f>'fak-skut.'!O32</f>
        <v>0</v>
      </c>
      <c r="G32" s="139">
        <f>ostatni_skut!P32</f>
        <v>0</v>
      </c>
      <c r="H32" s="508">
        <f t="shared" si="3"/>
        <v>0</v>
      </c>
      <c r="I32" s="290"/>
      <c r="J32" s="96">
        <f>MU_plan!H32</f>
        <v>113173</v>
      </c>
      <c r="K32" s="96">
        <f>'fak-skut.'!R32+ostatni_skut!S32</f>
        <v>63002.003</v>
      </c>
      <c r="L32" s="96" t="e">
        <f>'fak-skut.'!S32+ostatni_skut!T32</f>
        <v>#REF!</v>
      </c>
      <c r="M32" s="255"/>
    </row>
    <row r="33" spans="1:13" s="25" customFormat="1" ht="12">
      <c r="A33" s="21"/>
      <c r="B33" s="31" t="s">
        <v>34</v>
      </c>
      <c r="C33" s="31"/>
      <c r="D33" s="31"/>
      <c r="E33" s="169">
        <v>31</v>
      </c>
      <c r="F33" s="507">
        <f>'fak-skut.'!O33</f>
        <v>0</v>
      </c>
      <c r="G33" s="139">
        <f>ostatni_skut!P33</f>
        <v>0</v>
      </c>
      <c r="H33" s="508">
        <f t="shared" si="3"/>
        <v>0</v>
      </c>
      <c r="I33" s="290"/>
      <c r="J33" s="96">
        <f>MU_plan!H33</f>
        <v>7314</v>
      </c>
      <c r="K33" s="96">
        <f>'fak-skut.'!R33+ostatni_skut!S33</f>
        <v>491.818</v>
      </c>
      <c r="L33" s="96" t="e">
        <f>'fak-skut.'!S33+ostatni_skut!T33</f>
        <v>#REF!</v>
      </c>
      <c r="M33" s="255"/>
    </row>
    <row r="34" spans="1:13" s="25" customFormat="1" ht="12">
      <c r="A34" s="21"/>
      <c r="B34" s="31" t="s">
        <v>52</v>
      </c>
      <c r="C34" s="31"/>
      <c r="D34" s="31"/>
      <c r="E34" s="169">
        <v>32</v>
      </c>
      <c r="F34" s="507">
        <f>'fak-skut.'!O34</f>
        <v>0</v>
      </c>
      <c r="G34" s="139">
        <f>ostatni_skut!P34</f>
        <v>0</v>
      </c>
      <c r="H34" s="508">
        <f t="shared" si="3"/>
        <v>0</v>
      </c>
      <c r="I34" s="290"/>
      <c r="J34" s="96">
        <f>MU_plan!H34</f>
        <v>140467</v>
      </c>
      <c r="K34" s="96">
        <f>'fak-skut.'!R34+ostatni_skut!S34</f>
        <v>152660.173</v>
      </c>
      <c r="L34" s="96" t="e">
        <f>'fak-skut.'!S34+ostatni_skut!T34</f>
        <v>#REF!</v>
      </c>
      <c r="M34" s="255"/>
    </row>
    <row r="35" spans="1:13" s="25" customFormat="1" ht="12">
      <c r="A35" s="21"/>
      <c r="B35" s="31" t="s">
        <v>36</v>
      </c>
      <c r="C35" s="31"/>
      <c r="D35" s="31"/>
      <c r="E35" s="169">
        <v>33</v>
      </c>
      <c r="F35" s="507">
        <f>'fak-skut.'!O35</f>
        <v>0</v>
      </c>
      <c r="G35" s="139">
        <f>ostatni_skut!P35</f>
        <v>0</v>
      </c>
      <c r="H35" s="508">
        <f t="shared" si="3"/>
        <v>0</v>
      </c>
      <c r="I35" s="290"/>
      <c r="J35" s="96">
        <f>MU_plan!H35</f>
        <v>29430</v>
      </c>
      <c r="K35" s="96">
        <f>'fak-skut.'!R35+ostatni_skut!S35</f>
        <v>9709.58654</v>
      </c>
      <c r="L35" s="96" t="e">
        <f>'fak-skut.'!S35+ostatni_skut!T35</f>
        <v>#REF!</v>
      </c>
      <c r="M35" s="255"/>
    </row>
    <row r="36" spans="1:13" s="25" customFormat="1" ht="12">
      <c r="A36" s="21"/>
      <c r="B36" s="31" t="s">
        <v>38</v>
      </c>
      <c r="C36" s="31"/>
      <c r="D36" s="31"/>
      <c r="E36" s="169">
        <v>34</v>
      </c>
      <c r="F36" s="507">
        <f>'fak-skut.'!O36</f>
        <v>0</v>
      </c>
      <c r="G36" s="139">
        <f>ostatni_skut!P36</f>
        <v>0</v>
      </c>
      <c r="H36" s="508">
        <f t="shared" si="3"/>
        <v>0</v>
      </c>
      <c r="I36" s="290"/>
      <c r="J36" s="96">
        <f>MU_plan!H36</f>
        <v>283406</v>
      </c>
      <c r="K36" s="96">
        <f>'fak-skut.'!R36+ostatni_skut!S36</f>
        <v>38488.17745</v>
      </c>
      <c r="L36" s="96" t="e">
        <f>'fak-skut.'!S36+ostatni_skut!T36</f>
        <v>#REF!</v>
      </c>
      <c r="M36" s="255"/>
    </row>
    <row r="37" spans="1:13" s="25" customFormat="1" ht="12">
      <c r="A37" s="21"/>
      <c r="B37" s="31" t="s">
        <v>54</v>
      </c>
      <c r="C37" s="31"/>
      <c r="D37" s="31"/>
      <c r="E37" s="169">
        <v>35</v>
      </c>
      <c r="F37" s="507">
        <f>'fak-skut.'!O37</f>
        <v>0</v>
      </c>
      <c r="G37" s="139">
        <f>ostatni_skut!P37</f>
        <v>0</v>
      </c>
      <c r="H37" s="508">
        <f t="shared" si="3"/>
        <v>0</v>
      </c>
      <c r="I37" s="290"/>
      <c r="J37" s="96">
        <f>MU_plan!H37</f>
        <v>77273</v>
      </c>
      <c r="K37" s="96">
        <f>'fak-skut.'!R37+ostatni_skut!S37</f>
        <v>58559.293</v>
      </c>
      <c r="L37" s="96" t="e">
        <f>'fak-skut.'!S37+ostatni_skut!T37</f>
        <v>#REF!</v>
      </c>
      <c r="M37" s="255"/>
    </row>
    <row r="38" spans="1:13" s="25" customFormat="1" ht="12">
      <c r="A38" s="21"/>
      <c r="B38" s="31" t="s">
        <v>170</v>
      </c>
      <c r="C38" s="31"/>
      <c r="D38" s="31"/>
      <c r="E38" s="169">
        <v>36</v>
      </c>
      <c r="F38" s="507">
        <f>'fak-skut.'!O38</f>
        <v>0</v>
      </c>
      <c r="G38" s="139">
        <f>ostatni_skut!P38</f>
        <v>0</v>
      </c>
      <c r="H38" s="508">
        <f t="shared" si="3"/>
        <v>0</v>
      </c>
      <c r="I38" s="290"/>
      <c r="J38" s="96">
        <f>MU_plan!H38</f>
        <v>285179</v>
      </c>
      <c r="K38" s="96">
        <f>'fak-skut.'!R38+ostatni_skut!S38</f>
        <v>884.606</v>
      </c>
      <c r="L38" s="96" t="e">
        <f>'fak-skut.'!S38+ostatni_skut!T38</f>
        <v>#REF!</v>
      </c>
      <c r="M38" s="255"/>
    </row>
    <row r="39" spans="1:13" s="25" customFormat="1" ht="12">
      <c r="A39" s="21"/>
      <c r="B39" s="31" t="s">
        <v>56</v>
      </c>
      <c r="C39" s="31"/>
      <c r="D39" s="31"/>
      <c r="E39" s="169">
        <v>37</v>
      </c>
      <c r="F39" s="507">
        <f>'fak-skut.'!O39</f>
        <v>0</v>
      </c>
      <c r="G39" s="139">
        <f>ostatni_skut!P39</f>
        <v>0</v>
      </c>
      <c r="H39" s="508">
        <f t="shared" si="3"/>
        <v>0</v>
      </c>
      <c r="I39" s="290"/>
      <c r="J39" s="96">
        <f>MU_plan!H39</f>
        <v>159380</v>
      </c>
      <c r="K39" s="96">
        <f>'fak-skut.'!R39+ostatni_skut!S39</f>
        <v>1173.476</v>
      </c>
      <c r="L39" s="96" t="e">
        <f>'fak-skut.'!S39+ostatni_skut!T39</f>
        <v>#REF!</v>
      </c>
      <c r="M39" s="255"/>
    </row>
    <row r="40" spans="1:13" s="25" customFormat="1" ht="12">
      <c r="A40" s="21"/>
      <c r="B40" s="31" t="s">
        <v>57</v>
      </c>
      <c r="C40" s="31"/>
      <c r="D40" s="31"/>
      <c r="E40" s="169">
        <v>38</v>
      </c>
      <c r="F40" s="507">
        <f>'fak-skut.'!O40</f>
        <v>0</v>
      </c>
      <c r="G40" s="139">
        <f>ostatni_skut!P40</f>
        <v>0</v>
      </c>
      <c r="H40" s="508">
        <f t="shared" si="3"/>
        <v>0</v>
      </c>
      <c r="I40" s="290"/>
      <c r="J40" s="96">
        <f>MU_plan!H40</f>
        <v>549480</v>
      </c>
      <c r="K40" s="96">
        <f>'fak-skut.'!R40+ostatni_skut!S40</f>
        <v>6719.032</v>
      </c>
      <c r="L40" s="96" t="e">
        <f>'fak-skut.'!S40+ostatni_skut!T40</f>
        <v>#REF!</v>
      </c>
      <c r="M40" s="255"/>
    </row>
    <row r="41" spans="1:13" s="25" customFormat="1" ht="12">
      <c r="A41" s="21"/>
      <c r="B41" s="31" t="s">
        <v>186</v>
      </c>
      <c r="C41" s="31"/>
      <c r="D41" s="31"/>
      <c r="E41" s="169">
        <v>39</v>
      </c>
      <c r="F41" s="507">
        <f>'fak-skut.'!O41</f>
        <v>0</v>
      </c>
      <c r="G41" s="139">
        <f>ostatni_skut!P41</f>
        <v>0</v>
      </c>
      <c r="H41" s="508">
        <f t="shared" si="3"/>
        <v>0</v>
      </c>
      <c r="I41" s="290"/>
      <c r="J41" s="96">
        <f>MU_plan!H41</f>
        <v>180864</v>
      </c>
      <c r="K41" s="96">
        <f>'fak-skut.'!R41+ostatni_skut!S41</f>
        <v>16767.079</v>
      </c>
      <c r="L41" s="96" t="e">
        <f>'fak-skut.'!S41+ostatni_skut!T41</f>
        <v>#DIV/0!</v>
      </c>
      <c r="M41" s="255"/>
    </row>
    <row r="42" spans="1:13" s="25" customFormat="1" ht="12">
      <c r="A42" s="21"/>
      <c r="B42" s="31" t="s">
        <v>58</v>
      </c>
      <c r="C42" s="31"/>
      <c r="D42" s="31"/>
      <c r="E42" s="169">
        <v>40</v>
      </c>
      <c r="F42" s="507">
        <f>'fak-skut.'!O42</f>
        <v>0</v>
      </c>
      <c r="G42" s="139">
        <f>ostatni_skut!P42</f>
        <v>0</v>
      </c>
      <c r="H42" s="508">
        <f t="shared" si="3"/>
        <v>0</v>
      </c>
      <c r="I42" s="290"/>
      <c r="J42" s="96">
        <f>MU_plan!H42</f>
        <v>62586</v>
      </c>
      <c r="K42" s="96">
        <f>'fak-skut.'!R42+ostatni_skut!S42</f>
        <v>3092.477</v>
      </c>
      <c r="L42" s="96" t="e">
        <f>'fak-skut.'!S42+ostatni_skut!T42</f>
        <v>#REF!</v>
      </c>
      <c r="M42" s="255"/>
    </row>
    <row r="43" spans="1:13" s="25" customFormat="1" ht="12">
      <c r="A43" s="21"/>
      <c r="B43" s="31" t="s">
        <v>59</v>
      </c>
      <c r="C43" s="31"/>
      <c r="D43" s="31"/>
      <c r="E43" s="169">
        <v>41</v>
      </c>
      <c r="F43" s="507">
        <f>'fak-skut.'!O43</f>
        <v>0</v>
      </c>
      <c r="G43" s="139">
        <f>ostatni_skut!P43</f>
        <v>0</v>
      </c>
      <c r="H43" s="508">
        <f t="shared" si="3"/>
        <v>0</v>
      </c>
      <c r="I43" s="290"/>
      <c r="J43" s="96">
        <f>MU_plan!H43</f>
        <v>758419</v>
      </c>
      <c r="K43" s="96">
        <f>'fak-skut.'!R43+ostatni_skut!S43</f>
        <v>362736.14683000004</v>
      </c>
      <c r="L43" s="96" t="e">
        <f>'fak-skut.'!S43+ostatni_skut!T43</f>
        <v>#DIV/0!</v>
      </c>
      <c r="M43" s="255"/>
    </row>
    <row r="44" spans="1:13" s="25" customFormat="1" ht="12">
      <c r="A44" s="21"/>
      <c r="B44" s="31" t="s">
        <v>60</v>
      </c>
      <c r="C44" s="31"/>
      <c r="D44" s="31"/>
      <c r="E44" s="169">
        <v>42</v>
      </c>
      <c r="F44" s="507">
        <f>'fak-skut.'!O44</f>
        <v>0</v>
      </c>
      <c r="G44" s="139">
        <f>ostatni_skut!P44</f>
        <v>0</v>
      </c>
      <c r="H44" s="508">
        <f t="shared" si="3"/>
        <v>0</v>
      </c>
      <c r="I44" s="290"/>
      <c r="J44" s="96">
        <f>MU_plan!H44</f>
        <v>301259</v>
      </c>
      <c r="K44" s="96">
        <f>'fak-skut.'!R44+ostatni_skut!S44</f>
        <v>20080.919110000003</v>
      </c>
      <c r="L44" s="96" t="e">
        <f>'fak-skut.'!S44+ostatni_skut!T44</f>
        <v>#REF!</v>
      </c>
      <c r="M44" s="255"/>
    </row>
    <row r="45" spans="1:13" s="25" customFormat="1" ht="12">
      <c r="A45" s="40"/>
      <c r="B45" s="41" t="s">
        <v>47</v>
      </c>
      <c r="C45" s="41"/>
      <c r="D45" s="41"/>
      <c r="E45" s="170">
        <v>43</v>
      </c>
      <c r="F45" s="509">
        <f>'fak-skut.'!O45</f>
        <v>0</v>
      </c>
      <c r="G45" s="510">
        <f>ostatni_skut!P45</f>
        <v>0</v>
      </c>
      <c r="H45" s="868">
        <f t="shared" si="3"/>
        <v>0</v>
      </c>
      <c r="I45" s="293"/>
      <c r="J45" s="100">
        <f>MU_plan!H45</f>
        <v>123408</v>
      </c>
      <c r="K45" s="100">
        <f>'fak-skut.'!R45+ostatni_skut!S45</f>
        <v>99001.41296</v>
      </c>
      <c r="L45" s="100" t="e">
        <f>'fak-skut.'!S45+ostatni_skut!T45</f>
        <v>#DIV/0!</v>
      </c>
      <c r="M45" s="255"/>
    </row>
    <row r="46" spans="1:13" s="25" customFormat="1" ht="12.75" thickBot="1">
      <c r="A46" s="44" t="s">
        <v>61</v>
      </c>
      <c r="B46" s="45"/>
      <c r="C46" s="45"/>
      <c r="D46" s="45"/>
      <c r="E46" s="168">
        <v>44</v>
      </c>
      <c r="F46" s="219">
        <f>F29+F34+F38+F43+F44+F45-F4-F27</f>
        <v>0</v>
      </c>
      <c r="G46" s="101">
        <f>G29+G34+G38+G43+G44+G45-G4-G27</f>
        <v>0</v>
      </c>
      <c r="H46" s="869">
        <f>H29+H34+H38+H43+H44+H45-H4-H27</f>
        <v>0</v>
      </c>
      <c r="I46" s="227">
        <f>I29+I34+I38+I43+I44+I45-I4-I27</f>
        <v>0</v>
      </c>
      <c r="J46" s="103">
        <f>J29+J34+J38+J43+J44+J45-J4-J27</f>
        <v>1943097</v>
      </c>
      <c r="K46" s="331">
        <f>'fak-skut.'!R46+ostatni_skut!S46</f>
        <v>22193.51006000003</v>
      </c>
      <c r="L46" s="331" t="e">
        <f>'fak-skut.'!S46+ostatni_skut!T46</f>
        <v>#DIV/0!</v>
      </c>
      <c r="M46" s="255"/>
    </row>
    <row r="47" spans="1:12" ht="13.5" thickBot="1">
      <c r="A47" s="37" t="s">
        <v>62</v>
      </c>
      <c r="B47" s="38"/>
      <c r="C47" s="38"/>
      <c r="D47" s="38"/>
      <c r="E47" s="171">
        <v>45</v>
      </c>
      <c r="F47" s="212">
        <f aca="true" t="shared" si="4" ref="F47:L47">F28-F3</f>
        <v>0</v>
      </c>
      <c r="G47" s="207">
        <f t="shared" si="4"/>
        <v>0</v>
      </c>
      <c r="H47" s="172">
        <f t="shared" si="4"/>
        <v>0</v>
      </c>
      <c r="I47" s="75">
        <f t="shared" si="4"/>
        <v>0</v>
      </c>
      <c r="J47" s="78">
        <f t="shared" si="4"/>
        <v>31449</v>
      </c>
      <c r="K47" s="78">
        <f t="shared" si="4"/>
        <v>22183.640060000354</v>
      </c>
      <c r="L47" s="78" t="e">
        <f t="shared" si="4"/>
        <v>#REF!</v>
      </c>
    </row>
    <row r="48" spans="5:13" s="47" customFormat="1" ht="9" customHeight="1">
      <c r="E48" s="48"/>
      <c r="F48" s="25"/>
      <c r="G48" s="25"/>
      <c r="H48" s="228"/>
      <c r="J48" s="59"/>
      <c r="K48" s="59"/>
      <c r="L48" s="401"/>
      <c r="M48" s="255"/>
    </row>
    <row r="49" spans="4:13" s="47" customFormat="1" ht="12">
      <c r="D49" s="47" t="s">
        <v>165</v>
      </c>
      <c r="E49" s="48"/>
      <c r="F49" s="528">
        <f>'fak-skut.'!O49</f>
        <v>0</v>
      </c>
      <c r="G49" s="528">
        <f>ostatni_skut!P49</f>
        <v>0</v>
      </c>
      <c r="H49" s="529">
        <f>SUM(F49:G49)</f>
        <v>0</v>
      </c>
      <c r="J49" s="59"/>
      <c r="K49" s="239">
        <f>'fak-skut.'!R49+ostatni_skut!S49</f>
        <v>0</v>
      </c>
      <c r="L49" s="401"/>
      <c r="M49" s="255"/>
    </row>
    <row r="50" spans="1:17" s="47" customFormat="1" ht="11.25">
      <c r="A50" s="51" t="s">
        <v>164</v>
      </c>
      <c r="E50" s="48"/>
      <c r="F50" s="59"/>
      <c r="G50" s="59"/>
      <c r="H50" s="155">
        <f>'fak-skut.'!O51+ostatni_skut!P51</f>
        <v>4.833</v>
      </c>
      <c r="I50" s="59"/>
      <c r="J50" s="233"/>
      <c r="K50" s="233"/>
      <c r="L50" s="401"/>
      <c r="M50" s="255"/>
      <c r="O50" s="59"/>
      <c r="Q50" s="59"/>
    </row>
  </sheetData>
  <mergeCells count="3">
    <mergeCell ref="A1:D1"/>
    <mergeCell ref="C2:D2"/>
    <mergeCell ref="M1:M2"/>
  </mergeCells>
  <printOptions horizontalCentered="1" verticalCentered="1"/>
  <pageMargins left="0.6692913385826772" right="0.4724409448818898" top="0.68" bottom="0.35433070866141736" header="0.1968503937007874" footer="0.2755905511811024"/>
  <pageSetup fitToHeight="1" fitToWidth="1" horizontalDpi="600" verticalDpi="600" orientation="landscape" paperSize="9" scale="8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U51"/>
  <sheetViews>
    <sheetView workbookViewId="0" topLeftCell="A37">
      <selection activeCell="J50" sqref="J50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60" bestFit="1" customWidth="1"/>
    <col min="6" max="14" width="7.25390625" style="59" customWidth="1"/>
    <col min="15" max="15" width="10.625" style="493" customWidth="1"/>
    <col min="16" max="16" width="5.125" style="0" hidden="1" customWidth="1"/>
    <col min="17" max="18" width="9.125" style="59" customWidth="1"/>
    <col min="19" max="19" width="0" style="402" hidden="1" customWidth="1"/>
    <col min="20" max="20" width="7.00390625" style="72" customWidth="1"/>
    <col min="21" max="21" width="6.625" style="402" customWidth="1"/>
  </cols>
  <sheetData>
    <row r="1" spans="1:20" ht="15.75" customHeight="1">
      <c r="A1" s="1046" t="s">
        <v>201</v>
      </c>
      <c r="B1" s="1047"/>
      <c r="C1" s="1047"/>
      <c r="D1" s="1048"/>
      <c r="E1" s="270"/>
      <c r="F1" s="244" t="s">
        <v>97</v>
      </c>
      <c r="G1" s="189" t="s">
        <v>109</v>
      </c>
      <c r="H1" s="189" t="s">
        <v>110</v>
      </c>
      <c r="I1" s="189" t="s">
        <v>111</v>
      </c>
      <c r="J1" s="189" t="s">
        <v>98</v>
      </c>
      <c r="K1" s="189" t="s">
        <v>112</v>
      </c>
      <c r="L1" s="189" t="s">
        <v>113</v>
      </c>
      <c r="M1" s="189" t="s">
        <v>114</v>
      </c>
      <c r="N1" s="189" t="s">
        <v>115</v>
      </c>
      <c r="O1" s="487" t="s">
        <v>147</v>
      </c>
      <c r="P1" s="263" t="s">
        <v>1</v>
      </c>
      <c r="Q1" s="67" t="s">
        <v>0</v>
      </c>
      <c r="R1" s="67" t="s">
        <v>150</v>
      </c>
      <c r="S1" s="67" t="s">
        <v>145</v>
      </c>
      <c r="T1" s="1064"/>
    </row>
    <row r="2" spans="1:21" s="16" customFormat="1" ht="13.5" thickBot="1">
      <c r="A2" s="298" t="s">
        <v>127</v>
      </c>
      <c r="B2" s="7"/>
      <c r="C2" s="1052" t="s">
        <v>146</v>
      </c>
      <c r="D2" s="1053"/>
      <c r="E2" s="271" t="s">
        <v>5</v>
      </c>
      <c r="F2" s="69">
        <v>11</v>
      </c>
      <c r="G2" s="190">
        <v>21</v>
      </c>
      <c r="H2" s="190">
        <v>22</v>
      </c>
      <c r="I2" s="190">
        <v>23</v>
      </c>
      <c r="J2" s="190">
        <v>31</v>
      </c>
      <c r="K2" s="190">
        <v>33</v>
      </c>
      <c r="L2" s="190">
        <v>41</v>
      </c>
      <c r="M2" s="190">
        <v>51</v>
      </c>
      <c r="N2" s="190">
        <v>56</v>
      </c>
      <c r="O2" s="488">
        <v>2011</v>
      </c>
      <c r="P2" s="264" t="s">
        <v>7</v>
      </c>
      <c r="Q2" s="71">
        <v>2011</v>
      </c>
      <c r="R2" s="71">
        <v>2010</v>
      </c>
      <c r="S2" s="480">
        <v>2009</v>
      </c>
      <c r="T2" s="1064"/>
      <c r="U2" s="402"/>
    </row>
    <row r="3" spans="1:19" ht="13.5" thickBot="1">
      <c r="A3" s="17" t="s">
        <v>13</v>
      </c>
      <c r="B3" s="18"/>
      <c r="C3" s="18"/>
      <c r="D3" s="18"/>
      <c r="E3" s="272">
        <v>1</v>
      </c>
      <c r="F3" s="207">
        <f aca="true" t="shared" si="0" ref="F3:S3">SUM(F5:F27)</f>
        <v>0</v>
      </c>
      <c r="G3" s="191">
        <f t="shared" si="0"/>
        <v>0</v>
      </c>
      <c r="H3" s="191">
        <f t="shared" si="0"/>
        <v>0</v>
      </c>
      <c r="I3" s="191">
        <f t="shared" si="0"/>
        <v>0</v>
      </c>
      <c r="J3" s="191">
        <f t="shared" si="0"/>
        <v>0</v>
      </c>
      <c r="K3" s="191">
        <f t="shared" si="0"/>
        <v>0</v>
      </c>
      <c r="L3" s="191">
        <f t="shared" si="0"/>
        <v>0</v>
      </c>
      <c r="M3" s="191">
        <f t="shared" si="0"/>
        <v>0</v>
      </c>
      <c r="N3" s="191">
        <f t="shared" si="0"/>
        <v>0</v>
      </c>
      <c r="O3" s="172">
        <f t="shared" si="0"/>
        <v>0</v>
      </c>
      <c r="P3" s="265">
        <f t="shared" si="0"/>
        <v>0</v>
      </c>
      <c r="Q3" s="78">
        <f t="shared" si="0"/>
        <v>3472716</v>
      </c>
      <c r="R3" s="78">
        <f>SUM(R5:R27)</f>
        <v>3259.8970000000004</v>
      </c>
      <c r="S3" s="78" t="e">
        <f t="shared" si="0"/>
        <v>#DIV/0!</v>
      </c>
    </row>
    <row r="4" spans="1:21" s="25" customFormat="1" ht="12">
      <c r="A4" s="21" t="s">
        <v>14</v>
      </c>
      <c r="B4" s="22" t="s">
        <v>15</v>
      </c>
      <c r="C4" s="22"/>
      <c r="D4" s="22"/>
      <c r="E4" s="273">
        <v>2</v>
      </c>
      <c r="F4" s="79">
        <f aca="true" t="shared" si="1" ref="F4:S4">SUM(F5:F15)</f>
        <v>0</v>
      </c>
      <c r="G4" s="192">
        <f t="shared" si="1"/>
        <v>0</v>
      </c>
      <c r="H4" s="192">
        <f t="shared" si="1"/>
        <v>0</v>
      </c>
      <c r="I4" s="192">
        <f t="shared" si="1"/>
        <v>0</v>
      </c>
      <c r="J4" s="192">
        <f t="shared" si="1"/>
        <v>0</v>
      </c>
      <c r="K4" s="192">
        <f t="shared" si="1"/>
        <v>0</v>
      </c>
      <c r="L4" s="192">
        <f t="shared" si="1"/>
        <v>0</v>
      </c>
      <c r="M4" s="192">
        <f t="shared" si="1"/>
        <v>0</v>
      </c>
      <c r="N4" s="192">
        <f t="shared" si="1"/>
        <v>0</v>
      </c>
      <c r="O4" s="223">
        <f>SUM(F4:N4)</f>
        <v>0</v>
      </c>
      <c r="P4" s="178">
        <f t="shared" si="1"/>
        <v>0</v>
      </c>
      <c r="Q4" s="82">
        <f t="shared" si="1"/>
        <v>2195323</v>
      </c>
      <c r="R4" s="82">
        <f>SUM(R5:R15)</f>
        <v>1996.131</v>
      </c>
      <c r="S4" s="481" t="e">
        <f t="shared" si="1"/>
        <v>#DIV/0!</v>
      </c>
      <c r="T4" s="72"/>
      <c r="U4" s="403"/>
    </row>
    <row r="5" spans="1:21" s="65" customFormat="1" ht="12">
      <c r="A5" s="61"/>
      <c r="B5" s="62"/>
      <c r="C5" s="62" t="s">
        <v>16</v>
      </c>
      <c r="D5" s="63" t="s">
        <v>17</v>
      </c>
      <c r="E5" s="274">
        <v>3</v>
      </c>
      <c r="F5" s="220">
        <f>LF!N5/1000</f>
        <v>0</v>
      </c>
      <c r="G5" s="193">
        <f>'FF'!N5/1000</f>
        <v>0</v>
      </c>
      <c r="H5" s="193">
        <f>PrF!N5/1000</f>
        <v>0</v>
      </c>
      <c r="I5" s="193">
        <f>FSS!N5/1000</f>
        <v>0</v>
      </c>
      <c r="J5" s="193">
        <f>PřF!N5/1000</f>
        <v>0</v>
      </c>
      <c r="K5" s="193">
        <f>'FI'!N5/1000</f>
        <v>0</v>
      </c>
      <c r="L5" s="193">
        <f>PdF!N5/1000</f>
        <v>0</v>
      </c>
      <c r="M5" s="193">
        <f>FSpS!N5/1000</f>
        <v>0</v>
      </c>
      <c r="N5" s="193">
        <f>ESF!N5/1000</f>
        <v>0</v>
      </c>
      <c r="O5" s="846">
        <f aca="true" t="shared" si="2" ref="O5:O27">SUM(F5:N5)</f>
        <v>0</v>
      </c>
      <c r="P5" s="266"/>
      <c r="Q5" s="164">
        <f>'fak plan'!O5</f>
        <v>967331</v>
      </c>
      <c r="R5" s="164">
        <f>LF!Q5/1000+'FF'!Q5/1000+PrF!Q5/1000+FSS!Q5/1000+PřF!Q5/1000+'FI'!Q5/1000+PdF!Q5/1000+FSpS!Q5/1000+ESF!Q5/1000</f>
        <v>835.9429999999999</v>
      </c>
      <c r="S5" s="482">
        <f>(LF!P5+'FF'!P5+PrF!P5+FSS!P5+PřF!P5+'FI'!P5+PdF!P5+FSpS!P5+ESF!P5)/1000</f>
        <v>0</v>
      </c>
      <c r="T5" s="517"/>
      <c r="U5" s="404"/>
    </row>
    <row r="6" spans="1:21" s="65" customFormat="1" ht="12">
      <c r="A6" s="61"/>
      <c r="B6" s="62"/>
      <c r="C6" s="62"/>
      <c r="D6" s="63" t="s">
        <v>18</v>
      </c>
      <c r="E6" s="274">
        <v>4</v>
      </c>
      <c r="F6" s="220">
        <f>LF!N6/1000</f>
        <v>0</v>
      </c>
      <c r="G6" s="193">
        <f>'FF'!N6/1000</f>
        <v>0</v>
      </c>
      <c r="H6" s="193">
        <f>PrF!N6/1000</f>
        <v>0</v>
      </c>
      <c r="I6" s="193">
        <f>FSS!N6/1000</f>
        <v>0</v>
      </c>
      <c r="J6" s="193">
        <f>PřF!N6/1000</f>
        <v>0</v>
      </c>
      <c r="K6" s="193">
        <f>'FI'!N6/1000</f>
        <v>0</v>
      </c>
      <c r="L6" s="193">
        <f>PdF!N6/1000</f>
        <v>0</v>
      </c>
      <c r="M6" s="193">
        <f>FSpS!N6/1000</f>
        <v>0</v>
      </c>
      <c r="N6" s="193">
        <f>ESF!N6/1000</f>
        <v>0</v>
      </c>
      <c r="O6" s="846">
        <f t="shared" si="2"/>
        <v>0</v>
      </c>
      <c r="P6" s="266"/>
      <c r="Q6" s="164">
        <f>'fak plan'!O6</f>
        <v>33259</v>
      </c>
      <c r="R6" s="164">
        <f>LF!Q6/1000+'FF'!Q6/1000+PrF!Q6/1000+FSS!Q6/1000+PřF!Q6/1000+'FI'!Q6/1000+PdF!Q6/1000+FSpS!Q6/1000+ESF!Q6/1000</f>
        <v>32.249</v>
      </c>
      <c r="S6" s="482">
        <f>(LF!P6+'FF'!P6+PrF!P6+FSS!P6+PřF!P6+'FI'!P6+PdF!P6+FSpS!P6+ESF!P6)/1000</f>
        <v>0</v>
      </c>
      <c r="T6" s="517"/>
      <c r="U6" s="404"/>
    </row>
    <row r="7" spans="1:21" s="65" customFormat="1" ht="12">
      <c r="A7" s="61"/>
      <c r="B7" s="62"/>
      <c r="C7" s="62"/>
      <c r="D7" s="63" t="s">
        <v>19</v>
      </c>
      <c r="E7" s="274">
        <v>5</v>
      </c>
      <c r="F7" s="220">
        <f>LF!N7/1000</f>
        <v>0</v>
      </c>
      <c r="G7" s="193">
        <f>'FF'!N7/1000</f>
        <v>0</v>
      </c>
      <c r="H7" s="193">
        <f>PrF!N7/1000</f>
        <v>0</v>
      </c>
      <c r="I7" s="193">
        <f>FSS!N7/1000</f>
        <v>0</v>
      </c>
      <c r="J7" s="193">
        <f>PřF!N7/1000</f>
        <v>0</v>
      </c>
      <c r="K7" s="193">
        <f>'FI'!N7/1000</f>
        <v>0</v>
      </c>
      <c r="L7" s="193">
        <f>PdF!N7/1000</f>
        <v>0</v>
      </c>
      <c r="M7" s="193">
        <f>FSpS!N7/1000</f>
        <v>0</v>
      </c>
      <c r="N7" s="193">
        <f>ESF!N7/1000</f>
        <v>0</v>
      </c>
      <c r="O7" s="846">
        <f t="shared" si="2"/>
        <v>0</v>
      </c>
      <c r="P7" s="266"/>
      <c r="Q7" s="164">
        <f>'fak plan'!O7</f>
        <v>338372</v>
      </c>
      <c r="R7" s="164">
        <f>LF!Q7/1000+'FF'!Q7/1000+PrF!Q7/1000+FSS!Q7/1000+PřF!Q7/1000+'FI'!Q7/1000+PdF!Q7/1000+FSpS!Q7/1000+ESF!Q7/1000</f>
        <v>300.357</v>
      </c>
      <c r="S7" s="482">
        <f>(LF!P7+'FF'!P7+PrF!P7+FSS!P7+PřF!P7+'FI'!P7+PdF!P7+FSpS!P7+ESF!P7)/1000</f>
        <v>0</v>
      </c>
      <c r="T7" s="517"/>
      <c r="U7" s="404"/>
    </row>
    <row r="8" spans="1:21" s="65" customFormat="1" ht="12">
      <c r="A8" s="61"/>
      <c r="B8" s="62"/>
      <c r="C8" s="62"/>
      <c r="D8" s="63" t="s">
        <v>20</v>
      </c>
      <c r="E8" s="274">
        <v>6</v>
      </c>
      <c r="F8" s="220">
        <f>LF!N8/1000</f>
        <v>0</v>
      </c>
      <c r="G8" s="193">
        <f>'FF'!N8/1000</f>
        <v>0</v>
      </c>
      <c r="H8" s="193">
        <f>PrF!N8/1000</f>
        <v>0</v>
      </c>
      <c r="I8" s="193">
        <f>FSS!N8/1000</f>
        <v>0</v>
      </c>
      <c r="J8" s="193">
        <f>PřF!N8/1000</f>
        <v>0</v>
      </c>
      <c r="K8" s="193">
        <f>'FI'!N8/1000</f>
        <v>0</v>
      </c>
      <c r="L8" s="193">
        <f>PdF!N8/1000</f>
        <v>0</v>
      </c>
      <c r="M8" s="193">
        <f>FSpS!N8/1000</f>
        <v>0</v>
      </c>
      <c r="N8" s="193">
        <f>ESF!N8/1000</f>
        <v>0</v>
      </c>
      <c r="O8" s="846">
        <f t="shared" si="2"/>
        <v>0</v>
      </c>
      <c r="P8" s="266"/>
      <c r="Q8" s="164">
        <f>'fak plan'!O8</f>
        <v>114384</v>
      </c>
      <c r="R8" s="164">
        <f>LF!Q8/1000+'FF'!Q8/1000+PrF!Q8/1000+FSS!Q8/1000+PřF!Q8/1000+'FI'!Q8/1000+PdF!Q8/1000+FSpS!Q8/1000+ESF!Q8/1000</f>
        <v>88.23700000000001</v>
      </c>
      <c r="S8" s="482" t="e">
        <f>(LF!P8+'FF'!P8+PrF!P8+FSS!P8+PřF!P8+'FI'!P8+PdF!P8+FSpS!P8+ESF!P8)/1000</f>
        <v>#DIV/0!</v>
      </c>
      <c r="T8" s="517"/>
      <c r="U8" s="404"/>
    </row>
    <row r="9" spans="1:21" s="65" customFormat="1" ht="12">
      <c r="A9" s="61"/>
      <c r="B9" s="62"/>
      <c r="C9" s="62"/>
      <c r="D9" s="63" t="s">
        <v>21</v>
      </c>
      <c r="E9" s="274">
        <v>7</v>
      </c>
      <c r="F9" s="220">
        <f>LF!N9/1000</f>
        <v>0</v>
      </c>
      <c r="G9" s="193">
        <f>'FF'!N9/1000</f>
        <v>0</v>
      </c>
      <c r="H9" s="193">
        <f>PrF!N9/1000</f>
        <v>0</v>
      </c>
      <c r="I9" s="193">
        <f>FSS!N9/1000</f>
        <v>0</v>
      </c>
      <c r="J9" s="193">
        <f>PřF!N9/1000</f>
        <v>0</v>
      </c>
      <c r="K9" s="193">
        <f>'FI'!N9/1000</f>
        <v>0</v>
      </c>
      <c r="L9" s="193">
        <f>PdF!N9/1000</f>
        <v>0</v>
      </c>
      <c r="M9" s="193">
        <f>FSpS!N9/1000</f>
        <v>0</v>
      </c>
      <c r="N9" s="193">
        <f>ESF!N9/1000</f>
        <v>0</v>
      </c>
      <c r="O9" s="846">
        <f t="shared" si="2"/>
        <v>0</v>
      </c>
      <c r="P9" s="266"/>
      <c r="Q9" s="164">
        <f>'fak plan'!O9</f>
        <v>37817</v>
      </c>
      <c r="R9" s="164">
        <f>LF!Q9/1000+'FF'!Q9/1000+PrF!Q9/1000+FSS!Q9/1000+PřF!Q9/1000+'FI'!Q9/1000+PdF!Q9/1000+FSpS!Q9/1000+ESF!Q9/1000</f>
        <v>29.346</v>
      </c>
      <c r="S9" s="482" t="e">
        <f>(LF!P9+'FF'!P9+PrF!P9+FSS!P9+PřF!P9+'FI'!P9+PdF!P9+FSpS!P9+ESF!P9)/1000</f>
        <v>#DIV/0!</v>
      </c>
      <c r="T9" s="517"/>
      <c r="U9" s="404"/>
    </row>
    <row r="10" spans="1:21" s="65" customFormat="1" ht="12">
      <c r="A10" s="61"/>
      <c r="B10" s="62"/>
      <c r="C10" s="62"/>
      <c r="D10" s="63" t="s">
        <v>22</v>
      </c>
      <c r="E10" s="274">
        <v>8</v>
      </c>
      <c r="F10" s="220">
        <f>LF!N10/1000</f>
        <v>0</v>
      </c>
      <c r="G10" s="193">
        <f>'FF'!N10/1000</f>
        <v>0</v>
      </c>
      <c r="H10" s="193">
        <f>PrF!N10/1000</f>
        <v>0</v>
      </c>
      <c r="I10" s="193">
        <f>FSS!N10/1000</f>
        <v>0</v>
      </c>
      <c r="J10" s="193">
        <f>PřF!N10/1000</f>
        <v>0</v>
      </c>
      <c r="K10" s="193">
        <f>'FI'!N10/1000</f>
        <v>0</v>
      </c>
      <c r="L10" s="193">
        <f>PdF!N10/1000</f>
        <v>0</v>
      </c>
      <c r="M10" s="193">
        <f>FSpS!N10/1000</f>
        <v>0</v>
      </c>
      <c r="N10" s="193">
        <f>ESF!N10/1000</f>
        <v>0</v>
      </c>
      <c r="O10" s="846">
        <f t="shared" si="2"/>
        <v>0</v>
      </c>
      <c r="P10" s="266"/>
      <c r="Q10" s="164">
        <f>'fak plan'!O10</f>
        <v>76724</v>
      </c>
      <c r="R10" s="164">
        <f>LF!Q10/1000+'FF'!Q10/1000+PrF!Q10/1000+FSS!Q10/1000+PřF!Q10/1000+'FI'!Q10/1000+PdF!Q10/1000+FSpS!Q10/1000+ESF!Q10/1000</f>
        <v>68.40399999999998</v>
      </c>
      <c r="S10" s="482" t="e">
        <f>(LF!P10+'FF'!P10+PrF!P10+FSS!P10+PřF!P10+'FI'!P10+PdF!P10+FSpS!P10+ESF!P10)/1000</f>
        <v>#DIV/0!</v>
      </c>
      <c r="T10" s="517"/>
      <c r="U10" s="404"/>
    </row>
    <row r="11" spans="1:21" s="65" customFormat="1" ht="12">
      <c r="A11" s="61"/>
      <c r="B11" s="62"/>
      <c r="C11" s="62"/>
      <c r="D11" s="63" t="s">
        <v>23</v>
      </c>
      <c r="E11" s="274">
        <v>9</v>
      </c>
      <c r="F11" s="220">
        <f>LF!N11/1000</f>
        <v>0</v>
      </c>
      <c r="G11" s="193">
        <f>'FF'!N11/1000</f>
        <v>0</v>
      </c>
      <c r="H11" s="193">
        <f>PrF!N11/1000</f>
        <v>0</v>
      </c>
      <c r="I11" s="193">
        <f>FSS!N11/1000</f>
        <v>0</v>
      </c>
      <c r="J11" s="193">
        <f>PřF!N11/1000</f>
        <v>0</v>
      </c>
      <c r="K11" s="193">
        <f>'FI'!N11/1000</f>
        <v>0</v>
      </c>
      <c r="L11" s="193">
        <f>PdF!N11/1000</f>
        <v>0</v>
      </c>
      <c r="M11" s="193">
        <f>FSpS!N11/1000</f>
        <v>0</v>
      </c>
      <c r="N11" s="193">
        <f>ESF!N11/1000</f>
        <v>0</v>
      </c>
      <c r="O11" s="846">
        <f t="shared" si="2"/>
        <v>0</v>
      </c>
      <c r="P11" s="266"/>
      <c r="Q11" s="164">
        <f>'fak plan'!O11</f>
        <v>130071</v>
      </c>
      <c r="R11" s="164">
        <f>LF!Q11/1000+'FF'!Q11/1000+PrF!Q11/1000+FSS!Q11/1000+PřF!Q11/1000+'FI'!Q11/1000+PdF!Q11/1000+FSpS!Q11/1000+ESF!Q11/1000</f>
        <v>111.068</v>
      </c>
      <c r="S11" s="482" t="e">
        <f>(LF!P11+'FF'!P11+PrF!P11+FSS!P11+PřF!P11+'FI'!P11+PdF!P11+FSpS!P11+ESF!P11)/1000</f>
        <v>#DIV/0!</v>
      </c>
      <c r="T11" s="517"/>
      <c r="U11" s="404"/>
    </row>
    <row r="12" spans="1:21" s="65" customFormat="1" ht="12">
      <c r="A12" s="61"/>
      <c r="B12" s="62"/>
      <c r="C12" s="62"/>
      <c r="D12" s="63" t="s">
        <v>24</v>
      </c>
      <c r="E12" s="274">
        <v>10</v>
      </c>
      <c r="F12" s="220">
        <f>LF!N12/1000</f>
        <v>0</v>
      </c>
      <c r="G12" s="193">
        <f>'FF'!N12/1000</f>
        <v>0</v>
      </c>
      <c r="H12" s="193">
        <f>PrF!N12/1000</f>
        <v>0</v>
      </c>
      <c r="I12" s="193">
        <f>FSS!N12/1000</f>
        <v>0</v>
      </c>
      <c r="J12" s="193">
        <f>PřF!N12/1000</f>
        <v>0</v>
      </c>
      <c r="K12" s="193">
        <f>'FI'!N12/1000</f>
        <v>0</v>
      </c>
      <c r="L12" s="193">
        <f>PdF!N12/1000</f>
        <v>0</v>
      </c>
      <c r="M12" s="193">
        <f>FSpS!N12/1000</f>
        <v>0</v>
      </c>
      <c r="N12" s="193">
        <f>ESF!N12/1000</f>
        <v>0</v>
      </c>
      <c r="O12" s="846">
        <f t="shared" si="2"/>
        <v>0</v>
      </c>
      <c r="P12" s="266"/>
      <c r="Q12" s="164">
        <f>'fak plan'!O12</f>
        <v>11516</v>
      </c>
      <c r="R12" s="164">
        <f>LF!Q12/1000+'FF'!Q12/1000+PrF!Q12/1000+FSS!Q12/1000+PřF!Q12/1000+'FI'!Q12/1000+PdF!Q12/1000+FSpS!Q12/1000+ESF!Q12/1000</f>
        <v>9.826</v>
      </c>
      <c r="S12" s="482" t="e">
        <f>(LF!P12+'FF'!P12+PrF!P12+FSS!P12+PřF!P12+'FI'!P12+PdF!P12+FSpS!P12+ESF!P12)/1000</f>
        <v>#DIV/0!</v>
      </c>
      <c r="T12" s="517"/>
      <c r="U12" s="404"/>
    </row>
    <row r="13" spans="1:21" s="65" customFormat="1" ht="12">
      <c r="A13" s="61"/>
      <c r="B13" s="62"/>
      <c r="C13" s="62"/>
      <c r="D13" s="63" t="s">
        <v>25</v>
      </c>
      <c r="E13" s="274">
        <v>11</v>
      </c>
      <c r="F13" s="220">
        <f>LF!N13/1000</f>
        <v>0</v>
      </c>
      <c r="G13" s="193">
        <f>'FF'!N13/1000</f>
        <v>0</v>
      </c>
      <c r="H13" s="193">
        <f>PrF!N13/1000</f>
        <v>0</v>
      </c>
      <c r="I13" s="193">
        <f>FSS!N13/1000</f>
        <v>0</v>
      </c>
      <c r="J13" s="193">
        <f>PřF!N13/1000</f>
        <v>0</v>
      </c>
      <c r="K13" s="193">
        <f>'FI'!N13/1000</f>
        <v>0</v>
      </c>
      <c r="L13" s="193">
        <f>PdF!N13/1000</f>
        <v>0</v>
      </c>
      <c r="M13" s="193">
        <f>FSpS!N13/1000</f>
        <v>0</v>
      </c>
      <c r="N13" s="193">
        <f>ESF!N13/1000</f>
        <v>0</v>
      </c>
      <c r="O13" s="846">
        <f t="shared" si="2"/>
        <v>0</v>
      </c>
      <c r="P13" s="266"/>
      <c r="Q13" s="164">
        <f>'fak plan'!O13</f>
        <v>209642</v>
      </c>
      <c r="R13" s="164">
        <f>LF!Q13/1000+'FF'!Q13/1000+PrF!Q13/1000+FSS!Q13/1000+PřF!Q13/1000+'FI'!Q13/1000+PdF!Q13/1000+FSpS!Q13/1000+ESF!Q13/1000</f>
        <v>205.78400000000002</v>
      </c>
      <c r="S13" s="482">
        <f>(LF!P13+'FF'!P13+PrF!P13+FSS!P13+PřF!P13+'FI'!P13+PdF!P13+FSpS!P13+ESF!P13)/1000</f>
        <v>0</v>
      </c>
      <c r="T13" s="517"/>
      <c r="U13" s="404"/>
    </row>
    <row r="14" spans="1:21" s="65" customFormat="1" ht="12">
      <c r="A14" s="61"/>
      <c r="B14" s="62"/>
      <c r="C14" s="62"/>
      <c r="D14" s="63" t="s">
        <v>26</v>
      </c>
      <c r="E14" s="274">
        <v>12</v>
      </c>
      <c r="F14" s="220">
        <f>LF!N14/1000</f>
        <v>0</v>
      </c>
      <c r="G14" s="193">
        <f>'FF'!N14/1000</f>
        <v>0</v>
      </c>
      <c r="H14" s="193">
        <f>PrF!N14/1000</f>
        <v>0</v>
      </c>
      <c r="I14" s="193">
        <f>FSS!N14/1000</f>
        <v>0</v>
      </c>
      <c r="J14" s="193">
        <f>PřF!N14/1000</f>
        <v>0</v>
      </c>
      <c r="K14" s="193">
        <f>'FI'!N14/1000</f>
        <v>0</v>
      </c>
      <c r="L14" s="193">
        <f>PdF!N14/1000</f>
        <v>0</v>
      </c>
      <c r="M14" s="193">
        <f>FSpS!N14/1000</f>
        <v>0</v>
      </c>
      <c r="N14" s="193">
        <f>ESF!N14/1000</f>
        <v>0</v>
      </c>
      <c r="O14" s="846">
        <f t="shared" si="2"/>
        <v>0</v>
      </c>
      <c r="P14" s="266"/>
      <c r="Q14" s="164">
        <f>'fak plan'!O14</f>
        <v>51267</v>
      </c>
      <c r="R14" s="164">
        <f>LF!Q14/1000+'FF'!Q14/1000+PrF!Q14/1000+FSS!Q14/1000+PřF!Q14/1000+'FI'!Q14/1000+PdF!Q14/1000+FSpS!Q14/1000+ESF!Q14/1000</f>
        <v>48.567</v>
      </c>
      <c r="S14" s="482" t="e">
        <f>(LF!P14+'FF'!P14+PrF!P14+FSS!P14+PřF!P14+'FI'!P14+PdF!P14+FSpS!P14+ESF!P14)/1000</f>
        <v>#DIV/0!</v>
      </c>
      <c r="T14" s="517"/>
      <c r="U14" s="404"/>
    </row>
    <row r="15" spans="1:21" s="65" customFormat="1" ht="12">
      <c r="A15" s="61"/>
      <c r="B15" s="62"/>
      <c r="C15" s="63"/>
      <c r="D15" s="63" t="s">
        <v>27</v>
      </c>
      <c r="E15" s="274">
        <v>13</v>
      </c>
      <c r="F15" s="220">
        <f>LF!N15/1000</f>
        <v>0</v>
      </c>
      <c r="G15" s="193">
        <f>'FF'!N15/1000</f>
        <v>0</v>
      </c>
      <c r="H15" s="193">
        <f>PrF!N15/1000</f>
        <v>0</v>
      </c>
      <c r="I15" s="193">
        <f>FSS!N15/1000</f>
        <v>0</v>
      </c>
      <c r="J15" s="193">
        <f>PřF!N15/1000</f>
        <v>0</v>
      </c>
      <c r="K15" s="193">
        <f>'FI'!N15/1000</f>
        <v>0</v>
      </c>
      <c r="L15" s="193">
        <f>PdF!N15/1000</f>
        <v>0</v>
      </c>
      <c r="M15" s="193">
        <f>FSpS!N15/1000</f>
        <v>0</v>
      </c>
      <c r="N15" s="193">
        <f>ESF!N15/1000</f>
        <v>0</v>
      </c>
      <c r="O15" s="846">
        <f t="shared" si="2"/>
        <v>0</v>
      </c>
      <c r="P15" s="266"/>
      <c r="Q15" s="164">
        <f>'fak plan'!O15</f>
        <v>224940</v>
      </c>
      <c r="R15" s="164">
        <f>LF!Q15/1000+'FF'!Q15/1000+PrF!Q15/1000+FSS!Q15/1000+PřF!Q15/1000+'FI'!Q15/1000+PdF!Q15/1000+FSpS!Q15/1000+ESF!Q15/1000</f>
        <v>266.34999999999997</v>
      </c>
      <c r="S15" s="482" t="e">
        <f>(LF!P15+'FF'!P15+PrF!P15+FSS!P15+PřF!P15+'FI'!P15+PdF!P15+FSpS!P15+ESF!P15)/1000</f>
        <v>#DIV/0!</v>
      </c>
      <c r="T15" s="517"/>
      <c r="U15" s="404"/>
    </row>
    <row r="16" spans="1:21" s="25" customFormat="1" ht="12">
      <c r="A16" s="21"/>
      <c r="B16" s="30" t="s">
        <v>28</v>
      </c>
      <c r="C16" s="27"/>
      <c r="D16" s="27"/>
      <c r="E16" s="275">
        <v>14</v>
      </c>
      <c r="F16" s="94">
        <f>LF!N16/1000</f>
        <v>0</v>
      </c>
      <c r="G16" s="151">
        <f>'FF'!N16/1000</f>
        <v>0</v>
      </c>
      <c r="H16" s="151">
        <f>PrF!N16/1000</f>
        <v>0</v>
      </c>
      <c r="I16" s="151">
        <f>FSS!N16/1000</f>
        <v>0</v>
      </c>
      <c r="J16" s="151">
        <f>PřF!N16/1000</f>
        <v>0</v>
      </c>
      <c r="K16" s="151">
        <f>'FI'!N16/1000</f>
        <v>0</v>
      </c>
      <c r="L16" s="151">
        <f>PdF!N16/1000</f>
        <v>0</v>
      </c>
      <c r="M16" s="151">
        <f>FSpS!N16/1000</f>
        <v>0</v>
      </c>
      <c r="N16" s="151">
        <f>ESF!N16/1000</f>
        <v>0</v>
      </c>
      <c r="O16" s="846">
        <f t="shared" si="2"/>
        <v>0</v>
      </c>
      <c r="P16" s="502"/>
      <c r="Q16" s="96">
        <f>'fak plan'!O16</f>
        <v>152087</v>
      </c>
      <c r="R16" s="96">
        <f>LF!Q16/1000+'FF'!Q16/1000+PrF!Q16/1000+FSS!Q16/1000+PřF!Q16/1000+'FI'!Q16/1000+PdF!Q16/1000+FSpS!Q16/1000+ESF!Q16/1000</f>
        <v>146.629</v>
      </c>
      <c r="S16" s="512">
        <f>(LF!P16+'FF'!P16+PrF!P16+FSS!P16+PřF!P16+'FI'!P16+PdF!P16+FSpS!P16+ESF!P16)/1000</f>
        <v>0</v>
      </c>
      <c r="T16" s="72"/>
      <c r="U16" s="403"/>
    </row>
    <row r="17" spans="1:21" s="25" customFormat="1" ht="12">
      <c r="A17" s="21"/>
      <c r="B17" s="30" t="s">
        <v>30</v>
      </c>
      <c r="C17" s="27"/>
      <c r="D17" s="27"/>
      <c r="E17" s="275">
        <v>15</v>
      </c>
      <c r="F17" s="94">
        <f>LF!N17/1000</f>
        <v>0</v>
      </c>
      <c r="G17" s="151">
        <f>'FF'!N17/1000</f>
        <v>0</v>
      </c>
      <c r="H17" s="151">
        <f>PrF!N17/1000</f>
        <v>0</v>
      </c>
      <c r="I17" s="151">
        <f>FSS!N17/1000</f>
        <v>0</v>
      </c>
      <c r="J17" s="151">
        <f>PřF!N17/1000</f>
        <v>0</v>
      </c>
      <c r="K17" s="151">
        <f>'FI'!N17/1000</f>
        <v>0</v>
      </c>
      <c r="L17" s="151">
        <f>PdF!N17/1000</f>
        <v>0</v>
      </c>
      <c r="M17" s="151">
        <f>FSpS!N17/1000</f>
        <v>0</v>
      </c>
      <c r="N17" s="151">
        <f>ESF!N17/1000</f>
        <v>0</v>
      </c>
      <c r="O17" s="846">
        <f t="shared" si="2"/>
        <v>0</v>
      </c>
      <c r="P17" s="502"/>
      <c r="Q17" s="96">
        <f>'fak plan'!O17</f>
        <v>7925</v>
      </c>
      <c r="R17" s="96">
        <f>LF!Q17/1000+'FF'!Q17/1000+PrF!Q17/1000+FSS!Q17/1000+PřF!Q17/1000+'FI'!Q17/1000+PdF!Q17/1000+FSpS!Q17/1000+ESF!Q17/1000</f>
        <v>9.345</v>
      </c>
      <c r="S17" s="512">
        <f>(LF!P17+'FF'!P17+PrF!P17+FSS!P17+PřF!P17+'FI'!P17+PdF!P17+FSpS!P17+ESF!P17)/1000</f>
        <v>0</v>
      </c>
      <c r="T17" s="72"/>
      <c r="U17" s="403"/>
    </row>
    <row r="18" spans="1:21" s="25" customFormat="1" ht="12">
      <c r="A18" s="21"/>
      <c r="B18" s="31" t="s">
        <v>32</v>
      </c>
      <c r="C18" s="32"/>
      <c r="D18" s="32"/>
      <c r="E18" s="276">
        <v>16</v>
      </c>
      <c r="F18" s="94">
        <f>LF!N18/1000</f>
        <v>0</v>
      </c>
      <c r="G18" s="151">
        <f>'FF'!N18/1000</f>
        <v>0</v>
      </c>
      <c r="H18" s="151">
        <f>PrF!N18/1000</f>
        <v>0</v>
      </c>
      <c r="I18" s="151">
        <f>FSS!N18/1000</f>
        <v>0</v>
      </c>
      <c r="J18" s="151">
        <f>PřF!N18/1000</f>
        <v>0</v>
      </c>
      <c r="K18" s="151">
        <f>'FI'!N18/1000</f>
        <v>0</v>
      </c>
      <c r="L18" s="151">
        <f>PdF!N18/1000</f>
        <v>0</v>
      </c>
      <c r="M18" s="151">
        <f>FSpS!N18/1000</f>
        <v>0</v>
      </c>
      <c r="N18" s="151">
        <f>ESF!N18/1000</f>
        <v>0</v>
      </c>
      <c r="O18" s="846">
        <f t="shared" si="2"/>
        <v>0</v>
      </c>
      <c r="P18" s="502"/>
      <c r="Q18" s="96">
        <f>'fak plan'!O18</f>
        <v>22219</v>
      </c>
      <c r="R18" s="96">
        <f>LF!Q18/1000+'FF'!Q18/1000+PrF!Q18/1000+FSS!Q18/1000+PřF!Q18/1000+'FI'!Q18/1000+PdF!Q18/1000+FSpS!Q18/1000+ESF!Q18/1000</f>
        <v>52.00300000000001</v>
      </c>
      <c r="S18" s="512">
        <f>(LF!P18+'FF'!P18+PrF!P18+FSS!P18+PřF!P18+'FI'!P18+PdF!P18+FSpS!P18+ESF!P18)/1000</f>
        <v>0</v>
      </c>
      <c r="T18" s="72"/>
      <c r="U18" s="403"/>
    </row>
    <row r="19" spans="1:21" s="25" customFormat="1" ht="12">
      <c r="A19" s="21"/>
      <c r="B19" s="31" t="s">
        <v>34</v>
      </c>
      <c r="C19" s="32"/>
      <c r="D19" s="32"/>
      <c r="E19" s="276">
        <v>17</v>
      </c>
      <c r="F19" s="94">
        <f>LF!N19/1000</f>
        <v>0</v>
      </c>
      <c r="G19" s="151">
        <f>'FF'!N19/1000</f>
        <v>0</v>
      </c>
      <c r="H19" s="151">
        <f>PrF!N19/1000</f>
        <v>0</v>
      </c>
      <c r="I19" s="151">
        <f>FSS!N19/1000</f>
        <v>0</v>
      </c>
      <c r="J19" s="151">
        <f>PřF!N19/1000</f>
        <v>0</v>
      </c>
      <c r="K19" s="151">
        <f>'FI'!N19/1000</f>
        <v>0</v>
      </c>
      <c r="L19" s="151">
        <f>PdF!N19/1000</f>
        <v>0</v>
      </c>
      <c r="M19" s="151">
        <f>FSpS!N19/1000</f>
        <v>0</v>
      </c>
      <c r="N19" s="151">
        <f>ESF!N19/1000</f>
        <v>0</v>
      </c>
      <c r="O19" s="846">
        <f t="shared" si="2"/>
        <v>0</v>
      </c>
      <c r="P19" s="502"/>
      <c r="Q19" s="96">
        <f>'fak plan'!O19</f>
        <v>7314</v>
      </c>
      <c r="R19" s="96">
        <f>LF!Q19/1000+'FF'!Q19/1000+PrF!Q19/1000+FSS!Q19/1000+PřF!Q19/1000+'FI'!Q19/1000+PdF!Q19/1000+FSpS!Q19/1000+ESF!Q19/1000</f>
        <v>6.818</v>
      </c>
      <c r="S19" s="512">
        <f>(LF!P19+'FF'!P19+PrF!P19+FSS!P19+PřF!P19+'FI'!P19+PdF!P19+FSpS!P19+ESF!P19)/1000</f>
        <v>0</v>
      </c>
      <c r="T19" s="72"/>
      <c r="U19" s="403"/>
    </row>
    <row r="20" spans="1:21" s="25" customFormat="1" ht="12">
      <c r="A20" s="21"/>
      <c r="B20" s="31" t="s">
        <v>36</v>
      </c>
      <c r="C20" s="31"/>
      <c r="D20" s="31"/>
      <c r="E20" s="276">
        <v>18</v>
      </c>
      <c r="F20" s="94">
        <f>LF!N20/1000</f>
        <v>0</v>
      </c>
      <c r="G20" s="151">
        <f>'FF'!N20/1000</f>
        <v>0</v>
      </c>
      <c r="H20" s="151">
        <f>PrF!N20/1000</f>
        <v>0</v>
      </c>
      <c r="I20" s="151">
        <f>FSS!N20/1000</f>
        <v>0</v>
      </c>
      <c r="J20" s="151">
        <f>PřF!N20/1000</f>
        <v>0</v>
      </c>
      <c r="K20" s="151">
        <f>'FI'!N20/1000</f>
        <v>0</v>
      </c>
      <c r="L20" s="151">
        <f>PdF!N20/1000</f>
        <v>0</v>
      </c>
      <c r="M20" s="151">
        <f>FSpS!N20/1000</f>
        <v>0</v>
      </c>
      <c r="N20" s="151">
        <f>ESF!N20/1000</f>
        <v>0</v>
      </c>
      <c r="O20" s="846">
        <f t="shared" si="2"/>
        <v>0</v>
      </c>
      <c r="P20" s="502"/>
      <c r="Q20" s="96">
        <f>'fak plan'!O20</f>
        <v>19350</v>
      </c>
      <c r="R20" s="96">
        <f>LF!Q20/1000+'FF'!Q20/1000+PrF!Q20/1000+FSS!Q20/1000+PřF!Q20/1000+'FI'!Q20/1000+PdF!Q20/1000+FSpS!Q20/1000+ESF!Q20/1000</f>
        <v>20.332</v>
      </c>
      <c r="S20" s="512">
        <f>(LF!P20+'FF'!P20+PrF!P20+FSS!P20+PřF!P20+'FI'!P20+PdF!P20+FSpS!P20+ESF!P20)/1000</f>
        <v>3</v>
      </c>
      <c r="T20" s="72"/>
      <c r="U20" s="403"/>
    </row>
    <row r="21" spans="1:21" s="25" customFormat="1" ht="12">
      <c r="A21" s="21"/>
      <c r="B21" s="31" t="s">
        <v>38</v>
      </c>
      <c r="C21" s="31"/>
      <c r="D21" s="31"/>
      <c r="E21" s="276">
        <v>19</v>
      </c>
      <c r="F21" s="94">
        <f>LF!N21/1000</f>
        <v>0</v>
      </c>
      <c r="G21" s="151">
        <f>'FF'!N21/1000</f>
        <v>0</v>
      </c>
      <c r="H21" s="151">
        <f>PrF!N21/1000</f>
        <v>0</v>
      </c>
      <c r="I21" s="151">
        <f>FSS!N21/1000</f>
        <v>0</v>
      </c>
      <c r="J21" s="151">
        <f>PřF!N21/1000</f>
        <v>0</v>
      </c>
      <c r="K21" s="151">
        <f>'FI'!N21/1000</f>
        <v>0</v>
      </c>
      <c r="L21" s="151">
        <f>PdF!N21/1000</f>
        <v>0</v>
      </c>
      <c r="M21" s="151">
        <f>FSpS!N21/1000</f>
        <v>0</v>
      </c>
      <c r="N21" s="151">
        <f>ESF!N21/1000</f>
        <v>0</v>
      </c>
      <c r="O21" s="846">
        <f t="shared" si="2"/>
        <v>0</v>
      </c>
      <c r="P21" s="502"/>
      <c r="Q21" s="96">
        <f>'fak plan'!O21</f>
        <v>230157</v>
      </c>
      <c r="R21" s="96">
        <f>LF!Q21/1000+'FF'!Q21/1000+PrF!Q21/1000+FSS!Q21/1000+PřF!Q21/1000+'FI'!Q21/1000+PdF!Q21/1000+FSpS!Q21/1000+ESF!Q21/1000</f>
        <v>126.43900000000001</v>
      </c>
      <c r="S21" s="512">
        <f>(LF!P21+'FF'!P21+PrF!P21+FSS!P21+PřF!P21+'FI'!P21+PdF!P21+FSpS!P21+ESF!P21)/1000</f>
        <v>0</v>
      </c>
      <c r="T21" s="72"/>
      <c r="U21" s="403"/>
    </row>
    <row r="22" spans="1:21" s="25" customFormat="1" ht="12">
      <c r="A22" s="21"/>
      <c r="B22" s="31" t="s">
        <v>40</v>
      </c>
      <c r="C22" s="31"/>
      <c r="D22" s="31"/>
      <c r="E22" s="276">
        <v>20</v>
      </c>
      <c r="F22" s="94">
        <f>LF!N22/1000</f>
        <v>0</v>
      </c>
      <c r="G22" s="151">
        <f>'FF'!N22/1000</f>
        <v>0</v>
      </c>
      <c r="H22" s="151">
        <f>PrF!N22/1000</f>
        <v>0</v>
      </c>
      <c r="I22" s="151">
        <f>FSS!N22/1000</f>
        <v>0</v>
      </c>
      <c r="J22" s="151">
        <f>PřF!N22/1000</f>
        <v>0</v>
      </c>
      <c r="K22" s="151">
        <f>'FI'!N22/1000</f>
        <v>0</v>
      </c>
      <c r="L22" s="151">
        <f>PdF!N22/1000</f>
        <v>0</v>
      </c>
      <c r="M22" s="151">
        <f>FSpS!N22/1000</f>
        <v>0</v>
      </c>
      <c r="N22" s="151">
        <f>ESF!N22/1000</f>
        <v>0</v>
      </c>
      <c r="O22" s="846">
        <f t="shared" si="2"/>
        <v>0</v>
      </c>
      <c r="P22" s="502"/>
      <c r="Q22" s="96">
        <f>'fak plan'!O22</f>
        <v>23613</v>
      </c>
      <c r="R22" s="96">
        <f>LF!Q22/1000+'FF'!Q22/1000+PrF!Q22/1000+FSS!Q22/1000+PřF!Q22/1000+'FI'!Q22/1000+PdF!Q22/1000+FSpS!Q22/1000+ESF!Q22/1000</f>
        <v>34.26</v>
      </c>
      <c r="S22" s="512">
        <f>(LF!P22+'FF'!P22+PrF!P22+FSS!P22+PřF!P22+'FI'!P22+PdF!P22+FSpS!P22+ESF!P22)/1000</f>
        <v>0</v>
      </c>
      <c r="T22" s="72"/>
      <c r="U22" s="403"/>
    </row>
    <row r="23" spans="1:21" s="25" customFormat="1" ht="12">
      <c r="A23" s="21"/>
      <c r="B23" s="31" t="s">
        <v>42</v>
      </c>
      <c r="C23" s="31"/>
      <c r="D23" s="31"/>
      <c r="E23" s="276">
        <v>21</v>
      </c>
      <c r="F23" s="94">
        <f>LF!N23/1000</f>
        <v>0</v>
      </c>
      <c r="G23" s="151">
        <f>'FF'!N23/1000</f>
        <v>0</v>
      </c>
      <c r="H23" s="151">
        <f>PrF!N23/1000</f>
        <v>0</v>
      </c>
      <c r="I23" s="151">
        <f>FSS!N23/1000</f>
        <v>0</v>
      </c>
      <c r="J23" s="151">
        <f>PřF!N23/1000</f>
        <v>0</v>
      </c>
      <c r="K23" s="151">
        <f>'FI'!N23/1000</f>
        <v>0</v>
      </c>
      <c r="L23" s="151">
        <f>PdF!N23/1000</f>
        <v>0</v>
      </c>
      <c r="M23" s="151">
        <f>FSpS!N23/1000</f>
        <v>0</v>
      </c>
      <c r="N23" s="151">
        <f>ESF!N23/1000</f>
        <v>0</v>
      </c>
      <c r="O23" s="846">
        <f t="shared" si="2"/>
        <v>0</v>
      </c>
      <c r="P23" s="502"/>
      <c r="Q23" s="96">
        <f>'fak plan'!O23</f>
        <v>129065</v>
      </c>
      <c r="R23" s="96">
        <f>LF!Q23/1000+'FF'!Q23/1000+PrF!Q23/1000+FSS!Q23/1000+PřF!Q23/1000+'FI'!Q23/1000+PdF!Q23/1000+FSpS!Q23/1000+ESF!Q23/1000</f>
        <v>242.52599999999998</v>
      </c>
      <c r="S23" s="512">
        <f>(LF!P23+'FF'!P23+PrF!P23+FSS!P23+PřF!P23+'FI'!P23+PdF!P23+FSpS!P23+ESF!P23)/1000</f>
        <v>0</v>
      </c>
      <c r="T23" s="72"/>
      <c r="U23" s="403"/>
    </row>
    <row r="24" spans="1:21" s="25" customFormat="1" ht="12">
      <c r="A24" s="21"/>
      <c r="B24" s="31" t="s">
        <v>43</v>
      </c>
      <c r="C24" s="31"/>
      <c r="D24" s="31"/>
      <c r="E24" s="276">
        <v>22</v>
      </c>
      <c r="F24" s="94">
        <f>LF!N24/1000</f>
        <v>0</v>
      </c>
      <c r="G24" s="151">
        <f>'FF'!N24/1000</f>
        <v>0</v>
      </c>
      <c r="H24" s="151">
        <f>PrF!N24/1000</f>
        <v>0</v>
      </c>
      <c r="I24" s="151">
        <f>FSS!N24/1000</f>
        <v>0</v>
      </c>
      <c r="J24" s="151">
        <f>PřF!N24/1000</f>
        <v>0</v>
      </c>
      <c r="K24" s="151">
        <f>'FI'!N24/1000</f>
        <v>0</v>
      </c>
      <c r="L24" s="151">
        <f>PdF!N24/1000</f>
        <v>0</v>
      </c>
      <c r="M24" s="151">
        <f>FSpS!N24/1000</f>
        <v>0</v>
      </c>
      <c r="N24" s="151">
        <f>ESF!N24/1000</f>
        <v>0</v>
      </c>
      <c r="O24" s="846">
        <f t="shared" si="2"/>
        <v>0</v>
      </c>
      <c r="P24" s="502"/>
      <c r="Q24" s="96">
        <f>'fak plan'!O24</f>
        <v>506844</v>
      </c>
      <c r="R24" s="96">
        <f>LF!Q24/1000+'FF'!Q24/1000+PrF!Q24/1000+FSS!Q24/1000+PřF!Q24/1000+'FI'!Q24/1000+PdF!Q24/1000+FSpS!Q24/1000+ESF!Q24/1000</f>
        <v>466.03200000000004</v>
      </c>
      <c r="S24" s="512">
        <f>(LF!P24+'FF'!P24+PrF!P24+FSS!P24+PřF!P24+'FI'!P24+PdF!P24+FSpS!P24+ESF!P24)/1000</f>
        <v>0</v>
      </c>
      <c r="T24" s="72"/>
      <c r="U24" s="403"/>
    </row>
    <row r="25" spans="1:21" s="25" customFormat="1" ht="12">
      <c r="A25" s="21"/>
      <c r="B25" s="31" t="s">
        <v>186</v>
      </c>
      <c r="C25" s="31"/>
      <c r="D25" s="31"/>
      <c r="E25" s="276">
        <v>23</v>
      </c>
      <c r="F25" s="94">
        <f>LF!N25/1000</f>
        <v>0</v>
      </c>
      <c r="G25" s="151">
        <f>'FF'!N25/1000</f>
        <v>0</v>
      </c>
      <c r="H25" s="151">
        <f>PrF!N25/1000</f>
        <v>0</v>
      </c>
      <c r="I25" s="151">
        <f>FSS!N25/1000</f>
        <v>0</v>
      </c>
      <c r="J25" s="151">
        <f>PřF!N25/1000</f>
        <v>0</v>
      </c>
      <c r="K25" s="151">
        <f>'FI'!N25/1000</f>
        <v>0</v>
      </c>
      <c r="L25" s="151">
        <f>PdF!N25/1000</f>
        <v>0</v>
      </c>
      <c r="M25" s="151">
        <f>FSpS!N25/1000</f>
        <v>0</v>
      </c>
      <c r="N25" s="151">
        <f>ESF!N25/1000</f>
        <v>0</v>
      </c>
      <c r="O25" s="846">
        <f t="shared" si="2"/>
        <v>0</v>
      </c>
      <c r="P25" s="502"/>
      <c r="Q25" s="96">
        <f>'fak plan'!O25</f>
        <v>85975</v>
      </c>
      <c r="R25" s="96">
        <f>LF!Q25/1000+'FF'!Q25/1000+PrF!Q25/1000+FSS!Q25/1000+PřF!Q25/1000+'FI'!Q25/1000+PdF!Q25/1000+FSpS!Q25/1000+ESF!Q25/1000</f>
        <v>62.079</v>
      </c>
      <c r="S25" s="512">
        <f>(LF!P25+'FF'!P25+PrF!P25+FSS!P25+PřF!P25+'FI'!P25+PdF!P25+FSpS!P25+ESF!P25)/1000</f>
        <v>6.162</v>
      </c>
      <c r="T25" s="72"/>
      <c r="U25" s="403"/>
    </row>
    <row r="26" spans="1:21" s="25" customFormat="1" ht="12">
      <c r="A26" s="21"/>
      <c r="B26" s="31" t="s">
        <v>45</v>
      </c>
      <c r="C26" s="31"/>
      <c r="D26" s="31"/>
      <c r="E26" s="276">
        <v>24</v>
      </c>
      <c r="F26" s="94">
        <f>LF!N26/1000</f>
        <v>0</v>
      </c>
      <c r="G26" s="151">
        <f>'FF'!N26/1000</f>
        <v>0</v>
      </c>
      <c r="H26" s="151">
        <f>PrF!N26/1000</f>
        <v>0</v>
      </c>
      <c r="I26" s="151">
        <f>FSS!N26/1000</f>
        <v>0</v>
      </c>
      <c r="J26" s="151">
        <f>PřF!N26/1000</f>
        <v>0</v>
      </c>
      <c r="K26" s="151">
        <f>'FI'!N26/1000</f>
        <v>0</v>
      </c>
      <c r="L26" s="151">
        <f>PdF!N26/1000</f>
        <v>0</v>
      </c>
      <c r="M26" s="151">
        <f>FSpS!N26/1000</f>
        <v>0</v>
      </c>
      <c r="N26" s="151">
        <f>ESF!N26/1000</f>
        <v>0</v>
      </c>
      <c r="O26" s="846">
        <f t="shared" si="2"/>
        <v>0</v>
      </c>
      <c r="P26" s="502"/>
      <c r="Q26" s="96">
        <f>'fak plan'!O26</f>
        <v>57033</v>
      </c>
      <c r="R26" s="96">
        <f>LF!Q26/1000+'FF'!Q26/1000+PrF!Q26/1000+FSS!Q26/1000+PřF!Q26/1000+'FI'!Q26/1000+PdF!Q26/1000+FSpS!Q26/1000+ESF!Q26/1000</f>
        <v>59.477000000000004</v>
      </c>
      <c r="S26" s="512">
        <f>(LF!P26+'FF'!P26+PrF!P26+FSS!P26+PřF!P26+'FI'!P26+PdF!P26+FSpS!P26+ESF!P26)/1000</f>
        <v>0.069</v>
      </c>
      <c r="T26" s="72"/>
      <c r="U26" s="403"/>
    </row>
    <row r="27" spans="1:21" s="25" customFormat="1" ht="12.75" thickBot="1">
      <c r="A27" s="21"/>
      <c r="B27" s="30" t="s">
        <v>47</v>
      </c>
      <c r="C27" s="30"/>
      <c r="D27" s="30"/>
      <c r="E27" s="275">
        <v>25</v>
      </c>
      <c r="F27" s="94">
        <f>LF!N27/1000</f>
        <v>0</v>
      </c>
      <c r="G27" s="151">
        <f>'FF'!N27/1000</f>
        <v>0</v>
      </c>
      <c r="H27" s="151">
        <f>PrF!N27/1000</f>
        <v>0</v>
      </c>
      <c r="I27" s="151">
        <f>FSS!N27/1000</f>
        <v>0</v>
      </c>
      <c r="J27" s="151">
        <f>PřF!N27/1000</f>
        <v>0</v>
      </c>
      <c r="K27" s="151">
        <f>'FI'!N27/1000</f>
        <v>0</v>
      </c>
      <c r="L27" s="151">
        <f>PdF!N27/1000</f>
        <v>0</v>
      </c>
      <c r="M27" s="151">
        <f>FSpS!N27/1000</f>
        <v>0</v>
      </c>
      <c r="N27" s="151">
        <f>ESF!N27/1000</f>
        <v>0</v>
      </c>
      <c r="O27" s="847">
        <f t="shared" si="2"/>
        <v>0</v>
      </c>
      <c r="P27" s="502"/>
      <c r="Q27" s="96">
        <f>'fak plan'!O27</f>
        <v>35811</v>
      </c>
      <c r="R27" s="96">
        <f>LF!Q27/1000+'FF'!Q27/1000+PrF!Q27/1000+FSS!Q27/1000+PřF!Q27/1000+'FI'!Q27/1000+PdF!Q27/1000+FSpS!Q27/1000+ESF!Q27/1000</f>
        <v>37.826</v>
      </c>
      <c r="S27" s="513" t="e">
        <f>(LF!P27+'FF'!P27+PrF!P27+FSS!P27+PřF!P27+'FI'!P27+PdF!P27+FSpS!P27+ESF!P27)/1000</f>
        <v>#DIV/0!</v>
      </c>
      <c r="T27" s="72"/>
      <c r="U27" s="403"/>
    </row>
    <row r="28" spans="1:19" ht="13.5" thickBot="1">
      <c r="A28" s="37" t="s">
        <v>49</v>
      </c>
      <c r="B28" s="38"/>
      <c r="C28" s="38"/>
      <c r="D28" s="38"/>
      <c r="E28" s="272">
        <v>26</v>
      </c>
      <c r="F28" s="194">
        <f aca="true" t="shared" si="3" ref="F28:S28">SUM(F29:F45)</f>
        <v>0</v>
      </c>
      <c r="G28" s="194">
        <f t="shared" si="3"/>
        <v>0</v>
      </c>
      <c r="H28" s="194">
        <f t="shared" si="3"/>
        <v>0</v>
      </c>
      <c r="I28" s="194">
        <f t="shared" si="3"/>
        <v>0</v>
      </c>
      <c r="J28" s="194">
        <f t="shared" si="3"/>
        <v>0</v>
      </c>
      <c r="K28" s="194">
        <f t="shared" si="3"/>
        <v>0</v>
      </c>
      <c r="L28" s="194">
        <f t="shared" si="3"/>
        <v>0</v>
      </c>
      <c r="M28" s="194">
        <f t="shared" si="3"/>
        <v>0</v>
      </c>
      <c r="N28" s="194">
        <f t="shared" si="3"/>
        <v>0</v>
      </c>
      <c r="O28" s="172">
        <f t="shared" si="3"/>
        <v>0</v>
      </c>
      <c r="P28" s="179">
        <f t="shared" si="3"/>
        <v>0</v>
      </c>
      <c r="Q28" s="78">
        <f t="shared" si="3"/>
        <v>3489422</v>
      </c>
      <c r="R28" s="78">
        <f t="shared" si="3"/>
        <v>3308.884</v>
      </c>
      <c r="S28" s="78" t="e">
        <f t="shared" si="3"/>
        <v>#DIV/0!</v>
      </c>
    </row>
    <row r="29" spans="1:21" s="25" customFormat="1" ht="12">
      <c r="A29" s="21" t="s">
        <v>14</v>
      </c>
      <c r="B29" s="27" t="s">
        <v>50</v>
      </c>
      <c r="C29" s="27"/>
      <c r="D29" s="27"/>
      <c r="E29" s="275">
        <v>27</v>
      </c>
      <c r="F29" s="94">
        <f>LF!N29/1000</f>
        <v>0</v>
      </c>
      <c r="G29" s="151">
        <f>'FF'!N29/1000</f>
        <v>0</v>
      </c>
      <c r="H29" s="151">
        <f>PrF!N29/1000</f>
        <v>0</v>
      </c>
      <c r="I29" s="151">
        <f>FSS!N29/1000</f>
        <v>0</v>
      </c>
      <c r="J29" s="151">
        <f>PřF!N29/1000</f>
        <v>0</v>
      </c>
      <c r="K29" s="151">
        <f>'FI'!N29/1000</f>
        <v>0</v>
      </c>
      <c r="L29" s="151">
        <f>PdF!N29/1000</f>
        <v>0</v>
      </c>
      <c r="M29" s="151">
        <f>FSpS!N29/1000</f>
        <v>0</v>
      </c>
      <c r="N29" s="151">
        <f>ESF!N29/1000</f>
        <v>0</v>
      </c>
      <c r="O29" s="490">
        <f>SUM(F29:N29)</f>
        <v>0</v>
      </c>
      <c r="P29" s="503"/>
      <c r="Q29" s="96">
        <f>'fak plan'!O29</f>
        <v>1253473</v>
      </c>
      <c r="R29" s="96">
        <f>LF!Q29/1000+'FF'!Q29/1000+PrF!Q29/1000+FSS!Q29/1000+PřF!Q29/1000+'FI'!Q29/1000+PdF!Q29/1000+FSpS!Q29/1000+ESF!Q29/1000</f>
        <v>1322.3039999999999</v>
      </c>
      <c r="S29" s="96">
        <f>LF!R29/1000+'FF'!R29/1000+PrF!R29/1000+FSS!R29/1000+PřF!R29/1000+'FI'!R29/1000+PdF!R29/1000+FSpS!R29/1000+ESF!R29/1000</f>
        <v>187.00199999999998</v>
      </c>
      <c r="T29" s="559"/>
      <c r="U29" s="403"/>
    </row>
    <row r="30" spans="1:21" s="25" customFormat="1" ht="12">
      <c r="A30" s="21"/>
      <c r="B30" s="30" t="s">
        <v>28</v>
      </c>
      <c r="C30" s="30"/>
      <c r="D30" s="30"/>
      <c r="E30" s="275">
        <v>28</v>
      </c>
      <c r="F30" s="94">
        <f>LF!N30/1000</f>
        <v>0</v>
      </c>
      <c r="G30" s="151">
        <f>'FF'!N30/1000</f>
        <v>0</v>
      </c>
      <c r="H30" s="151">
        <f>PrF!N30/1000</f>
        <v>0</v>
      </c>
      <c r="I30" s="151">
        <f>FSS!N30/1000</f>
        <v>0</v>
      </c>
      <c r="J30" s="151">
        <f>PřF!N30/1000</f>
        <v>0</v>
      </c>
      <c r="K30" s="151">
        <f>'FI'!N30/1000</f>
        <v>0</v>
      </c>
      <c r="L30" s="151">
        <f>PdF!N30/1000</f>
        <v>0</v>
      </c>
      <c r="M30" s="151">
        <f>FSpS!N30/1000</f>
        <v>0</v>
      </c>
      <c r="N30" s="151">
        <f>ESF!N30/1000</f>
        <v>0</v>
      </c>
      <c r="O30" s="490">
        <f aca="true" t="shared" si="4" ref="O30:O45">SUM(F30:N30)</f>
        <v>0</v>
      </c>
      <c r="P30" s="504"/>
      <c r="Q30" s="96">
        <f>'fak plan'!O30</f>
        <v>151646</v>
      </c>
      <c r="R30" s="96">
        <f>LF!Q30/1000+'FF'!Q30/1000+PrF!Q30/1000+FSS!Q30/1000+PřF!Q30/1000+'FI'!Q30/1000+PdF!Q30/1000+FSpS!Q30/1000+ESF!Q30/1000</f>
        <v>146.629</v>
      </c>
      <c r="S30" s="96">
        <f>(LF!P30+'FF'!P30+PrF!P30+FSS!P30+PřF!P30+'FI'!P30+PdF!P30+FSpS!P30+ESF!P30)/1000</f>
        <v>0</v>
      </c>
      <c r="T30" s="72"/>
      <c r="U30" s="403"/>
    </row>
    <row r="31" spans="1:21" s="25" customFormat="1" ht="12">
      <c r="A31" s="21"/>
      <c r="B31" s="30" t="s">
        <v>30</v>
      </c>
      <c r="C31" s="30"/>
      <c r="D31" s="30"/>
      <c r="E31" s="275">
        <v>29</v>
      </c>
      <c r="F31" s="94">
        <f>LF!N31/1000</f>
        <v>0</v>
      </c>
      <c r="G31" s="151">
        <f>'FF'!N31/1000</f>
        <v>0</v>
      </c>
      <c r="H31" s="151">
        <f>PrF!N31/1000</f>
        <v>0</v>
      </c>
      <c r="I31" s="151">
        <f>FSS!N31/1000</f>
        <v>0</v>
      </c>
      <c r="J31" s="151">
        <f>PřF!N31/1000</f>
        <v>0</v>
      </c>
      <c r="K31" s="151">
        <f>'FI'!N31/1000</f>
        <v>0</v>
      </c>
      <c r="L31" s="151">
        <f>PdF!N31/1000</f>
        <v>0</v>
      </c>
      <c r="M31" s="151">
        <f>FSpS!N31/1000</f>
        <v>0</v>
      </c>
      <c r="N31" s="151">
        <f>ESF!N31/1000</f>
        <v>0</v>
      </c>
      <c r="O31" s="490">
        <f t="shared" si="4"/>
        <v>0</v>
      </c>
      <c r="P31" s="504"/>
      <c r="Q31" s="96">
        <f>'fak plan'!O31</f>
        <v>7925</v>
      </c>
      <c r="R31" s="96">
        <f>LF!Q31/1000+'FF'!Q31/1000+PrF!Q31/1000+FSS!Q31/1000+PřF!Q31/1000+'FI'!Q31/1000+PdF!Q31/1000+FSpS!Q31/1000+ESF!Q31/1000</f>
        <v>9.345</v>
      </c>
      <c r="S31" s="96">
        <f>(LF!P31+'FF'!P31+PrF!P31+FSS!P31+PřF!P31+'FI'!P31+PdF!P31+FSpS!P31+ESF!P31)/1000</f>
        <v>0</v>
      </c>
      <c r="T31" s="72"/>
      <c r="U31" s="403"/>
    </row>
    <row r="32" spans="1:21" s="25" customFormat="1" ht="12">
      <c r="A32" s="21"/>
      <c r="B32" s="31" t="s">
        <v>32</v>
      </c>
      <c r="C32" s="32"/>
      <c r="D32" s="32"/>
      <c r="E32" s="276">
        <v>30</v>
      </c>
      <c r="F32" s="94">
        <f>LF!N32/1000</f>
        <v>0</v>
      </c>
      <c r="G32" s="151">
        <f>'FF'!N32/1000</f>
        <v>0</v>
      </c>
      <c r="H32" s="151">
        <f>PrF!N32/1000</f>
        <v>0</v>
      </c>
      <c r="I32" s="151">
        <f>FSS!N32/1000</f>
        <v>0</v>
      </c>
      <c r="J32" s="151">
        <f>PřF!N32/1000</f>
        <v>0</v>
      </c>
      <c r="K32" s="151">
        <f>'FI'!N32/1000</f>
        <v>0</v>
      </c>
      <c r="L32" s="151">
        <f>PdF!N32/1000</f>
        <v>0</v>
      </c>
      <c r="M32" s="151">
        <f>FSpS!N32/1000</f>
        <v>0</v>
      </c>
      <c r="N32" s="151">
        <f>ESF!N32/1000</f>
        <v>0</v>
      </c>
      <c r="O32" s="490">
        <f t="shared" si="4"/>
        <v>0</v>
      </c>
      <c r="P32" s="504"/>
      <c r="Q32" s="96">
        <f>'fak plan'!O32</f>
        <v>22219</v>
      </c>
      <c r="R32" s="96">
        <f>LF!Q32/1000+'FF'!Q32/1000+PrF!Q32/1000+FSS!Q32/1000+PřF!Q32/1000+'FI'!Q32/1000+PdF!Q32/1000+FSpS!Q32/1000+ESF!Q32/1000</f>
        <v>52.00300000000001</v>
      </c>
      <c r="S32" s="96">
        <f>(LF!P32+'FF'!P32+PrF!P32+FSS!P32+PřF!P32+'FI'!P32+PdF!P32+FSpS!P32+ESF!P32)/1000</f>
        <v>0</v>
      </c>
      <c r="T32" s="255"/>
      <c r="U32" s="401">
        <f>fak!Q32</f>
        <v>52003</v>
      </c>
    </row>
    <row r="33" spans="1:21" s="25" customFormat="1" ht="12">
      <c r="A33" s="21"/>
      <c r="B33" s="31" t="s">
        <v>34</v>
      </c>
      <c r="C33" s="31"/>
      <c r="D33" s="31"/>
      <c r="E33" s="276">
        <v>31</v>
      </c>
      <c r="F33" s="94">
        <f>LF!N33/1000</f>
        <v>0</v>
      </c>
      <c r="G33" s="151">
        <f>'FF'!N33/1000</f>
        <v>0</v>
      </c>
      <c r="H33" s="151">
        <f>PrF!N33/1000</f>
        <v>0</v>
      </c>
      <c r="I33" s="151">
        <f>FSS!N33/1000</f>
        <v>0</v>
      </c>
      <c r="J33" s="151">
        <f>PřF!N33/1000</f>
        <v>0</v>
      </c>
      <c r="K33" s="151">
        <f>'FI'!N33/1000</f>
        <v>0</v>
      </c>
      <c r="L33" s="151">
        <f>PdF!N33/1000</f>
        <v>0</v>
      </c>
      <c r="M33" s="151">
        <f>FSpS!N33/1000</f>
        <v>0</v>
      </c>
      <c r="N33" s="151">
        <f>ESF!N33/1000</f>
        <v>0</v>
      </c>
      <c r="O33" s="490">
        <f t="shared" si="4"/>
        <v>0</v>
      </c>
      <c r="P33" s="504"/>
      <c r="Q33" s="96">
        <f>'fak plan'!O33</f>
        <v>7314</v>
      </c>
      <c r="R33" s="96">
        <f>LF!Q33/1000+'FF'!Q33/1000+PrF!Q33/1000+FSS!Q33/1000+PřF!Q33/1000+'FI'!Q33/1000+PdF!Q33/1000+FSpS!Q33/1000+ESF!Q33/1000</f>
        <v>6.818</v>
      </c>
      <c r="S33" s="96">
        <f>(LF!P33+'FF'!P33+PrF!P33+FSS!P33+PřF!P33+'FI'!P33+PdF!P33+FSpS!P33+ESF!P33)/1000</f>
        <v>0</v>
      </c>
      <c r="T33" s="72"/>
      <c r="U33" s="403"/>
    </row>
    <row r="34" spans="1:21" s="25" customFormat="1" ht="12">
      <c r="A34" s="21"/>
      <c r="B34" s="31" t="s">
        <v>52</v>
      </c>
      <c r="C34" s="31"/>
      <c r="D34" s="31"/>
      <c r="E34" s="276">
        <v>32</v>
      </c>
      <c r="F34" s="94">
        <f>LF!N34/1000</f>
        <v>0</v>
      </c>
      <c r="G34" s="151">
        <f>'FF'!N34/1000</f>
        <v>0</v>
      </c>
      <c r="H34" s="151">
        <f>PrF!N34/1000</f>
        <v>0</v>
      </c>
      <c r="I34" s="151">
        <f>FSS!N34/1000</f>
        <v>0</v>
      </c>
      <c r="J34" s="151">
        <f>PřF!N34/1000</f>
        <v>0</v>
      </c>
      <c r="K34" s="151">
        <f>'FI'!N34/1000</f>
        <v>0</v>
      </c>
      <c r="L34" s="151">
        <f>PdF!N34/1000</f>
        <v>0</v>
      </c>
      <c r="M34" s="151">
        <f>FSpS!N34/1000</f>
        <v>0</v>
      </c>
      <c r="N34" s="151">
        <f>ESF!N34/1000</f>
        <v>0</v>
      </c>
      <c r="O34" s="490">
        <f t="shared" si="4"/>
        <v>0</v>
      </c>
      <c r="P34" s="504"/>
      <c r="Q34" s="96">
        <f>'fak plan'!O34</f>
        <v>0</v>
      </c>
      <c r="R34" s="96">
        <f>LF!Q34/1000+'FF'!Q34/1000+PrF!Q34/1000+FSS!Q34/1000+PřF!Q34/1000+'FI'!Q34/1000+PdF!Q34/1000+FSpS!Q34/1000+ESF!Q34/1000</f>
        <v>0</v>
      </c>
      <c r="S34" s="96">
        <f>(LF!P34+'FF'!P34+PrF!P34+FSS!P34+PřF!P34+'FI'!P34+PdF!P34+FSpS!P34+ESF!P34)/1000</f>
        <v>0</v>
      </c>
      <c r="T34" s="72"/>
      <c r="U34" s="403"/>
    </row>
    <row r="35" spans="1:21" s="25" customFormat="1" ht="12">
      <c r="A35" s="21"/>
      <c r="B35" s="31" t="s">
        <v>36</v>
      </c>
      <c r="C35" s="31"/>
      <c r="D35" s="31"/>
      <c r="E35" s="276">
        <v>33</v>
      </c>
      <c r="F35" s="94">
        <f>LF!N35/1000</f>
        <v>0</v>
      </c>
      <c r="G35" s="151">
        <f>'FF'!N35/1000</f>
        <v>0</v>
      </c>
      <c r="H35" s="151">
        <f>PrF!N35/1000</f>
        <v>0</v>
      </c>
      <c r="I35" s="151">
        <f>FSS!N35/1000</f>
        <v>0</v>
      </c>
      <c r="J35" s="151">
        <f>PřF!N35/1000</f>
        <v>0</v>
      </c>
      <c r="K35" s="151">
        <f>'FI'!N35/1000</f>
        <v>0</v>
      </c>
      <c r="L35" s="151">
        <f>PdF!N35/1000</f>
        <v>0</v>
      </c>
      <c r="M35" s="151">
        <f>FSpS!N35/1000</f>
        <v>0</v>
      </c>
      <c r="N35" s="151">
        <f>ESF!N35/1000</f>
        <v>0</v>
      </c>
      <c r="O35" s="490">
        <f t="shared" si="4"/>
        <v>0</v>
      </c>
      <c r="P35" s="504"/>
      <c r="Q35" s="96">
        <f>'fak plan'!O35</f>
        <v>19350</v>
      </c>
      <c r="R35" s="96">
        <f>LF!Q35/1000+'FF'!Q35/1000+PrF!Q35/1000+FSS!Q35/1000+PřF!Q35/1000+'FI'!Q35/1000+PdF!Q35/1000+FSpS!Q35/1000+ESF!Q35/1000</f>
        <v>20.332</v>
      </c>
      <c r="S35" s="96">
        <f>(LF!P35+'FF'!P35+PrF!P35+FSS!P35+PřF!P35+'FI'!P35+PdF!P35+FSpS!P35+ESF!P35)/1000</f>
        <v>3</v>
      </c>
      <c r="T35" s="72"/>
      <c r="U35" s="403"/>
    </row>
    <row r="36" spans="1:21" s="25" customFormat="1" ht="12">
      <c r="A36" s="21"/>
      <c r="B36" s="31" t="s">
        <v>38</v>
      </c>
      <c r="C36" s="31"/>
      <c r="D36" s="31"/>
      <c r="E36" s="276">
        <v>34</v>
      </c>
      <c r="F36" s="94">
        <f>LF!N36/1000</f>
        <v>0</v>
      </c>
      <c r="G36" s="151">
        <f>'FF'!N36/1000</f>
        <v>0</v>
      </c>
      <c r="H36" s="151">
        <f>PrF!N36/1000</f>
        <v>0</v>
      </c>
      <c r="I36" s="151">
        <f>FSS!N36/1000</f>
        <v>0</v>
      </c>
      <c r="J36" s="151">
        <f>PřF!N36/1000</f>
        <v>0</v>
      </c>
      <c r="K36" s="151">
        <f>'FI'!N36/1000</f>
        <v>0</v>
      </c>
      <c r="L36" s="151">
        <f>PdF!N36/1000</f>
        <v>0</v>
      </c>
      <c r="M36" s="151">
        <f>FSpS!N36/1000</f>
        <v>0</v>
      </c>
      <c r="N36" s="151">
        <f>ESF!N36/1000</f>
        <v>0</v>
      </c>
      <c r="O36" s="490">
        <f t="shared" si="4"/>
        <v>0</v>
      </c>
      <c r="P36" s="504"/>
      <c r="Q36" s="96">
        <f>'fak plan'!O36</f>
        <v>230157</v>
      </c>
      <c r="R36" s="96">
        <f>LF!Q36/1000+'FF'!Q36/1000+PrF!Q36/1000+FSS!Q36/1000+PřF!Q36/1000+'FI'!Q36/1000+PdF!Q36/1000+FSpS!Q36/1000+ESF!Q36/1000</f>
        <v>126.43900000000001</v>
      </c>
      <c r="S36" s="96">
        <f>(LF!P36+'FF'!P36+PrF!P36+FSS!P36+PřF!P36+'FI'!P36+PdF!P36+FSpS!P36+ESF!P36)/1000</f>
        <v>0</v>
      </c>
      <c r="T36" s="72"/>
      <c r="U36" s="403"/>
    </row>
    <row r="37" spans="1:21" s="25" customFormat="1" ht="12">
      <c r="A37" s="21"/>
      <c r="B37" s="31" t="s">
        <v>54</v>
      </c>
      <c r="C37" s="31"/>
      <c r="D37" s="31"/>
      <c r="E37" s="276">
        <v>35</v>
      </c>
      <c r="F37" s="94">
        <f>LF!N37/1000</f>
        <v>0</v>
      </c>
      <c r="G37" s="151">
        <f>'FF'!N37/1000</f>
        <v>0</v>
      </c>
      <c r="H37" s="151">
        <f>PrF!N37/1000</f>
        <v>0</v>
      </c>
      <c r="I37" s="151">
        <f>FSS!N37/1000</f>
        <v>0</v>
      </c>
      <c r="J37" s="151">
        <f>PřF!N37/1000</f>
        <v>0</v>
      </c>
      <c r="K37" s="151">
        <f>'FI'!N37/1000</f>
        <v>0</v>
      </c>
      <c r="L37" s="151">
        <f>PdF!N37/1000</f>
        <v>0</v>
      </c>
      <c r="M37" s="151">
        <f>FSpS!N37/1000</f>
        <v>0</v>
      </c>
      <c r="N37" s="151">
        <f>ESF!N37/1000</f>
        <v>0</v>
      </c>
      <c r="O37" s="490">
        <f t="shared" si="4"/>
        <v>0</v>
      </c>
      <c r="P37" s="504"/>
      <c r="Q37" s="96">
        <f>'fak plan'!O37</f>
        <v>23613</v>
      </c>
      <c r="R37" s="96">
        <f>LF!Q37/1000+'FF'!Q37/1000+PrF!Q37/1000+FSS!Q37/1000+PřF!Q37/1000+'FI'!Q37/1000+PdF!Q37/1000+FSpS!Q37/1000+ESF!Q37/1000</f>
        <v>34.119</v>
      </c>
      <c r="S37" s="96">
        <f>(LF!P37+'FF'!P37+PrF!P37+FSS!P37+PřF!P37+'FI'!P37+PdF!P37+FSpS!P37+ESF!P37)/1000</f>
        <v>0.152</v>
      </c>
      <c r="T37" s="72"/>
      <c r="U37" s="403"/>
    </row>
    <row r="38" spans="1:21" s="25" customFormat="1" ht="12">
      <c r="A38" s="21"/>
      <c r="B38" s="31" t="s">
        <v>170</v>
      </c>
      <c r="C38" s="31"/>
      <c r="D38" s="31"/>
      <c r="E38" s="276">
        <v>36</v>
      </c>
      <c r="F38" s="94">
        <f>LF!N38/1000</f>
        <v>0</v>
      </c>
      <c r="G38" s="151">
        <f>'FF'!N38/1000</f>
        <v>0</v>
      </c>
      <c r="H38" s="151">
        <f>PrF!N38/1000</f>
        <v>0</v>
      </c>
      <c r="I38" s="151">
        <f>FSS!N38/1000</f>
        <v>0</v>
      </c>
      <c r="J38" s="151">
        <f>PřF!N38/1000</f>
        <v>0</v>
      </c>
      <c r="K38" s="151">
        <f>'FI'!N38/1000</f>
        <v>0</v>
      </c>
      <c r="L38" s="151">
        <f>PdF!N38/1000</f>
        <v>0</v>
      </c>
      <c r="M38" s="151">
        <f>FSpS!N38/1000</f>
        <v>0</v>
      </c>
      <c r="N38" s="151">
        <f>ESF!N38/1000</f>
        <v>0</v>
      </c>
      <c r="O38" s="490">
        <f t="shared" si="4"/>
        <v>0</v>
      </c>
      <c r="P38" s="504"/>
      <c r="Q38" s="96">
        <f>'fak plan'!O38</f>
        <v>284667</v>
      </c>
      <c r="R38" s="96">
        <f>LF!Q38/1000+'FF'!Q38/1000+PrF!Q38/1000+FSS!Q38/1000+PřF!Q38/1000+'FI'!Q38/1000+PdF!Q38/1000+FSpS!Q38/1000+ESF!Q38/1000</f>
        <v>138.60600000000002</v>
      </c>
      <c r="S38" s="96">
        <f>(LF!P38+'FF'!P38+PrF!P38+FSS!P38+PřF!P38+'FI'!P38+PdF!P38+FSpS!P38+ESF!P38)/1000</f>
        <v>0</v>
      </c>
      <c r="T38" s="72"/>
      <c r="U38" s="403"/>
    </row>
    <row r="39" spans="1:21" s="25" customFormat="1" ht="12">
      <c r="A39" s="21"/>
      <c r="B39" s="31" t="s">
        <v>56</v>
      </c>
      <c r="C39" s="31"/>
      <c r="D39" s="31"/>
      <c r="E39" s="276">
        <v>37</v>
      </c>
      <c r="F39" s="94">
        <f>LF!N39/1000</f>
        <v>0</v>
      </c>
      <c r="G39" s="151">
        <f>'FF'!N39/1000</f>
        <v>0</v>
      </c>
      <c r="H39" s="151">
        <f>PrF!N39/1000</f>
        <v>0</v>
      </c>
      <c r="I39" s="151">
        <f>FSS!N39/1000</f>
        <v>0</v>
      </c>
      <c r="J39" s="151">
        <f>PřF!N39/1000</f>
        <v>0</v>
      </c>
      <c r="K39" s="151">
        <f>'FI'!N39/1000</f>
        <v>0</v>
      </c>
      <c r="L39" s="151">
        <f>PdF!N39/1000</f>
        <v>0</v>
      </c>
      <c r="M39" s="151">
        <f>FSpS!N39/1000</f>
        <v>0</v>
      </c>
      <c r="N39" s="151">
        <f>ESF!N39/1000</f>
        <v>0</v>
      </c>
      <c r="O39" s="490">
        <f t="shared" si="4"/>
        <v>0</v>
      </c>
      <c r="P39" s="504"/>
      <c r="Q39" s="96">
        <f>'fak plan'!O39</f>
        <v>129065</v>
      </c>
      <c r="R39" s="96">
        <f>LF!Q39/1000+'FF'!Q39/1000+PrF!Q39/1000+FSS!Q39/1000+PřF!Q39/1000+'FI'!Q39/1000+PdF!Q39/1000+FSpS!Q39/1000+ESF!Q39/1000</f>
        <v>242.52599999999998</v>
      </c>
      <c r="S39" s="96">
        <f>(LF!P39+'FF'!P39+PrF!P39+FSS!P39+PřF!P39+'FI'!P39+PdF!P39+FSpS!P39+ESF!P39)/1000</f>
        <v>0</v>
      </c>
      <c r="T39" s="72"/>
      <c r="U39" s="403"/>
    </row>
    <row r="40" spans="1:21" s="25" customFormat="1" ht="12">
      <c r="A40" s="21"/>
      <c r="B40" s="31" t="s">
        <v>57</v>
      </c>
      <c r="C40" s="31"/>
      <c r="D40" s="31"/>
      <c r="E40" s="276">
        <v>38</v>
      </c>
      <c r="F40" s="94">
        <f>LF!N40/1000</f>
        <v>0</v>
      </c>
      <c r="G40" s="151">
        <f>'FF'!N40/1000</f>
        <v>0</v>
      </c>
      <c r="H40" s="151">
        <f>PrF!N40/1000</f>
        <v>0</v>
      </c>
      <c r="I40" s="151">
        <f>FSS!N40/1000</f>
        <v>0</v>
      </c>
      <c r="J40" s="151">
        <f>PřF!N40/1000</f>
        <v>0</v>
      </c>
      <c r="K40" s="151">
        <f>'FI'!N40/1000</f>
        <v>0</v>
      </c>
      <c r="L40" s="151">
        <f>PdF!N40/1000</f>
        <v>0</v>
      </c>
      <c r="M40" s="151">
        <f>FSpS!N40/1000</f>
        <v>0</v>
      </c>
      <c r="N40" s="151">
        <f>ESF!N40/1000</f>
        <v>0</v>
      </c>
      <c r="O40" s="490">
        <f t="shared" si="4"/>
        <v>0</v>
      </c>
      <c r="P40" s="504"/>
      <c r="Q40" s="96">
        <f>'fak plan'!O40</f>
        <v>506844</v>
      </c>
      <c r="R40" s="96">
        <f>LF!Q40/1000+'FF'!Q40/1000+PrF!Q40/1000+FSS!Q40/1000+PřF!Q40/1000+'FI'!Q40/1000+PdF!Q40/1000+FSpS!Q40/1000+ESF!Q40/1000</f>
        <v>466.03200000000004</v>
      </c>
      <c r="S40" s="96">
        <f>(LF!P40+'FF'!P40+PrF!P40+FSS!P40+PřF!P40+'FI'!P40+PdF!P40+FSpS!P40+ESF!P40)/1000</f>
        <v>0</v>
      </c>
      <c r="T40" s="72"/>
      <c r="U40" s="403"/>
    </row>
    <row r="41" spans="1:21" s="25" customFormat="1" ht="12">
      <c r="A41" s="21"/>
      <c r="B41" s="31" t="s">
        <v>186</v>
      </c>
      <c r="C41" s="31"/>
      <c r="D41" s="31"/>
      <c r="E41" s="276">
        <v>39</v>
      </c>
      <c r="F41" s="94">
        <f>LF!N41/1000</f>
        <v>0</v>
      </c>
      <c r="G41" s="151">
        <f>'FF'!N41/1000</f>
        <v>0</v>
      </c>
      <c r="H41" s="151">
        <f>PrF!N41/1000</f>
        <v>0</v>
      </c>
      <c r="I41" s="151">
        <f>FSS!N41/1000</f>
        <v>0</v>
      </c>
      <c r="J41" s="151">
        <f>PřF!N41/1000</f>
        <v>0</v>
      </c>
      <c r="K41" s="151">
        <f>'FI'!N41/1000</f>
        <v>0</v>
      </c>
      <c r="L41" s="151">
        <f>PdF!N41/1000</f>
        <v>0</v>
      </c>
      <c r="M41" s="151">
        <f>FSpS!N41/1000</f>
        <v>0</v>
      </c>
      <c r="N41" s="151">
        <f>ESF!N41/1000</f>
        <v>0</v>
      </c>
      <c r="O41" s="490">
        <f t="shared" si="4"/>
        <v>0</v>
      </c>
      <c r="P41" s="504"/>
      <c r="Q41" s="96">
        <f>'fak plan'!O41</f>
        <v>85975</v>
      </c>
      <c r="R41" s="96">
        <f>LF!Q41/1000+'FF'!Q41/1000+PrF!Q41/1000+FSS!Q41/1000+PřF!Q41/1000+'FI'!Q41/1000+PdF!Q41/1000+FSpS!Q41/1000+ESF!Q41/1000</f>
        <v>62.079</v>
      </c>
      <c r="S41" s="96">
        <f>(LF!P41+'FF'!P41+PrF!P41+FSS!P41+PřF!P41+'FI'!P41+PdF!P41+FSpS!P41+ESF!P41)/1000</f>
        <v>6.162</v>
      </c>
      <c r="T41" s="72"/>
      <c r="U41" s="403"/>
    </row>
    <row r="42" spans="1:21" s="25" customFormat="1" ht="12">
      <c r="A42" s="21"/>
      <c r="B42" s="31" t="s">
        <v>58</v>
      </c>
      <c r="C42" s="31"/>
      <c r="D42" s="31"/>
      <c r="E42" s="276">
        <v>40</v>
      </c>
      <c r="F42" s="94">
        <f>LF!N42/1000</f>
        <v>0</v>
      </c>
      <c r="G42" s="151">
        <f>'FF'!N42/1000</f>
        <v>0</v>
      </c>
      <c r="H42" s="151">
        <f>PrF!N42/1000</f>
        <v>0</v>
      </c>
      <c r="I42" s="151">
        <f>FSS!N42/1000</f>
        <v>0</v>
      </c>
      <c r="J42" s="151">
        <f>PřF!N42/1000</f>
        <v>0</v>
      </c>
      <c r="K42" s="151">
        <f>'FI'!N42/1000</f>
        <v>0</v>
      </c>
      <c r="L42" s="151">
        <f>PdF!N42/1000</f>
        <v>0</v>
      </c>
      <c r="M42" s="151">
        <f>FSpS!N42/1000</f>
        <v>0</v>
      </c>
      <c r="N42" s="151">
        <f>ESF!N42/1000</f>
        <v>0</v>
      </c>
      <c r="O42" s="490">
        <f t="shared" si="4"/>
        <v>0</v>
      </c>
      <c r="P42" s="504"/>
      <c r="Q42" s="96">
        <f>'fak plan'!O42</f>
        <v>57033</v>
      </c>
      <c r="R42" s="96">
        <f>LF!Q42/1000+'FF'!Q42/1000+PrF!Q42/1000+FSS!Q42/1000+PřF!Q42/1000+'FI'!Q42/1000+PdF!Q42/1000+FSpS!Q42/1000+ESF!Q42/1000</f>
        <v>59.477000000000004</v>
      </c>
      <c r="S42" s="96">
        <f>(LF!P42+'FF'!P42+PrF!P42+FSS!P42+PřF!P42+'FI'!P42+PdF!P42+FSpS!P42+ESF!P42)/1000</f>
        <v>0.069</v>
      </c>
      <c r="T42" s="72"/>
      <c r="U42" s="403"/>
    </row>
    <row r="43" spans="1:21" s="25" customFormat="1" ht="12">
      <c r="A43" s="21"/>
      <c r="B43" s="31" t="s">
        <v>59</v>
      </c>
      <c r="C43" s="31"/>
      <c r="D43" s="31"/>
      <c r="E43" s="276">
        <v>41</v>
      </c>
      <c r="F43" s="94">
        <f>LF!N43/1000</f>
        <v>0</v>
      </c>
      <c r="G43" s="151">
        <f>'FF'!N43/1000</f>
        <v>0</v>
      </c>
      <c r="H43" s="151">
        <f>PrF!N43/1000</f>
        <v>0</v>
      </c>
      <c r="I43" s="151">
        <f>FSS!N43/1000</f>
        <v>0</v>
      </c>
      <c r="J43" s="151">
        <f>PřF!N43/1000</f>
        <v>0</v>
      </c>
      <c r="K43" s="151">
        <f>'FI'!N43/1000</f>
        <v>0</v>
      </c>
      <c r="L43" s="151">
        <f>PdF!N43/1000</f>
        <v>0</v>
      </c>
      <c r="M43" s="151">
        <f>FSpS!N43/1000</f>
        <v>0</v>
      </c>
      <c r="N43" s="151">
        <f>ESF!N43/1000</f>
        <v>0</v>
      </c>
      <c r="O43" s="490">
        <f t="shared" si="4"/>
        <v>0</v>
      </c>
      <c r="P43" s="504"/>
      <c r="Q43" s="96">
        <f>'fak plan'!O43</f>
        <v>421424</v>
      </c>
      <c r="R43" s="96">
        <f>LF!Q43/1000+'FF'!Q43/1000+PrF!Q43/1000+FSS!Q43/1000+PřF!Q43/1000+'FI'!Q43/1000+PdF!Q43/1000+FSpS!Q43/1000+ESF!Q43/1000</f>
        <v>424.86400000000003</v>
      </c>
      <c r="S43" s="96" t="e">
        <f>(LF!P43+'FF'!P43+PrF!P43+FSS!P43+PřF!P43+'FI'!P43+PdF!P43+FSpS!P43+ESF!P43)/1000</f>
        <v>#DIV/0!</v>
      </c>
      <c r="T43" s="72"/>
      <c r="U43" s="403"/>
    </row>
    <row r="44" spans="1:21" s="25" customFormat="1" ht="12">
      <c r="A44" s="21"/>
      <c r="B44" s="31" t="s">
        <v>60</v>
      </c>
      <c r="C44" s="31"/>
      <c r="D44" s="31"/>
      <c r="E44" s="276">
        <v>42</v>
      </c>
      <c r="F44" s="94">
        <f>LF!N44/1000</f>
        <v>0</v>
      </c>
      <c r="G44" s="151">
        <f>'FF'!N44/1000</f>
        <v>0</v>
      </c>
      <c r="H44" s="151">
        <f>PrF!N44/1000</f>
        <v>0</v>
      </c>
      <c r="I44" s="151">
        <f>FSS!N44/1000</f>
        <v>0</v>
      </c>
      <c r="J44" s="151">
        <f>PřF!N44/1000</f>
        <v>0</v>
      </c>
      <c r="K44" s="151">
        <f>'FI'!N44/1000</f>
        <v>0</v>
      </c>
      <c r="L44" s="151">
        <f>PdF!N44/1000</f>
        <v>0</v>
      </c>
      <c r="M44" s="151">
        <f>FSpS!N44/1000</f>
        <v>0</v>
      </c>
      <c r="N44" s="151">
        <f>ESF!N44/1000</f>
        <v>0</v>
      </c>
      <c r="O44" s="490">
        <f t="shared" si="4"/>
        <v>0</v>
      </c>
      <c r="P44" s="504"/>
      <c r="Q44" s="96">
        <f>'fak plan'!O44</f>
        <v>250294</v>
      </c>
      <c r="R44" s="96">
        <f>LF!Q44/1000+'FF'!Q44/1000+PrF!Q44/1000+FSS!Q44/1000+PřF!Q44/1000+'FI'!Q44/1000+PdF!Q44/1000+FSpS!Q44/1000+ESF!Q44/1000</f>
        <v>154.023</v>
      </c>
      <c r="S44" s="96">
        <f>(LF!P44+'FF'!P44+PrF!P44+FSS!P44+PřF!P44+'FI'!P44+PdF!P44+FSpS!P44+ESF!P44)/1000</f>
        <v>0</v>
      </c>
      <c r="T44" s="72"/>
      <c r="U44" s="403"/>
    </row>
    <row r="45" spans="1:21" s="25" customFormat="1" ht="12">
      <c r="A45" s="40"/>
      <c r="B45" s="41" t="s">
        <v>47</v>
      </c>
      <c r="C45" s="41"/>
      <c r="D45" s="41"/>
      <c r="E45" s="277">
        <v>43</v>
      </c>
      <c r="F45" s="166">
        <f>LF!N45/1000</f>
        <v>0</v>
      </c>
      <c r="G45" s="195">
        <f>'FF'!N45/1000</f>
        <v>0</v>
      </c>
      <c r="H45" s="195">
        <f>PrF!N45/1000</f>
        <v>0</v>
      </c>
      <c r="I45" s="195">
        <f>FSS!N45/1000</f>
        <v>0</v>
      </c>
      <c r="J45" s="195">
        <f>PřF!N45/1000</f>
        <v>0</v>
      </c>
      <c r="K45" s="195">
        <f>'FI'!N45/1000</f>
        <v>0</v>
      </c>
      <c r="L45" s="195">
        <f>PdF!N45/1000</f>
        <v>0</v>
      </c>
      <c r="M45" s="195">
        <f>FSpS!N45/1000</f>
        <v>0</v>
      </c>
      <c r="N45" s="195">
        <f>ESF!N45/1000</f>
        <v>0</v>
      </c>
      <c r="O45" s="870">
        <f t="shared" si="4"/>
        <v>0</v>
      </c>
      <c r="P45" s="506"/>
      <c r="Q45" s="100">
        <f>'fak plan'!O45</f>
        <v>38423</v>
      </c>
      <c r="R45" s="100">
        <f>LF!Q45/1000+'FF'!Q45/1000+PrF!Q45/1000+FSS!Q45/1000+PřF!Q45/1000+'FI'!Q45/1000+PdF!Q45/1000+FSpS!Q45/1000+ESF!Q45/1000</f>
        <v>43.288000000000004</v>
      </c>
      <c r="S45" s="100" t="e">
        <f>(LF!P45+'FF'!P45+PrF!P45+FSS!P45+PřF!P45+'FI'!P45+PdF!P45+FSpS!P45+ESF!P45)/1000</f>
        <v>#DIV/0!</v>
      </c>
      <c r="T45" s="72"/>
      <c r="U45" s="403"/>
    </row>
    <row r="46" spans="1:21" s="25" customFormat="1" ht="12.75" thickBot="1">
      <c r="A46" s="44" t="s">
        <v>61</v>
      </c>
      <c r="B46" s="45"/>
      <c r="C46" s="45"/>
      <c r="D46" s="45"/>
      <c r="E46" s="275">
        <v>44</v>
      </c>
      <c r="F46" s="102">
        <f aca="true" t="shared" si="5" ref="F46:O46">F29+F34+F38+F43+F44+F45-F4-F27</f>
        <v>0</v>
      </c>
      <c r="G46" s="196">
        <f t="shared" si="5"/>
        <v>0</v>
      </c>
      <c r="H46" s="196">
        <f t="shared" si="5"/>
        <v>0</v>
      </c>
      <c r="I46" s="196">
        <f t="shared" si="5"/>
        <v>0</v>
      </c>
      <c r="J46" s="196">
        <f t="shared" si="5"/>
        <v>0</v>
      </c>
      <c r="K46" s="196">
        <f t="shared" si="5"/>
        <v>0</v>
      </c>
      <c r="L46" s="196">
        <f t="shared" si="5"/>
        <v>0</v>
      </c>
      <c r="M46" s="196">
        <f t="shared" si="5"/>
        <v>0</v>
      </c>
      <c r="N46" s="196">
        <f t="shared" si="5"/>
        <v>0</v>
      </c>
      <c r="O46" s="871">
        <f t="shared" si="5"/>
        <v>0</v>
      </c>
      <c r="P46" s="180">
        <f>P29+P34+P38+P43+P44+P45+-P4-P27</f>
        <v>0</v>
      </c>
      <c r="Q46" s="92">
        <f>(LF!N46+'FF'!N46+PrF!N46+FSS!N46+PřF!N46+'FI'!N46+PdF!N46+FSpS!N46+ESF!N46)/1000</f>
        <v>0</v>
      </c>
      <c r="R46" s="92">
        <f>LF!Q46/1000+'FF'!Q46/1000+PrF!Q46/1000+FSS!Q46/1000+PřF!Q46/1000+'FI'!Q46/1000+PdF!Q46/1000+FSpS!Q46/1000+ESF!Q46/1000</f>
        <v>108.857</v>
      </c>
      <c r="S46" s="486" t="e">
        <f>(LF!P46+'FF'!P46+PrF!P46+FSS!P46+PřF!P46+'FI'!P46+PdF!P46+FSpS!P46+ESF!P46)/1000</f>
        <v>#DIV/0!</v>
      </c>
      <c r="T46" s="72"/>
      <c r="U46" s="403"/>
    </row>
    <row r="47" spans="1:19" ht="13.5" thickBot="1">
      <c r="A47" s="37" t="s">
        <v>62</v>
      </c>
      <c r="B47" s="38"/>
      <c r="C47" s="38"/>
      <c r="D47" s="38"/>
      <c r="E47" s="272">
        <v>45</v>
      </c>
      <c r="F47" s="207">
        <f aca="true" t="shared" si="6" ref="F47:S47">F28-F3</f>
        <v>0</v>
      </c>
      <c r="G47" s="191">
        <f t="shared" si="6"/>
        <v>0</v>
      </c>
      <c r="H47" s="191">
        <f t="shared" si="6"/>
        <v>0</v>
      </c>
      <c r="I47" s="191">
        <f t="shared" si="6"/>
        <v>0</v>
      </c>
      <c r="J47" s="194">
        <f t="shared" si="6"/>
        <v>0</v>
      </c>
      <c r="K47" s="194">
        <f t="shared" si="6"/>
        <v>0</v>
      </c>
      <c r="L47" s="194">
        <f t="shared" si="6"/>
        <v>0</v>
      </c>
      <c r="M47" s="194">
        <f t="shared" si="6"/>
        <v>0</v>
      </c>
      <c r="N47" s="191">
        <f t="shared" si="6"/>
        <v>0</v>
      </c>
      <c r="O47" s="172">
        <f t="shared" si="6"/>
        <v>0</v>
      </c>
      <c r="P47" s="265">
        <f t="shared" si="6"/>
        <v>0</v>
      </c>
      <c r="Q47" s="78">
        <f t="shared" si="6"/>
        <v>16706</v>
      </c>
      <c r="R47" s="78">
        <f t="shared" si="6"/>
        <v>48.986999999999625</v>
      </c>
      <c r="S47" s="78" t="e">
        <f t="shared" si="6"/>
        <v>#DIV/0!</v>
      </c>
    </row>
    <row r="48" spans="1:5" ht="10.5" customHeight="1">
      <c r="A48" s="47"/>
      <c r="B48" s="47"/>
      <c r="C48" s="47"/>
      <c r="D48" s="47"/>
      <c r="E48" s="48"/>
    </row>
    <row r="49" spans="1:18" ht="13.5" customHeight="1">
      <c r="A49" s="47"/>
      <c r="B49" s="47"/>
      <c r="C49" s="47"/>
      <c r="D49" s="47" t="s">
        <v>163</v>
      </c>
      <c r="E49" s="48"/>
      <c r="F49" s="521">
        <f>LF!N49/1000</f>
        <v>0</v>
      </c>
      <c r="G49" s="521">
        <f>'FF'!N49/1000</f>
        <v>0</v>
      </c>
      <c r="H49" s="521">
        <f>PrF!N49/1000</f>
        <v>0</v>
      </c>
      <c r="I49" s="521">
        <f>FSS!N49/1000</f>
        <v>0</v>
      </c>
      <c r="J49" s="521">
        <f>PřF!N49/1000</f>
        <v>0</v>
      </c>
      <c r="K49" s="521">
        <f>'FI'!N49/1000</f>
        <v>0</v>
      </c>
      <c r="L49" s="521">
        <f>PdF!N49/1000</f>
        <v>0</v>
      </c>
      <c r="M49" s="521">
        <f>FSpS!N49/1000</f>
        <v>0</v>
      </c>
      <c r="N49" s="521">
        <f>ESF!N49/1000</f>
        <v>0</v>
      </c>
      <c r="O49" s="521">
        <f>fak!N49/1000</f>
        <v>0</v>
      </c>
      <c r="R49" s="527">
        <f>fak!Q49/1000</f>
        <v>0</v>
      </c>
    </row>
    <row r="50" spans="1:5" ht="8.25" customHeight="1">
      <c r="A50" s="47"/>
      <c r="B50" s="47"/>
      <c r="C50" s="47"/>
      <c r="D50" s="47"/>
      <c r="E50" s="48"/>
    </row>
    <row r="51" spans="1:21" s="47" customFormat="1" ht="13.5" customHeight="1">
      <c r="A51" s="1054" t="s">
        <v>164</v>
      </c>
      <c r="B51" s="1055"/>
      <c r="C51" s="1055"/>
      <c r="D51" s="1055"/>
      <c r="E51" s="48"/>
      <c r="F51" s="338">
        <f>LF!I52/1000</f>
        <v>0</v>
      </c>
      <c r="G51" s="338">
        <f>'FF'!I50/1000</f>
        <v>0</v>
      </c>
      <c r="H51" s="338">
        <f>PrF!I50/1000</f>
        <v>0</v>
      </c>
      <c r="I51" s="338">
        <f>FSS!I50/1000</f>
        <v>0</v>
      </c>
      <c r="J51" s="339">
        <f>PřF!I50/1000</f>
        <v>1</v>
      </c>
      <c r="K51" s="339">
        <f>'FI'!I50/1000</f>
        <v>3.833</v>
      </c>
      <c r="L51" s="339">
        <f>PdF!I50/1000</f>
        <v>0</v>
      </c>
      <c r="M51" s="339">
        <f>FSpS!I50/1000</f>
        <v>0</v>
      </c>
      <c r="N51" s="339">
        <f>ESF!I50/1000</f>
        <v>0</v>
      </c>
      <c r="O51" s="494">
        <f>fak!I50/1000</f>
        <v>4.833</v>
      </c>
      <c r="Q51" s="234"/>
      <c r="R51" s="234"/>
      <c r="S51" s="405"/>
      <c r="T51" s="72"/>
      <c r="U51" s="405"/>
    </row>
  </sheetData>
  <mergeCells count="4">
    <mergeCell ref="A1:D1"/>
    <mergeCell ref="C2:D2"/>
    <mergeCell ref="A51:D51"/>
    <mergeCell ref="T1:T2"/>
  </mergeCells>
  <conditionalFormatting sqref="F46:N47">
    <cfRule type="cellIs" priority="1" dxfId="0" operator="lessThan" stopIfTrue="1">
      <formula>0</formula>
    </cfRule>
  </conditionalFormatting>
  <printOptions horizontalCentered="1" verticalCentered="1"/>
  <pageMargins left="0.31496062992125984" right="0.2755905511811024" top="0.69" bottom="0.35433070866141736" header="0.1968503937007874" footer="0.2755905511811024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Z50"/>
  <sheetViews>
    <sheetView workbookViewId="0" topLeftCell="A47">
      <selection activeCell="A50" sqref="A50:IV50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60" bestFit="1" customWidth="1"/>
    <col min="6" max="9" width="7.25390625" style="59" customWidth="1"/>
    <col min="10" max="10" width="9.00390625" style="59" customWidth="1"/>
    <col min="11" max="14" width="7.25390625" style="59" customWidth="1"/>
    <col min="15" max="15" width="8.875" style="59" customWidth="1"/>
    <col min="16" max="16" width="5.125" style="0" hidden="1" customWidth="1"/>
    <col min="17" max="17" width="8.125" style="59" customWidth="1"/>
    <col min="18" max="18" width="6.875" style="59" customWidth="1"/>
    <col min="19" max="19" width="6.125" style="59" customWidth="1"/>
    <col min="20" max="20" width="5.625" style="59" customWidth="1"/>
    <col min="21" max="21" width="6.625" style="59" customWidth="1"/>
    <col min="22" max="22" width="6.75390625" style="59" customWidth="1"/>
    <col min="23" max="23" width="10.25390625" style="59" hidden="1" customWidth="1"/>
    <col min="24" max="24" width="9.125" style="72" customWidth="1"/>
    <col min="25" max="25" width="9.25390625" style="59" customWidth="1"/>
    <col min="26" max="26" width="6.625" style="402" customWidth="1"/>
  </cols>
  <sheetData>
    <row r="1" spans="1:24" ht="15.75" customHeight="1">
      <c r="A1" s="1046" t="s">
        <v>201</v>
      </c>
      <c r="B1" s="1047"/>
      <c r="C1" s="1047"/>
      <c r="D1" s="1048"/>
      <c r="E1" s="270"/>
      <c r="F1" s="244" t="s">
        <v>97</v>
      </c>
      <c r="G1" s="189" t="s">
        <v>109</v>
      </c>
      <c r="H1" s="189" t="s">
        <v>110</v>
      </c>
      <c r="I1" s="189" t="s">
        <v>111</v>
      </c>
      <c r="J1" s="189" t="s">
        <v>98</v>
      </c>
      <c r="K1" s="189" t="s">
        <v>112</v>
      </c>
      <c r="L1" s="189" t="s">
        <v>113</v>
      </c>
      <c r="M1" s="189" t="s">
        <v>114</v>
      </c>
      <c r="N1" s="189" t="s">
        <v>115</v>
      </c>
      <c r="O1" s="67" t="s">
        <v>7</v>
      </c>
      <c r="P1" s="263" t="s">
        <v>1</v>
      </c>
      <c r="Q1" s="66" t="s">
        <v>2</v>
      </c>
      <c r="R1" s="1049" t="s">
        <v>3</v>
      </c>
      <c r="S1" s="1050"/>
      <c r="T1" s="1050"/>
      <c r="U1" s="1050"/>
      <c r="V1" s="1051"/>
      <c r="W1" s="67" t="s">
        <v>4</v>
      </c>
      <c r="X1" s="947" t="s">
        <v>4</v>
      </c>
    </row>
    <row r="2" spans="1:26" s="16" customFormat="1" ht="13.5" thickBot="1">
      <c r="A2" s="298" t="s">
        <v>127</v>
      </c>
      <c r="B2" s="7"/>
      <c r="C2" s="1052" t="s">
        <v>118</v>
      </c>
      <c r="D2" s="1053"/>
      <c r="E2" s="271" t="s">
        <v>5</v>
      </c>
      <c r="F2" s="69">
        <v>11</v>
      </c>
      <c r="G2" s="190">
        <v>21</v>
      </c>
      <c r="H2" s="190">
        <v>22</v>
      </c>
      <c r="I2" s="190">
        <v>23</v>
      </c>
      <c r="J2" s="190">
        <v>31</v>
      </c>
      <c r="K2" s="190">
        <v>33</v>
      </c>
      <c r="L2" s="190">
        <v>41</v>
      </c>
      <c r="M2" s="190">
        <v>51</v>
      </c>
      <c r="N2" s="190">
        <v>56</v>
      </c>
      <c r="O2" s="71" t="s">
        <v>108</v>
      </c>
      <c r="P2" s="264" t="s">
        <v>7</v>
      </c>
      <c r="Q2" s="68" t="s">
        <v>8</v>
      </c>
      <c r="R2" s="69" t="s">
        <v>9</v>
      </c>
      <c r="S2" s="70" t="s">
        <v>10</v>
      </c>
      <c r="T2" s="70" t="s">
        <v>11</v>
      </c>
      <c r="U2" s="70" t="s">
        <v>11</v>
      </c>
      <c r="V2" s="70" t="s">
        <v>12</v>
      </c>
      <c r="W2" s="71">
        <v>2011</v>
      </c>
      <c r="X2" s="953">
        <v>2010</v>
      </c>
      <c r="Y2" s="59"/>
      <c r="Z2" s="402"/>
    </row>
    <row r="3" spans="1:26" ht="13.5" thickBot="1">
      <c r="A3" s="17" t="s">
        <v>13</v>
      </c>
      <c r="B3" s="18"/>
      <c r="C3" s="18"/>
      <c r="D3" s="18"/>
      <c r="E3" s="272">
        <v>1</v>
      </c>
      <c r="F3" s="207">
        <f aca="true" t="shared" si="0" ref="F3:X3">SUM(F5:F27)</f>
        <v>675224</v>
      </c>
      <c r="G3" s="191">
        <f t="shared" si="0"/>
        <v>474456</v>
      </c>
      <c r="H3" s="191">
        <f t="shared" si="0"/>
        <v>167627</v>
      </c>
      <c r="I3" s="191">
        <f t="shared" si="0"/>
        <v>229910</v>
      </c>
      <c r="J3" s="191">
        <f t="shared" si="0"/>
        <v>1071167</v>
      </c>
      <c r="K3" s="191">
        <f t="shared" si="0"/>
        <v>241362</v>
      </c>
      <c r="L3" s="191">
        <f t="shared" si="0"/>
        <v>301504</v>
      </c>
      <c r="M3" s="191">
        <f t="shared" si="0"/>
        <v>119118</v>
      </c>
      <c r="N3" s="191">
        <f t="shared" si="0"/>
        <v>192348</v>
      </c>
      <c r="O3" s="110">
        <f t="shared" si="0"/>
        <v>3472716</v>
      </c>
      <c r="P3" s="265">
        <f t="shared" si="0"/>
        <v>0</v>
      </c>
      <c r="Q3" s="76">
        <f t="shared" si="0"/>
        <v>3199942</v>
      </c>
      <c r="R3" s="77">
        <f t="shared" si="0"/>
        <v>179735</v>
      </c>
      <c r="S3" s="77">
        <f t="shared" si="0"/>
        <v>23397</v>
      </c>
      <c r="T3" s="77">
        <f t="shared" si="0"/>
        <v>2000</v>
      </c>
      <c r="U3" s="77">
        <f>SUM(U5:U27)</f>
        <v>21572</v>
      </c>
      <c r="V3" s="76">
        <f t="shared" si="0"/>
        <v>46070</v>
      </c>
      <c r="W3" s="78">
        <f t="shared" si="0"/>
        <v>0</v>
      </c>
      <c r="X3" s="588">
        <f t="shared" si="0"/>
        <v>3259897</v>
      </c>
      <c r="Y3" s="239"/>
      <c r="Z3" s="1023"/>
    </row>
    <row r="4" spans="1:26" s="25" customFormat="1" ht="12.75">
      <c r="A4" s="21" t="s">
        <v>14</v>
      </c>
      <c r="B4" s="22" t="s">
        <v>15</v>
      </c>
      <c r="C4" s="22"/>
      <c r="D4" s="22"/>
      <c r="E4" s="273">
        <v>2</v>
      </c>
      <c r="F4" s="79">
        <f aca="true" t="shared" si="1" ref="F4:X4">SUM(F5:F15)</f>
        <v>473060</v>
      </c>
      <c r="G4" s="192">
        <f t="shared" si="1"/>
        <v>329118</v>
      </c>
      <c r="H4" s="192">
        <f t="shared" si="1"/>
        <v>136843</v>
      </c>
      <c r="I4" s="192">
        <f t="shared" si="1"/>
        <v>148885</v>
      </c>
      <c r="J4" s="192">
        <f t="shared" si="1"/>
        <v>481878</v>
      </c>
      <c r="K4" s="192">
        <f t="shared" si="1"/>
        <v>156745</v>
      </c>
      <c r="L4" s="192">
        <f t="shared" si="1"/>
        <v>243710</v>
      </c>
      <c r="M4" s="192">
        <f t="shared" si="1"/>
        <v>80429</v>
      </c>
      <c r="N4" s="192">
        <f t="shared" si="1"/>
        <v>144655</v>
      </c>
      <c r="O4" s="111">
        <f t="shared" si="1"/>
        <v>2195323</v>
      </c>
      <c r="P4" s="178">
        <f t="shared" si="1"/>
        <v>0</v>
      </c>
      <c r="Q4" s="80">
        <f t="shared" si="1"/>
        <v>1942959</v>
      </c>
      <c r="R4" s="81">
        <f t="shared" si="1"/>
        <v>179294</v>
      </c>
      <c r="S4" s="81">
        <f t="shared" si="1"/>
        <v>3428</v>
      </c>
      <c r="T4" s="81">
        <f t="shared" si="1"/>
        <v>2000</v>
      </c>
      <c r="U4" s="81">
        <f>SUM(U5:U15)</f>
        <v>21572</v>
      </c>
      <c r="V4" s="80">
        <f t="shared" si="1"/>
        <v>46070</v>
      </c>
      <c r="W4" s="82">
        <f t="shared" si="1"/>
        <v>0</v>
      </c>
      <c r="X4" s="954">
        <f t="shared" si="1"/>
        <v>1996131</v>
      </c>
      <c r="Y4" s="239"/>
      <c r="Z4" s="1023"/>
    </row>
    <row r="5" spans="1:26" s="65" customFormat="1" ht="12.75">
      <c r="A5" s="61"/>
      <c r="B5" s="62"/>
      <c r="C5" s="62" t="s">
        <v>16</v>
      </c>
      <c r="D5" s="63" t="s">
        <v>17</v>
      </c>
      <c r="E5" s="274">
        <v>3</v>
      </c>
      <c r="F5" s="220">
        <f>LF!F5</f>
        <v>201495</v>
      </c>
      <c r="G5" s="193">
        <f>'FF'!F5</f>
        <v>158688</v>
      </c>
      <c r="H5" s="193">
        <f>PrF!F5</f>
        <v>66000</v>
      </c>
      <c r="I5" s="193">
        <f>FSS!F5</f>
        <v>75300</v>
      </c>
      <c r="J5" s="193">
        <f>PřF!F5</f>
        <v>193489</v>
      </c>
      <c r="K5" s="193">
        <f>'FI'!F5</f>
        <v>60526</v>
      </c>
      <c r="L5" s="193">
        <f>PdF!F5</f>
        <v>111510</v>
      </c>
      <c r="M5" s="193">
        <f>FSpS!F5</f>
        <v>33810</v>
      </c>
      <c r="N5" s="193">
        <f>ESF!F5</f>
        <v>66513</v>
      </c>
      <c r="O5" s="164">
        <f aca="true" t="shared" si="2" ref="O5:O27">SUM(F5:N5)</f>
        <v>967331</v>
      </c>
      <c r="P5" s="266"/>
      <c r="Q5" s="220">
        <f>LF!G5+'FF'!G5+PrF!G5+FSS!G5+PřF!G5+'FI'!G5+PdF!G5+FSpS!G5+ESF!G5</f>
        <v>929258</v>
      </c>
      <c r="R5" s="121">
        <f>LF!H5+'FF'!H5+PrF!H5+FSS!H5+PřF!H5+'FI'!H5+PdF!H5+FSpS!H5+ESF!H5</f>
        <v>35748</v>
      </c>
      <c r="S5" s="121">
        <f>LF!I5+'FF'!I5+PrF!I5+FSS!I5+PřF!I5+'FI'!I5+PdF!I5+FSpS!I5+ESF!I5</f>
        <v>325</v>
      </c>
      <c r="T5" s="121">
        <f>LF!J5+'FF'!J5+PrF!J5+FSS!J5+PřF!J5+'FI'!J5+PdF!J5+FSpS!J5+ESF!J5</f>
        <v>2000</v>
      </c>
      <c r="U5" s="121">
        <f>LF!K5+'FF'!K5+PrF!K5+FSS!K5+PřF!K5+'FI'!K5+PdF!K5+FSpS!K5+ESF!K5</f>
        <v>0</v>
      </c>
      <c r="V5" s="163">
        <f>LF!L5+'FF'!L5+PrF!L5+FSS!L5+PřF!L5+'FI'!L5+PdF!L5+FSpS!L5+ESF!L5</f>
        <v>0</v>
      </c>
      <c r="W5" s="164">
        <f>(LF!N5+'FF'!N5+PrF!N5+FSS!N5+PřF!N5+'FI'!N5+PdF!N5+FSpS!N5+ESF!N5)/1000</f>
        <v>0</v>
      </c>
      <c r="X5" s="859">
        <f>fak!Q5</f>
        <v>835943</v>
      </c>
      <c r="Y5" s="239"/>
      <c r="Z5" s="1023"/>
    </row>
    <row r="6" spans="1:26" s="65" customFormat="1" ht="12.75">
      <c r="A6" s="61"/>
      <c r="B6" s="62"/>
      <c r="C6" s="62"/>
      <c r="D6" s="63" t="s">
        <v>18</v>
      </c>
      <c r="E6" s="274">
        <v>4</v>
      </c>
      <c r="F6" s="220">
        <f>LF!F6</f>
        <v>5000</v>
      </c>
      <c r="G6" s="193">
        <f>'FF'!F6</f>
        <v>8329</v>
      </c>
      <c r="H6" s="193">
        <f>PrF!F6</f>
        <v>2100</v>
      </c>
      <c r="I6" s="193">
        <f>FSS!F6</f>
        <v>2850</v>
      </c>
      <c r="J6" s="193">
        <f>PřF!F6</f>
        <v>3000</v>
      </c>
      <c r="K6" s="193">
        <f>'FI'!F6</f>
        <v>2725</v>
      </c>
      <c r="L6" s="193">
        <f>PdF!F6</f>
        <v>6000</v>
      </c>
      <c r="M6" s="193">
        <f>FSpS!F6</f>
        <v>1255</v>
      </c>
      <c r="N6" s="193">
        <f>ESF!F6</f>
        <v>2000</v>
      </c>
      <c r="O6" s="164">
        <f t="shared" si="2"/>
        <v>33259</v>
      </c>
      <c r="P6" s="266"/>
      <c r="Q6" s="220">
        <f>LF!G6+'FF'!G6+PrF!G6+FSS!G6+PřF!G6+'FI'!G6+PdF!G6+FSpS!G6+ESF!G6</f>
        <v>33109</v>
      </c>
      <c r="R6" s="121">
        <f>LF!H6+'FF'!H6+PrF!H6+FSS!H6+PřF!H6+'FI'!H6+PdF!H6+FSpS!H6+ESF!H6</f>
        <v>50</v>
      </c>
      <c r="S6" s="121">
        <f>LF!I6+'FF'!I6+PrF!I6+FSS!I6+PřF!I6+'FI'!I6+PdF!I6+FSpS!I6+ESF!I6</f>
        <v>100</v>
      </c>
      <c r="T6" s="121">
        <f>LF!J6+'FF'!J6+PrF!J6+FSS!J6+PřF!J6+'FI'!J6+PdF!J6+FSpS!J6+ESF!J6</f>
        <v>0</v>
      </c>
      <c r="U6" s="121">
        <f>LF!K6+'FF'!K6+PrF!K6+FSS!K6+PřF!K6+'FI'!K6+PdF!K6+FSpS!K6+ESF!K6</f>
        <v>0</v>
      </c>
      <c r="V6" s="163">
        <f>LF!L6+'FF'!L6+PrF!L6+FSS!L6+PřF!L6+'FI'!L6+PdF!L6+FSpS!L6+ESF!L6</f>
        <v>0</v>
      </c>
      <c r="W6" s="164">
        <f>(LF!N6+'FF'!N6+PrF!N6+FSS!N6+PřF!N6+'FI'!N6+PdF!N6+FSpS!N6+ESF!N6)/1000</f>
        <v>0</v>
      </c>
      <c r="X6" s="859">
        <f>fak!Q6</f>
        <v>32249</v>
      </c>
      <c r="Y6" s="239"/>
      <c r="Z6" s="1023"/>
    </row>
    <row r="7" spans="1:26" s="65" customFormat="1" ht="12.75">
      <c r="A7" s="61"/>
      <c r="B7" s="62"/>
      <c r="C7" s="62"/>
      <c r="D7" s="63" t="s">
        <v>19</v>
      </c>
      <c r="E7" s="274">
        <v>5</v>
      </c>
      <c r="F7" s="220">
        <f>LF!F7</f>
        <v>70522</v>
      </c>
      <c r="G7" s="193">
        <f>'FF'!F7</f>
        <v>54841</v>
      </c>
      <c r="H7" s="193">
        <f>PrF!F7</f>
        <v>22460</v>
      </c>
      <c r="I7" s="193">
        <f>FSS!F7</f>
        <v>26355</v>
      </c>
      <c r="J7" s="193">
        <f>PřF!F7</f>
        <v>67721</v>
      </c>
      <c r="K7" s="193">
        <f>'FI'!F7</f>
        <v>21184</v>
      </c>
      <c r="L7" s="193">
        <f>PdF!F7</f>
        <v>40239</v>
      </c>
      <c r="M7" s="193">
        <f>FSpS!F7</f>
        <v>11600</v>
      </c>
      <c r="N7" s="193">
        <f>ESF!F7</f>
        <v>23450</v>
      </c>
      <c r="O7" s="164">
        <f t="shared" si="2"/>
        <v>338372</v>
      </c>
      <c r="P7" s="266"/>
      <c r="Q7" s="220">
        <f>LF!G7+'FF'!G7+PrF!G7+FSS!G7+PřF!G7+'FI'!G7+PdF!G7+FSpS!G7+ESF!G7</f>
        <v>332746</v>
      </c>
      <c r="R7" s="121">
        <f>LF!H7+'FF'!H7+PrF!H7+FSS!H7+PřF!H7+'FI'!H7+PdF!H7+FSpS!H7+ESF!H7</f>
        <v>5512</v>
      </c>
      <c r="S7" s="121">
        <f>LF!I7+'FF'!I7+PrF!I7+FSS!I7+PřF!I7+'FI'!I7+PdF!I7+FSpS!I7+ESF!I7</f>
        <v>114</v>
      </c>
      <c r="T7" s="121">
        <f>LF!J7+'FF'!J7+PrF!J7+FSS!J7+PřF!J7+'FI'!J7+PdF!J7+FSpS!J7+ESF!J7</f>
        <v>0</v>
      </c>
      <c r="U7" s="121">
        <f>LF!K7+'FF'!K7+PrF!K7+FSS!K7+PřF!K7+'FI'!K7+PdF!K7+FSpS!K7+ESF!K7</f>
        <v>0</v>
      </c>
      <c r="V7" s="163">
        <f>LF!L7+'FF'!L7+PrF!L7+FSS!L7+PřF!L7+'FI'!L7+PdF!L7+FSpS!L7+ESF!L7</f>
        <v>0</v>
      </c>
      <c r="W7" s="164">
        <f>(LF!N7+'FF'!N7+PrF!N7+FSS!N7+PřF!N7+'FI'!N7+PdF!N7+FSpS!N7+ESF!N7)/1000</f>
        <v>0</v>
      </c>
      <c r="X7" s="859">
        <f>fak!Q7</f>
        <v>300357</v>
      </c>
      <c r="Y7" s="239"/>
      <c r="Z7" s="1023"/>
    </row>
    <row r="8" spans="1:26" s="65" customFormat="1" ht="12.75">
      <c r="A8" s="61"/>
      <c r="B8" s="62"/>
      <c r="C8" s="62"/>
      <c r="D8" s="63" t="s">
        <v>20</v>
      </c>
      <c r="E8" s="274">
        <v>6</v>
      </c>
      <c r="F8" s="220">
        <f>LF!F8</f>
        <v>34442</v>
      </c>
      <c r="G8" s="193">
        <f>'FF'!F8</f>
        <v>11421</v>
      </c>
      <c r="H8" s="193">
        <f>PrF!F8</f>
        <v>4500</v>
      </c>
      <c r="I8" s="193">
        <f>FSS!F8</f>
        <v>2800</v>
      </c>
      <c r="J8" s="193">
        <f>PřF!F8</f>
        <v>36000</v>
      </c>
      <c r="K8" s="193">
        <f>'FI'!F8</f>
        <v>7000</v>
      </c>
      <c r="L8" s="193">
        <f>PdF!F8</f>
        <v>6000</v>
      </c>
      <c r="M8" s="193">
        <f>FSpS!F8</f>
        <v>9221</v>
      </c>
      <c r="N8" s="193">
        <f>ESF!F8</f>
        <v>3000</v>
      </c>
      <c r="O8" s="164">
        <f t="shared" si="2"/>
        <v>114384</v>
      </c>
      <c r="P8" s="266"/>
      <c r="Q8" s="220">
        <f>LF!G8+'FF'!G8+PrF!G8+FSS!G8+PřF!G8+'FI'!G8+PdF!G8+FSpS!G8+ESF!G8</f>
        <v>63512</v>
      </c>
      <c r="R8" s="121">
        <f>LF!H8+'FF'!H8+PrF!H8+FSS!H8+PřF!H8+'FI'!H8+PdF!H8+FSpS!H8+ESF!H8</f>
        <v>50872</v>
      </c>
      <c r="S8" s="121">
        <f>LF!I8+'FF'!I8+PrF!I8+FSS!I8+PřF!I8+'FI'!I8+PdF!I8+FSpS!I8+ESF!I8</f>
        <v>0</v>
      </c>
      <c r="T8" s="121">
        <f>LF!J8+'FF'!J8+PrF!J8+FSS!J8+PřF!J8+'FI'!J8+PdF!J8+FSpS!J8+ESF!J8</f>
        <v>0</v>
      </c>
      <c r="U8" s="121">
        <f>LF!K8+'FF'!K8+PrF!K8+FSS!K8+PřF!K8+'FI'!K8+PdF!K8+FSpS!K8+ESF!K8</f>
        <v>0</v>
      </c>
      <c r="V8" s="163">
        <f>LF!L8+'FF'!L8+PrF!L8+FSS!L8+PřF!L8+'FI'!L8+PdF!L8+FSpS!L8+ESF!L8</f>
        <v>0</v>
      </c>
      <c r="W8" s="164">
        <f>(LF!N8+'FF'!N8+PrF!N8+FSS!N8+PřF!N8+'FI'!N8+PdF!N8+FSpS!N8+ESF!N8)/1000</f>
        <v>0</v>
      </c>
      <c r="X8" s="859">
        <f>fak!Q8</f>
        <v>88237</v>
      </c>
      <c r="Y8" s="239"/>
      <c r="Z8" s="1023"/>
    </row>
    <row r="9" spans="1:26" s="65" customFormat="1" ht="12.75">
      <c r="A9" s="61"/>
      <c r="B9" s="62"/>
      <c r="C9" s="62"/>
      <c r="D9" s="63" t="s">
        <v>21</v>
      </c>
      <c r="E9" s="274">
        <v>7</v>
      </c>
      <c r="F9" s="220">
        <f>LF!F9</f>
        <v>16021</v>
      </c>
      <c r="G9" s="193">
        <f>'FF'!F9</f>
        <v>5090</v>
      </c>
      <c r="H9" s="193">
        <f>PrF!F9</f>
        <v>1500</v>
      </c>
      <c r="I9" s="193">
        <f>FSS!F9</f>
        <v>810</v>
      </c>
      <c r="J9" s="193">
        <f>PřF!F9</f>
        <v>6000</v>
      </c>
      <c r="K9" s="193">
        <f>'FI'!F9</f>
        <v>1225</v>
      </c>
      <c r="L9" s="193">
        <f>PdF!F9</f>
        <v>2000</v>
      </c>
      <c r="M9" s="193">
        <f>FSpS!F9</f>
        <v>2098</v>
      </c>
      <c r="N9" s="193">
        <f>ESF!F9</f>
        <v>3073</v>
      </c>
      <c r="O9" s="164">
        <f t="shared" si="2"/>
        <v>37817</v>
      </c>
      <c r="P9" s="266"/>
      <c r="Q9" s="220">
        <f>LF!G9+'FF'!G9+PrF!G9+FSS!G9+PřF!G9+'FI'!G9+PdF!G9+FSpS!G9+ESF!G9</f>
        <v>26583</v>
      </c>
      <c r="R9" s="121">
        <f>LF!H9+'FF'!H9+PrF!H9+FSS!H9+PřF!H9+'FI'!H9+PdF!H9+FSpS!H9+ESF!H9</f>
        <v>11234</v>
      </c>
      <c r="S9" s="121">
        <f>LF!I9+'FF'!I9+PrF!I9+FSS!I9+PřF!I9+'FI'!I9+PdF!I9+FSpS!I9+ESF!I9</f>
        <v>0</v>
      </c>
      <c r="T9" s="121">
        <f>LF!J9+'FF'!J9+PrF!J9+FSS!J9+PřF!J9+'FI'!J9+PdF!J9+FSpS!J9+ESF!J9</f>
        <v>0</v>
      </c>
      <c r="U9" s="121">
        <f>LF!K9+'FF'!K9+PrF!K9+FSS!K9+PřF!K9+'FI'!K9+PdF!K9+FSpS!K9+ESF!K9</f>
        <v>0</v>
      </c>
      <c r="V9" s="163">
        <f>LF!L9+'FF'!L9+PrF!L9+FSS!L9+PřF!L9+'FI'!L9+PdF!L9+FSpS!L9+ESF!L9</f>
        <v>0</v>
      </c>
      <c r="W9" s="164">
        <f>(LF!N9+'FF'!N9+PrF!N9+FSS!N9+PřF!N9+'FI'!N9+PdF!N9+FSpS!N9+ESF!N9)/1000</f>
        <v>0</v>
      </c>
      <c r="X9" s="859">
        <f>fak!Q9</f>
        <v>29346</v>
      </c>
      <c r="Y9" s="239"/>
      <c r="Z9" s="1023"/>
    </row>
    <row r="10" spans="1:26" s="65" customFormat="1" ht="12.75">
      <c r="A10" s="61"/>
      <c r="B10" s="62"/>
      <c r="C10" s="62"/>
      <c r="D10" s="63" t="s">
        <v>22</v>
      </c>
      <c r="E10" s="274">
        <v>8</v>
      </c>
      <c r="F10" s="220">
        <f>LF!F10</f>
        <v>19532</v>
      </c>
      <c r="G10" s="193">
        <f>'FF'!F10</f>
        <v>12290</v>
      </c>
      <c r="H10" s="193">
        <f>PrF!F10</f>
        <v>7500</v>
      </c>
      <c r="I10" s="193">
        <f>FSS!F10</f>
        <v>3300</v>
      </c>
      <c r="J10" s="193">
        <f>PřF!F10</f>
        <v>8000</v>
      </c>
      <c r="K10" s="193">
        <f>'FI'!F10</f>
        <v>6387</v>
      </c>
      <c r="L10" s="193">
        <f>PdF!F10</f>
        <v>12000</v>
      </c>
      <c r="M10" s="193">
        <f>FSpS!F10</f>
        <v>3215</v>
      </c>
      <c r="N10" s="193">
        <f>ESF!F10</f>
        <v>4500</v>
      </c>
      <c r="O10" s="164">
        <f t="shared" si="2"/>
        <v>76724</v>
      </c>
      <c r="P10" s="266"/>
      <c r="Q10" s="220">
        <f>LF!G10+'FF'!G10+PrF!G10+FSS!G10+PřF!G10+'FI'!G10+PdF!G10+FSpS!G10+ESF!G10</f>
        <v>67691</v>
      </c>
      <c r="R10" s="121">
        <f>LF!H10+'FF'!H10+PrF!H10+FSS!H10+PřF!H10+'FI'!H10+PdF!H10+FSpS!H10+ESF!H10</f>
        <v>8556</v>
      </c>
      <c r="S10" s="121">
        <f>LF!I10+'FF'!I10+PrF!I10+FSS!I10+PřF!I10+'FI'!I10+PdF!I10+FSpS!I10+ESF!I10</f>
        <v>477</v>
      </c>
      <c r="T10" s="121">
        <f>LF!J10+'FF'!J10+PrF!J10+FSS!J10+PřF!J10+'FI'!J10+PdF!J10+FSpS!J10+ESF!J10</f>
        <v>0</v>
      </c>
      <c r="U10" s="121">
        <f>LF!K10+'FF'!K10+PrF!K10+FSS!K10+PřF!K10+'FI'!K10+PdF!K10+FSpS!K10+ESF!K10</f>
        <v>0</v>
      </c>
      <c r="V10" s="163">
        <f>LF!L10+'FF'!L10+PrF!L10+FSS!L10+PřF!L10+'FI'!L10+PdF!L10+FSpS!L10+ESF!L10</f>
        <v>0</v>
      </c>
      <c r="W10" s="164">
        <f>(LF!N10+'FF'!N10+PrF!N10+FSS!N10+PřF!N10+'FI'!N10+PdF!N10+FSpS!N10+ESF!N10)/1000</f>
        <v>0</v>
      </c>
      <c r="X10" s="859">
        <f>fak!Q10</f>
        <v>68404</v>
      </c>
      <c r="Y10" s="239"/>
      <c r="Z10" s="1023"/>
    </row>
    <row r="11" spans="1:26" s="65" customFormat="1" ht="12.75">
      <c r="A11" s="61"/>
      <c r="B11" s="62"/>
      <c r="C11" s="62"/>
      <c r="D11" s="63" t="s">
        <v>23</v>
      </c>
      <c r="E11" s="274">
        <v>9</v>
      </c>
      <c r="F11" s="220">
        <f>LF!F11</f>
        <v>25527</v>
      </c>
      <c r="G11" s="193">
        <f>'FF'!F11</f>
        <v>23073</v>
      </c>
      <c r="H11" s="193">
        <f>PrF!F11</f>
        <v>8400</v>
      </c>
      <c r="I11" s="193">
        <f>FSS!F11</f>
        <v>4447</v>
      </c>
      <c r="J11" s="193">
        <f>PřF!F11</f>
        <v>15000</v>
      </c>
      <c r="K11" s="193">
        <f>'FI'!F11</f>
        <v>15340</v>
      </c>
      <c r="L11" s="193">
        <f>PdF!F11</f>
        <v>23451</v>
      </c>
      <c r="M11" s="193">
        <f>FSpS!F11</f>
        <v>6777</v>
      </c>
      <c r="N11" s="193">
        <f>ESF!F11</f>
        <v>8056</v>
      </c>
      <c r="O11" s="164">
        <f t="shared" si="2"/>
        <v>130071</v>
      </c>
      <c r="P11" s="266"/>
      <c r="Q11" s="220">
        <f>LF!G11+'FF'!G11+PrF!G11+FSS!G11+PřF!G11+'FI'!G11+PdF!G11+FSpS!G11+ESF!G11</f>
        <v>96816</v>
      </c>
      <c r="R11" s="121">
        <f>LF!H11+'FF'!H11+PrF!H11+FSS!H11+PřF!H11+'FI'!H11+PdF!H11+FSpS!H11+ESF!H11</f>
        <v>32770</v>
      </c>
      <c r="S11" s="121">
        <f>LF!I11+'FF'!I11+PrF!I11+FSS!I11+PřF!I11+'FI'!I11+PdF!I11+FSpS!I11+ESF!I11</f>
        <v>485</v>
      </c>
      <c r="T11" s="121">
        <f>LF!J11+'FF'!J11+PrF!J11+FSS!J11+PřF!J11+'FI'!J11+PdF!J11+FSpS!J11+ESF!J11</f>
        <v>0</v>
      </c>
      <c r="U11" s="121">
        <f>LF!K11+'FF'!K11+PrF!K11+FSS!K11+PřF!K11+'FI'!K11+PdF!K11+FSpS!K11+ESF!K11</f>
        <v>0</v>
      </c>
      <c r="V11" s="163">
        <f>LF!L11+'FF'!L11+PrF!L11+FSS!L11+PřF!L11+'FI'!L11+PdF!L11+FSpS!L11+ESF!L11</f>
        <v>0</v>
      </c>
      <c r="W11" s="164">
        <f>(LF!N11+'FF'!N11+PrF!N11+FSS!N11+PřF!N11+'FI'!N11+PdF!N11+FSpS!N11+ESF!N11)/1000</f>
        <v>0</v>
      </c>
      <c r="X11" s="859">
        <f>fak!Q11</f>
        <v>111068</v>
      </c>
      <c r="Y11" s="239"/>
      <c r="Z11" s="1023"/>
    </row>
    <row r="12" spans="1:26" s="65" customFormat="1" ht="12.75">
      <c r="A12" s="61"/>
      <c r="B12" s="62"/>
      <c r="C12" s="62"/>
      <c r="D12" s="63" t="s">
        <v>24</v>
      </c>
      <c r="E12" s="274">
        <v>10</v>
      </c>
      <c r="F12" s="220">
        <f>LF!F12</f>
        <v>1800</v>
      </c>
      <c r="G12" s="193">
        <f>'FF'!F12</f>
        <v>1981</v>
      </c>
      <c r="H12" s="193">
        <f>PrF!F12</f>
        <v>600</v>
      </c>
      <c r="I12" s="193">
        <f>FSS!F12</f>
        <v>532</v>
      </c>
      <c r="J12" s="193">
        <f>PřF!F12</f>
        <v>1500</v>
      </c>
      <c r="K12" s="193">
        <f>'FI'!F12</f>
        <v>1650</v>
      </c>
      <c r="L12" s="193">
        <f>PdF!F12</f>
        <v>2000</v>
      </c>
      <c r="M12" s="193">
        <f>FSpS!F12</f>
        <v>453</v>
      </c>
      <c r="N12" s="193">
        <f>ESF!F12</f>
        <v>1000</v>
      </c>
      <c r="O12" s="164">
        <f t="shared" si="2"/>
        <v>11516</v>
      </c>
      <c r="P12" s="266"/>
      <c r="Q12" s="220">
        <f>LF!G12+'FF'!G12+PrF!G12+FSS!G12+PřF!G12+'FI'!G12+PdF!G12+FSpS!G12+ESF!G12</f>
        <v>11041</v>
      </c>
      <c r="R12" s="121">
        <f>LF!H12+'FF'!H12+PrF!H12+FSS!H12+PřF!H12+'FI'!H12+PdF!H12+FSpS!H12+ESF!H12</f>
        <v>0</v>
      </c>
      <c r="S12" s="121">
        <f>LF!I12+'FF'!I12+PrF!I12+FSS!I12+PřF!I12+'FI'!I12+PdF!I12+FSpS!I12+ESF!I12</f>
        <v>475</v>
      </c>
      <c r="T12" s="121">
        <f>LF!J12+'FF'!J12+PrF!J12+FSS!J12+PřF!J12+'FI'!J12+PdF!J12+FSpS!J12+ESF!J12</f>
        <v>0</v>
      </c>
      <c r="U12" s="121">
        <f>LF!K12+'FF'!K12+PrF!K12+FSS!K12+PřF!K12+'FI'!K12+PdF!K12+FSpS!K12+ESF!K12</f>
        <v>0</v>
      </c>
      <c r="V12" s="163">
        <f>LF!L12+'FF'!L12+PrF!L12+FSS!L12+PřF!L12+'FI'!L12+PdF!L12+FSpS!L12+ESF!L12</f>
        <v>0</v>
      </c>
      <c r="W12" s="164">
        <f>(LF!N12+'FF'!N12+PrF!N12+FSS!N12+PřF!N12+'FI'!N12+PdF!N12+FSpS!N12+ESF!N12)/1000</f>
        <v>0</v>
      </c>
      <c r="X12" s="859">
        <f>fak!Q12</f>
        <v>9826</v>
      </c>
      <c r="Y12" s="239"/>
      <c r="Z12" s="1023"/>
    </row>
    <row r="13" spans="1:26" s="65" customFormat="1" ht="12.75">
      <c r="A13" s="61"/>
      <c r="B13" s="62"/>
      <c r="C13" s="62"/>
      <c r="D13" s="63" t="s">
        <v>25</v>
      </c>
      <c r="E13" s="274">
        <v>11</v>
      </c>
      <c r="F13" s="220">
        <f>LF!F13</f>
        <v>49927</v>
      </c>
      <c r="G13" s="193">
        <f>'FF'!F13</f>
        <v>7500</v>
      </c>
      <c r="H13" s="193">
        <f>PrF!F13</f>
        <v>3143</v>
      </c>
      <c r="I13" s="193">
        <f>FSS!F13</f>
        <v>6200</v>
      </c>
      <c r="J13" s="193">
        <f>PřF!F13</f>
        <v>108000</v>
      </c>
      <c r="K13" s="193">
        <f>'FI'!F13</f>
        <v>15814</v>
      </c>
      <c r="L13" s="193">
        <f>PdF!F13</f>
        <v>8500</v>
      </c>
      <c r="M13" s="193">
        <f>FSpS!F13</f>
        <v>3990</v>
      </c>
      <c r="N13" s="193">
        <f>ESF!F13</f>
        <v>6568</v>
      </c>
      <c r="O13" s="164">
        <f t="shared" si="2"/>
        <v>209642</v>
      </c>
      <c r="P13" s="266"/>
      <c r="Q13" s="220">
        <f>LF!G13+'FF'!G13+PrF!G13+FSS!G13+PřF!G13+'FI'!G13+PdF!G13+FSpS!G13+ESF!G13</f>
        <v>203159</v>
      </c>
      <c r="R13" s="121">
        <f>LF!H13+'FF'!H13+PrF!H13+FSS!H13+PřF!H13+'FI'!H13+PdF!H13+FSpS!H13+ESF!H13</f>
        <v>6483</v>
      </c>
      <c r="S13" s="121">
        <f>LF!I13+'FF'!I13+PrF!I13+FSS!I13+PřF!I13+'FI'!I13+PdF!I13+FSpS!I13+ESF!I13</f>
        <v>0</v>
      </c>
      <c r="T13" s="121">
        <f>LF!J13+'FF'!J13+PrF!J13+FSS!J13+PřF!J13+'FI'!J13+PdF!J13+FSpS!J13+ESF!J13</f>
        <v>0</v>
      </c>
      <c r="U13" s="121">
        <f>LF!K13+'FF'!K13+PrF!K13+FSS!K13+PřF!K13+'FI'!K13+PdF!K13+FSpS!K13+ESF!K13</f>
        <v>0</v>
      </c>
      <c r="V13" s="163">
        <f>LF!L13+'FF'!L13+PrF!L13+FSS!L13+PřF!L13+'FI'!L13+PdF!L13+FSpS!L13+ESF!L13</f>
        <v>0</v>
      </c>
      <c r="W13" s="164">
        <f>(LF!N13+'FF'!N13+PrF!N13+FSS!N13+PřF!N13+'FI'!N13+PdF!N13+FSpS!N13+ESF!N13)/1000</f>
        <v>0</v>
      </c>
      <c r="X13" s="859">
        <f>fak!Q13</f>
        <v>205784</v>
      </c>
      <c r="Y13" s="239"/>
      <c r="Z13" s="1023"/>
    </row>
    <row r="14" spans="1:26" s="65" customFormat="1" ht="12.75">
      <c r="A14" s="61"/>
      <c r="B14" s="62"/>
      <c r="C14" s="62"/>
      <c r="D14" s="63" t="s">
        <v>26</v>
      </c>
      <c r="E14" s="274">
        <v>12</v>
      </c>
      <c r="F14" s="220">
        <f>LF!F14</f>
        <v>2500</v>
      </c>
      <c r="G14" s="193">
        <f>'FF'!F14</f>
        <v>15900</v>
      </c>
      <c r="H14" s="193">
        <f>PrF!F14</f>
        <v>4000</v>
      </c>
      <c r="I14" s="193">
        <f>FSS!F14</f>
        <v>9655</v>
      </c>
      <c r="J14" s="193">
        <f>PřF!F14</f>
        <v>5035</v>
      </c>
      <c r="K14" s="193">
        <f>'FI'!F14</f>
        <v>4080</v>
      </c>
      <c r="L14" s="193">
        <f>PdF!F14</f>
        <v>7000</v>
      </c>
      <c r="M14" s="193">
        <f>FSpS!F14</f>
        <v>1600</v>
      </c>
      <c r="N14" s="193">
        <f>ESF!F14</f>
        <v>1497</v>
      </c>
      <c r="O14" s="164">
        <f t="shared" si="2"/>
        <v>51267</v>
      </c>
      <c r="P14" s="266"/>
      <c r="Q14" s="220">
        <f>LF!G14+'FF'!G14+PrF!G14+FSS!G14+PřF!G14+'FI'!G14+PdF!G14+FSpS!G14+ESF!G14</f>
        <v>4426</v>
      </c>
      <c r="R14" s="121">
        <f>LF!H14+'FF'!H14+PrF!H14+FSS!H14+PřF!H14+'FI'!H14+PdF!H14+FSpS!H14+ESF!H14</f>
        <v>688</v>
      </c>
      <c r="S14" s="121">
        <f>LF!I14+'FF'!I14+PrF!I14+FSS!I14+PřF!I14+'FI'!I14+PdF!I14+FSpS!I14+ESF!I14</f>
        <v>83</v>
      </c>
      <c r="T14" s="121">
        <f>LF!J14+'FF'!J14+PrF!J14+FSS!J14+PřF!J14+'FI'!J14+PdF!J14+FSpS!J14+ESF!J14</f>
        <v>0</v>
      </c>
      <c r="U14" s="121">
        <f>LF!K14+'FF'!K14+PrF!K14+FSS!K14+PřF!K14+'FI'!K14+PdF!K14+FSpS!K14+ESF!K14</f>
        <v>0</v>
      </c>
      <c r="V14" s="163">
        <f>LF!L14+'FF'!L14+PrF!L14+FSS!L14+PřF!L14+'FI'!L14+PdF!L14+FSpS!L14+ESF!L14</f>
        <v>46070</v>
      </c>
      <c r="W14" s="164">
        <f>(LF!N14+'FF'!N14+PrF!N14+FSS!N14+PřF!N14+'FI'!N14+PdF!N14+FSpS!N14+ESF!N14)/1000</f>
        <v>0</v>
      </c>
      <c r="X14" s="859">
        <f>fak!Q14</f>
        <v>48567</v>
      </c>
      <c r="Y14" s="239"/>
      <c r="Z14" s="1023"/>
    </row>
    <row r="15" spans="1:26" s="65" customFormat="1" ht="12.75">
      <c r="A15" s="61"/>
      <c r="B15" s="62"/>
      <c r="C15" s="63"/>
      <c r="D15" s="63" t="s">
        <v>27</v>
      </c>
      <c r="E15" s="274">
        <v>13</v>
      </c>
      <c r="F15" s="220">
        <f>LF!F15</f>
        <v>46294</v>
      </c>
      <c r="G15" s="193">
        <f>'FF'!F15</f>
        <v>30005</v>
      </c>
      <c r="H15" s="193">
        <f>PrF!F15</f>
        <v>16640</v>
      </c>
      <c r="I15" s="193">
        <f>FSS!F15</f>
        <v>16636</v>
      </c>
      <c r="J15" s="193">
        <f>PřF!F15</f>
        <v>38133</v>
      </c>
      <c r="K15" s="193">
        <f>'FI'!F15</f>
        <v>20814</v>
      </c>
      <c r="L15" s="193">
        <f>PdF!F15</f>
        <v>25010</v>
      </c>
      <c r="M15" s="193">
        <f>FSpS!F15</f>
        <v>6410</v>
      </c>
      <c r="N15" s="193">
        <f>ESF!F15</f>
        <v>24998</v>
      </c>
      <c r="O15" s="164">
        <f t="shared" si="2"/>
        <v>224940</v>
      </c>
      <c r="P15" s="266"/>
      <c r="Q15" s="220">
        <f>LF!G15+'FF'!G15+PrF!G15+FSS!G15+PřF!G15+'FI'!G15+PdF!G15+FSpS!G15+ESF!G15</f>
        <v>174618</v>
      </c>
      <c r="R15" s="121">
        <f>LF!H15+'FF'!H15+PrF!H15+FSS!H15+PřF!H15+'FI'!H15+PdF!H15+FSpS!H15+ESF!H15</f>
        <v>27381</v>
      </c>
      <c r="S15" s="121">
        <f>LF!I15+'FF'!I15+PrF!I15+FSS!I15+PřF!I15+'FI'!I15+PdF!I15+FSpS!I15+ESF!I15</f>
        <v>1369</v>
      </c>
      <c r="T15" s="121">
        <f>LF!J15+'FF'!J15+PrF!J15+FSS!J15+PřF!J15+'FI'!J15+PdF!J15+FSpS!J15+ESF!J15</f>
        <v>0</v>
      </c>
      <c r="U15" s="121">
        <f>LF!K15+'FF'!K15+PrF!K15+FSS!K15+PřF!K15+'FI'!K15+PdF!K15+FSpS!K15+ESF!K15</f>
        <v>21572</v>
      </c>
      <c r="V15" s="163">
        <f>LF!L15+'FF'!L15+PrF!L15+FSS!L15+PřF!L15+'FI'!L15+PdF!L15+FSpS!L15+ESF!L15</f>
        <v>0</v>
      </c>
      <c r="W15" s="164">
        <f>(LF!N15+'FF'!N15+PrF!N15+FSS!N15+PřF!N15+'FI'!N15+PdF!N15+FSpS!N15+ESF!N15)/1000</f>
        <v>0</v>
      </c>
      <c r="X15" s="859">
        <f>fak!Q15</f>
        <v>266350</v>
      </c>
      <c r="Y15" s="239"/>
      <c r="Z15" s="1023"/>
    </row>
    <row r="16" spans="1:26" s="25" customFormat="1" ht="12.75">
      <c r="A16" s="21"/>
      <c r="B16" s="30" t="s">
        <v>28</v>
      </c>
      <c r="C16" s="27"/>
      <c r="D16" s="27"/>
      <c r="E16" s="275">
        <v>14</v>
      </c>
      <c r="F16" s="94">
        <f>LF!F16</f>
        <v>26626</v>
      </c>
      <c r="G16" s="151">
        <f>'FF'!F16</f>
        <v>31120</v>
      </c>
      <c r="H16" s="151">
        <f>PrF!F16</f>
        <v>6441</v>
      </c>
      <c r="I16" s="151">
        <f>FSS!F16</f>
        <v>14000</v>
      </c>
      <c r="J16" s="151">
        <f>PřF!F16</f>
        <v>50000</v>
      </c>
      <c r="K16" s="151">
        <f>'FI'!F16</f>
        <v>7800</v>
      </c>
      <c r="L16" s="151">
        <f>PdF!F16</f>
        <v>8000</v>
      </c>
      <c r="M16" s="151">
        <f>FSpS!F16</f>
        <v>3100</v>
      </c>
      <c r="N16" s="151">
        <f>ESF!F16</f>
        <v>5000</v>
      </c>
      <c r="O16" s="96">
        <f t="shared" si="2"/>
        <v>152087</v>
      </c>
      <c r="P16" s="267"/>
      <c r="Q16" s="220">
        <f>LF!G16+'FF'!G16+PrF!G16+FSS!G16+PřF!G16+'FI'!G16+PdF!G16+FSpS!G16+ESF!G16</f>
        <v>151646</v>
      </c>
      <c r="R16" s="121">
        <f>LF!H16+'FF'!H16+PrF!H16+FSS!H16+PřF!H16+'FI'!H16+PdF!H16+FSpS!H16+ESF!H16</f>
        <v>441</v>
      </c>
      <c r="S16" s="121">
        <f>LF!I16+'FF'!I16+PrF!I16+FSS!I16+PřF!I16+'FI'!I16+PdF!I16+FSpS!I16+ESF!I16</f>
        <v>0</v>
      </c>
      <c r="T16" s="121">
        <f>LF!J16+'FF'!J16+PrF!J16+FSS!J16+PřF!J16+'FI'!J16+PdF!J16+FSpS!J16+ESF!J16</f>
        <v>0</v>
      </c>
      <c r="U16" s="121">
        <f>LF!K16+'FF'!K16+PrF!K16+FSS!K16+PřF!K16+'FI'!K16+PdF!K16+FSpS!K16+ESF!K16</f>
        <v>0</v>
      </c>
      <c r="V16" s="163">
        <f>LF!L16+'FF'!L16+PrF!L16+FSS!L16+PřF!L16+'FI'!L16+PdF!L16+FSpS!L16+ESF!L16</f>
        <v>0</v>
      </c>
      <c r="W16" s="96">
        <f>(LF!N16+'FF'!N16+PrF!N16+FSS!N16+PřF!N16+'FI'!N16+PdF!N16+FSpS!N16+ESF!N16)/1000</f>
        <v>0</v>
      </c>
      <c r="X16" s="519">
        <f>fak!Q16</f>
        <v>146629</v>
      </c>
      <c r="Y16" s="239"/>
      <c r="Z16" s="1023"/>
    </row>
    <row r="17" spans="1:26" s="25" customFormat="1" ht="12.75">
      <c r="A17" s="21"/>
      <c r="B17" s="30" t="s">
        <v>30</v>
      </c>
      <c r="C17" s="27"/>
      <c r="D17" s="27"/>
      <c r="E17" s="275">
        <v>15</v>
      </c>
      <c r="F17" s="94">
        <f>LF!F17</f>
        <v>500</v>
      </c>
      <c r="G17" s="151">
        <f>'FF'!F17</f>
        <v>4811</v>
      </c>
      <c r="H17" s="151">
        <f>PrF!F17</f>
        <v>60</v>
      </c>
      <c r="I17" s="151">
        <f>FSS!F17</f>
        <v>126</v>
      </c>
      <c r="J17" s="151">
        <f>PřF!F17</f>
        <v>1200</v>
      </c>
      <c r="K17" s="151">
        <f>'FI'!F17</f>
        <v>400</v>
      </c>
      <c r="L17" s="151">
        <f>PdF!F17</f>
        <v>350</v>
      </c>
      <c r="M17" s="151">
        <f>FSpS!F17</f>
        <v>0</v>
      </c>
      <c r="N17" s="151">
        <f>ESF!F17</f>
        <v>478</v>
      </c>
      <c r="O17" s="96">
        <f t="shared" si="2"/>
        <v>7925</v>
      </c>
      <c r="P17" s="267"/>
      <c r="Q17" s="220">
        <f>LF!G17+'FF'!G17+PrF!G17+FSS!G17+PřF!G17+'FI'!G17+PdF!G17+FSpS!G17+ESF!G17</f>
        <v>7925</v>
      </c>
      <c r="R17" s="121">
        <f>LF!H17+'FF'!H17+PrF!H17+FSS!H17+PřF!H17+'FI'!H17+PdF!H17+FSpS!H17+ESF!H17</f>
        <v>0</v>
      </c>
      <c r="S17" s="121">
        <f>LF!I17+'FF'!I17+PrF!I17+FSS!I17+PřF!I17+'FI'!I17+PdF!I17+FSpS!I17+ESF!I17</f>
        <v>0</v>
      </c>
      <c r="T17" s="121">
        <f>LF!J17+'FF'!J17+PrF!J17+FSS!J17+PřF!J17+'FI'!J17+PdF!J17+FSpS!J17+ESF!J17</f>
        <v>0</v>
      </c>
      <c r="U17" s="121">
        <f>LF!K17+'FF'!K17+PrF!K17+FSS!K17+PřF!K17+'FI'!K17+PdF!K17+FSpS!K17+ESF!K17</f>
        <v>0</v>
      </c>
      <c r="V17" s="163">
        <f>LF!L17+'FF'!L17+PrF!L17+FSS!L17+PřF!L17+'FI'!L17+PdF!L17+FSpS!L17+ESF!L17</f>
        <v>0</v>
      </c>
      <c r="W17" s="96">
        <f>(LF!N17+'FF'!N17+PrF!N17+FSS!N17+PřF!N17+'FI'!N17+PdF!N17+FSpS!N17+ESF!N17)/1000</f>
        <v>0</v>
      </c>
      <c r="X17" s="519">
        <f>fak!Q17</f>
        <v>9345</v>
      </c>
      <c r="Y17" s="239"/>
      <c r="Z17" s="1023"/>
    </row>
    <row r="18" spans="1:26" s="25" customFormat="1" ht="12.75">
      <c r="A18" s="21"/>
      <c r="B18" s="31" t="s">
        <v>32</v>
      </c>
      <c r="C18" s="32"/>
      <c r="D18" s="32"/>
      <c r="E18" s="276">
        <v>16</v>
      </c>
      <c r="F18" s="94">
        <f>LF!F18</f>
        <v>2331</v>
      </c>
      <c r="G18" s="151">
        <f>'FF'!F18</f>
        <v>3552</v>
      </c>
      <c r="H18" s="151">
        <f>PrF!F18</f>
        <v>0</v>
      </c>
      <c r="I18" s="151">
        <f>FSS!F18</f>
        <v>4625</v>
      </c>
      <c r="J18" s="151">
        <f>PřF!F18</f>
        <v>5000</v>
      </c>
      <c r="K18" s="151">
        <f>'FI'!F18</f>
        <v>4854</v>
      </c>
      <c r="L18" s="151">
        <f>PdF!F18</f>
        <v>500</v>
      </c>
      <c r="M18" s="151">
        <f>FSpS!F18</f>
        <v>1357</v>
      </c>
      <c r="N18" s="151">
        <f>ESF!F18</f>
        <v>0</v>
      </c>
      <c r="O18" s="96">
        <f t="shared" si="2"/>
        <v>22219</v>
      </c>
      <c r="P18" s="267"/>
      <c r="Q18" s="220">
        <f>LF!G18+'FF'!G18+PrF!G18+FSS!G18+PřF!G18+'FI'!G18+PdF!G18+FSpS!G18+ESF!G18</f>
        <v>22219</v>
      </c>
      <c r="R18" s="121">
        <f>LF!H18+'FF'!H18+PrF!H18+FSS!H18+PřF!H18+'FI'!H18+PdF!H18+FSpS!H18+ESF!H18</f>
        <v>0</v>
      </c>
      <c r="S18" s="121">
        <f>LF!I18+'FF'!I18+PrF!I18+FSS!I18+PřF!I18+'FI'!I18+PdF!I18+FSpS!I18+ESF!I18</f>
        <v>0</v>
      </c>
      <c r="T18" s="121">
        <f>LF!J18+'FF'!J18+PrF!J18+FSS!J18+PřF!J18+'FI'!J18+PdF!J18+FSpS!J18+ESF!J18</f>
        <v>0</v>
      </c>
      <c r="U18" s="121">
        <f>LF!K18+'FF'!K18+PrF!K18+FSS!K18+PřF!K18+'FI'!K18+PdF!K18+FSpS!K18+ESF!K18</f>
        <v>0</v>
      </c>
      <c r="V18" s="163">
        <f>LF!L18+'FF'!L18+PrF!L18+FSS!L18+PřF!L18+'FI'!L18+PdF!L18+FSpS!L18+ESF!L18</f>
        <v>0</v>
      </c>
      <c r="W18" s="96">
        <f>(LF!N18+'FF'!N18+PrF!N18+FSS!N18+PřF!N18+'FI'!N18+PdF!N18+FSpS!N18+ESF!N18)/1000</f>
        <v>0</v>
      </c>
      <c r="X18" s="519">
        <f>fak!Q18</f>
        <v>52003</v>
      </c>
      <c r="Y18" s="239"/>
      <c r="Z18" s="1023"/>
    </row>
    <row r="19" spans="1:26" s="25" customFormat="1" ht="12.75">
      <c r="A19" s="21"/>
      <c r="B19" s="31" t="s">
        <v>34</v>
      </c>
      <c r="C19" s="32"/>
      <c r="D19" s="32"/>
      <c r="E19" s="276">
        <v>17</v>
      </c>
      <c r="F19" s="94">
        <f>LF!F19</f>
        <v>412</v>
      </c>
      <c r="G19" s="151">
        <f>'FF'!F19</f>
        <v>1760</v>
      </c>
      <c r="H19" s="151">
        <f>PrF!F19</f>
        <v>0</v>
      </c>
      <c r="I19" s="151">
        <f>FSS!F19</f>
        <v>454</v>
      </c>
      <c r="J19" s="151">
        <f>PřF!F19</f>
        <v>2721</v>
      </c>
      <c r="K19" s="151">
        <f>'FI'!F19</f>
        <v>92</v>
      </c>
      <c r="L19" s="151">
        <f>PdF!F19</f>
        <v>1213</v>
      </c>
      <c r="M19" s="151">
        <f>FSpS!F19</f>
        <v>545</v>
      </c>
      <c r="N19" s="151">
        <f>ESF!F19</f>
        <v>117</v>
      </c>
      <c r="O19" s="96">
        <f t="shared" si="2"/>
        <v>7314</v>
      </c>
      <c r="P19" s="267"/>
      <c r="Q19" s="220">
        <f>LF!G19+'FF'!G19+PrF!G19+FSS!G19+PřF!G19+'FI'!G19+PdF!G19+FSpS!G19+ESF!G19</f>
        <v>7314</v>
      </c>
      <c r="R19" s="121">
        <f>LF!H19+'FF'!H19+PrF!H19+FSS!H19+PřF!H19+'FI'!H19+PdF!H19+FSpS!H19+ESF!H19</f>
        <v>0</v>
      </c>
      <c r="S19" s="121">
        <f>LF!I19+'FF'!I19+PrF!I19+FSS!I19+PřF!I19+'FI'!I19+PdF!I19+FSpS!I19+ESF!I19</f>
        <v>0</v>
      </c>
      <c r="T19" s="121">
        <f>LF!J19+'FF'!J19+PrF!J19+FSS!J19+PřF!J19+'FI'!J19+PdF!J19+FSpS!J19+ESF!J19</f>
        <v>0</v>
      </c>
      <c r="U19" s="121">
        <f>LF!K19+'FF'!K19+PrF!K19+FSS!K19+PřF!K19+'FI'!K19+PdF!K19+FSpS!K19+ESF!K19</f>
        <v>0</v>
      </c>
      <c r="V19" s="163">
        <f>LF!L19+'FF'!L19+PrF!L19+FSS!L19+PřF!L19+'FI'!L19+PdF!L19+FSpS!L19+ESF!L19</f>
        <v>0</v>
      </c>
      <c r="W19" s="96">
        <f>(LF!N19+'FF'!N19+PrF!N19+FSS!N19+PřF!N19+'FI'!N19+PdF!N19+FSpS!N19+ESF!N19)/1000</f>
        <v>0</v>
      </c>
      <c r="X19" s="519">
        <f>fak!Q19</f>
        <v>6818</v>
      </c>
      <c r="Y19" s="239"/>
      <c r="Z19" s="1023"/>
    </row>
    <row r="20" spans="1:26" s="25" customFormat="1" ht="12.75">
      <c r="A20" s="21"/>
      <c r="B20" s="31" t="s">
        <v>36</v>
      </c>
      <c r="C20" s="31"/>
      <c r="D20" s="31"/>
      <c r="E20" s="276">
        <v>18</v>
      </c>
      <c r="F20" s="94">
        <f>LF!F20</f>
        <v>2007</v>
      </c>
      <c r="G20" s="151">
        <f>'FF'!F20</f>
        <v>2500</v>
      </c>
      <c r="H20" s="151">
        <f>PrF!F20</f>
        <v>0</v>
      </c>
      <c r="I20" s="151">
        <f>FSS!F20</f>
        <v>0</v>
      </c>
      <c r="J20" s="151">
        <f>PřF!F20</f>
        <v>10000</v>
      </c>
      <c r="K20" s="151">
        <f>'FI'!F20</f>
        <v>1843</v>
      </c>
      <c r="L20" s="151">
        <f>PdF!F20</f>
        <v>3000</v>
      </c>
      <c r="M20" s="151">
        <f>FSpS!F20</f>
        <v>0</v>
      </c>
      <c r="N20" s="151">
        <f>ESF!F20</f>
        <v>0</v>
      </c>
      <c r="O20" s="96">
        <f t="shared" si="2"/>
        <v>19350</v>
      </c>
      <c r="P20" s="267"/>
      <c r="Q20" s="220">
        <f>LF!G20+'FF'!G20+PrF!G20+FSS!G20+PřF!G20+'FI'!G20+PdF!G20+FSpS!G20+ESF!G20</f>
        <v>19350</v>
      </c>
      <c r="R20" s="121">
        <f>LF!H20+'FF'!H20+PrF!H20+FSS!H20+PřF!H20+'FI'!H20+PdF!H20+FSpS!H20+ESF!H20</f>
        <v>0</v>
      </c>
      <c r="S20" s="121">
        <f>LF!I20+'FF'!I20+PrF!I20+FSS!I20+PřF!I20+'FI'!I20+PdF!I20+FSpS!I20+ESF!I20</f>
        <v>0</v>
      </c>
      <c r="T20" s="121">
        <f>LF!J20+'FF'!J20+PrF!J20+FSS!J20+PřF!J20+'FI'!J20+PdF!J20+FSpS!J20+ESF!J20</f>
        <v>0</v>
      </c>
      <c r="U20" s="121">
        <f>LF!K20+'FF'!K20+PrF!K20+FSS!K20+PřF!K20+'FI'!K20+PdF!K20+FSpS!K20+ESF!K20</f>
        <v>0</v>
      </c>
      <c r="V20" s="163">
        <f>LF!L20+'FF'!L20+PrF!L20+FSS!L20+PřF!L20+'FI'!L20+PdF!L20+FSpS!L20+ESF!L20</f>
        <v>0</v>
      </c>
      <c r="W20" s="96">
        <f>(LF!N20+'FF'!N20+PrF!N20+FSS!N20+PřF!N20+'FI'!N20+PdF!N20+FSpS!N20+ESF!N20)/1000</f>
        <v>0</v>
      </c>
      <c r="X20" s="519">
        <f>fak!Q20</f>
        <v>20332</v>
      </c>
      <c r="Y20" s="239"/>
      <c r="Z20" s="1023"/>
    </row>
    <row r="21" spans="1:26" s="25" customFormat="1" ht="12.75">
      <c r="A21" s="21"/>
      <c r="B21" s="31" t="s">
        <v>175</v>
      </c>
      <c r="C21" s="31"/>
      <c r="D21" s="31"/>
      <c r="E21" s="276">
        <v>19</v>
      </c>
      <c r="F21" s="94">
        <f>LF!F21</f>
        <v>17822</v>
      </c>
      <c r="G21" s="151">
        <f>'FF'!F21</f>
        <v>38050</v>
      </c>
      <c r="H21" s="151">
        <f>PrF!F21</f>
        <v>11400</v>
      </c>
      <c r="I21" s="151">
        <f>FSS!F21</f>
        <v>17096</v>
      </c>
      <c r="J21" s="151">
        <f>PřF!F21</f>
        <v>72000</v>
      </c>
      <c r="K21" s="151">
        <f>'FI'!F21</f>
        <v>15000</v>
      </c>
      <c r="L21" s="151">
        <f>PdF!F21</f>
        <v>17000</v>
      </c>
      <c r="M21" s="151">
        <f>FSpS!F21</f>
        <v>28939</v>
      </c>
      <c r="N21" s="151">
        <f>ESF!F21</f>
        <v>12850</v>
      </c>
      <c r="O21" s="96">
        <f t="shared" si="2"/>
        <v>230157</v>
      </c>
      <c r="P21" s="267"/>
      <c r="Q21" s="220">
        <f>LF!G21+'FF'!G21+PrF!G21+FSS!G21+PřF!G21+'FI'!G21+PdF!G21+FSpS!G21+ESF!G21</f>
        <v>230157</v>
      </c>
      <c r="R21" s="121">
        <f>LF!H21+'FF'!H21+PrF!H21+FSS!H21+PřF!H21+'FI'!H21+PdF!H21+FSpS!H21+ESF!H21</f>
        <v>0</v>
      </c>
      <c r="S21" s="121">
        <f>LF!I21+'FF'!I21+PrF!I21+FSS!I21+PřF!I21+'FI'!I21+PdF!I21+FSpS!I21+ESF!I21</f>
        <v>0</v>
      </c>
      <c r="T21" s="121">
        <f>LF!J21+'FF'!J21+PrF!J21+FSS!J21+PřF!J21+'FI'!J21+PdF!J21+FSpS!J21+ESF!J21</f>
        <v>0</v>
      </c>
      <c r="U21" s="121">
        <f>LF!K21+'FF'!K21+PrF!K21+FSS!K21+PřF!K21+'FI'!K21+PdF!K21+FSpS!K21+ESF!K21</f>
        <v>0</v>
      </c>
      <c r="V21" s="163">
        <f>LF!L21+'FF'!L21+PrF!L21+FSS!L21+PřF!L21+'FI'!L21+PdF!L21+FSpS!L21+ESF!L21</f>
        <v>0</v>
      </c>
      <c r="W21" s="96">
        <f>(LF!N21+'FF'!N21+PrF!N21+FSS!N21+PřF!N21+'FI'!N21+PdF!N21+FSpS!N21+ESF!N21)/1000</f>
        <v>0</v>
      </c>
      <c r="X21" s="519">
        <f>fak!Q21</f>
        <v>126439</v>
      </c>
      <c r="Y21" s="239"/>
      <c r="Z21" s="1023"/>
    </row>
    <row r="22" spans="1:26" s="25" customFormat="1" ht="12.75">
      <c r="A22" s="21"/>
      <c r="B22" s="31" t="s">
        <v>40</v>
      </c>
      <c r="C22" s="31"/>
      <c r="D22" s="31"/>
      <c r="E22" s="276">
        <v>20</v>
      </c>
      <c r="F22" s="94">
        <f>LF!F22</f>
        <v>152</v>
      </c>
      <c r="G22" s="151">
        <f>'FF'!F22</f>
        <v>4500</v>
      </c>
      <c r="H22" s="151">
        <f>PrF!F22</f>
        <v>588</v>
      </c>
      <c r="I22" s="151">
        <f>FSS!F22</f>
        <v>888</v>
      </c>
      <c r="J22" s="151">
        <f>PřF!F22</f>
        <v>15000</v>
      </c>
      <c r="K22" s="151">
        <f>'FI'!F22</f>
        <v>1965</v>
      </c>
      <c r="L22" s="151">
        <f>PdF!F22</f>
        <v>500</v>
      </c>
      <c r="M22" s="151">
        <f>FSpS!F22</f>
        <v>20</v>
      </c>
      <c r="N22" s="151">
        <f>ESF!F22</f>
        <v>0</v>
      </c>
      <c r="O22" s="96">
        <f t="shared" si="2"/>
        <v>23613</v>
      </c>
      <c r="P22" s="267"/>
      <c r="Q22" s="220">
        <f>LF!G22+'FF'!G22+PrF!G22+FSS!G22+PřF!G22+'FI'!G22+PdF!G22+FSpS!G22+ESF!G22</f>
        <v>20875</v>
      </c>
      <c r="R22" s="121">
        <f>LF!H22+'FF'!H22+PrF!H22+FSS!H22+PřF!H22+'FI'!H22+PdF!H22+FSpS!H22+ESF!H22</f>
        <v>0</v>
      </c>
      <c r="S22" s="121">
        <f>LF!I22+'FF'!I22+PrF!I22+FSS!I22+PřF!I22+'FI'!I22+PdF!I22+FSpS!I22+ESF!I22</f>
        <v>2738</v>
      </c>
      <c r="T22" s="121">
        <f>LF!J22+'FF'!J22+PrF!J22+FSS!J22+PřF!J22+'FI'!J22+PdF!J22+FSpS!J22+ESF!J22</f>
        <v>0</v>
      </c>
      <c r="U22" s="121">
        <f>LF!K22+'FF'!K22+PrF!K22+FSS!K22+PřF!K22+'FI'!K22+PdF!K22+FSpS!K22+ESF!K22</f>
        <v>0</v>
      </c>
      <c r="V22" s="163">
        <f>LF!L22+'FF'!L22+PrF!L22+FSS!L22+PřF!L22+'FI'!L22+PdF!L22+FSpS!L22+ESF!L22</f>
        <v>0</v>
      </c>
      <c r="W22" s="96">
        <f>(LF!N22+'FF'!N22+PrF!N22+FSS!N22+PřF!N22+'FI'!N22+PdF!N22+FSpS!N22+ESF!N22)/1000</f>
        <v>0</v>
      </c>
      <c r="X22" s="519">
        <f>fak!Q22</f>
        <v>34260</v>
      </c>
      <c r="Y22" s="239"/>
      <c r="Z22" s="1023"/>
    </row>
    <row r="23" spans="1:26" s="25" customFormat="1" ht="12.75">
      <c r="A23" s="21"/>
      <c r="B23" s="31" t="s">
        <v>42</v>
      </c>
      <c r="C23" s="31"/>
      <c r="D23" s="31"/>
      <c r="E23" s="276">
        <v>21</v>
      </c>
      <c r="F23" s="94">
        <f>LF!F23</f>
        <v>21097</v>
      </c>
      <c r="G23" s="151">
        <f>'FF'!F23</f>
        <v>20005</v>
      </c>
      <c r="H23" s="151">
        <f>PrF!F23</f>
        <v>2658</v>
      </c>
      <c r="I23" s="151">
        <f>FSS!F23</f>
        <v>11185</v>
      </c>
      <c r="J23" s="151">
        <f>PřF!F23</f>
        <v>54618</v>
      </c>
      <c r="K23" s="151">
        <f>'FI'!F23</f>
        <v>4228</v>
      </c>
      <c r="L23" s="151">
        <f>PdF!F23</f>
        <v>15274</v>
      </c>
      <c r="M23" s="151">
        <f>FSpS!F23</f>
        <v>0</v>
      </c>
      <c r="N23" s="151">
        <f>ESF!F23</f>
        <v>0</v>
      </c>
      <c r="O23" s="96">
        <f t="shared" si="2"/>
        <v>129065</v>
      </c>
      <c r="P23" s="267"/>
      <c r="Q23" s="220">
        <f>LF!G23+'FF'!G23+PrF!G23+FSS!G23+PřF!G23+'FI'!G23+PdF!G23+FSpS!G23+ESF!G23</f>
        <v>127272</v>
      </c>
      <c r="R23" s="121">
        <f>LF!H23+'FF'!H23+PrF!H23+FSS!H23+PřF!H23+'FI'!H23+PdF!H23+FSpS!H23+ESF!H23</f>
        <v>0</v>
      </c>
      <c r="S23" s="121">
        <f>LF!I23+'FF'!I23+PrF!I23+FSS!I23+PřF!I23+'FI'!I23+PdF!I23+FSpS!I23+ESF!I23</f>
        <v>1793</v>
      </c>
      <c r="T23" s="121">
        <f>LF!J23+'FF'!J23+PrF!J23+FSS!J23+PřF!J23+'FI'!J23+PdF!J23+FSpS!J23+ESF!J23</f>
        <v>0</v>
      </c>
      <c r="U23" s="121">
        <f>LF!K23+'FF'!K23+PrF!K23+FSS!K23+PřF!K23+'FI'!K23+PdF!K23+FSpS!K23+ESF!K23</f>
        <v>0</v>
      </c>
      <c r="V23" s="163">
        <f>LF!L23+'FF'!L23+PrF!L23+FSS!L23+PřF!L23+'FI'!L23+PdF!L23+FSpS!L23+ESF!L23</f>
        <v>0</v>
      </c>
      <c r="W23" s="96">
        <f>(LF!N23+'FF'!N23+PrF!N23+FSS!N23+PřF!N23+'FI'!N23+PdF!N23+FSpS!N23+ESF!N23)/1000</f>
        <v>0</v>
      </c>
      <c r="X23" s="519">
        <f>fak!Q23</f>
        <v>242526</v>
      </c>
      <c r="Y23" s="239"/>
      <c r="Z23" s="1023"/>
    </row>
    <row r="24" spans="1:26" s="25" customFormat="1" ht="12.75">
      <c r="A24" s="21"/>
      <c r="B24" s="31" t="s">
        <v>43</v>
      </c>
      <c r="C24" s="31"/>
      <c r="D24" s="31"/>
      <c r="E24" s="276">
        <v>22</v>
      </c>
      <c r="F24" s="94">
        <f>LF!F24</f>
        <v>111476</v>
      </c>
      <c r="G24" s="151">
        <f>'FF'!F24</f>
        <v>38000</v>
      </c>
      <c r="H24" s="151">
        <f>PrF!F24</f>
        <v>8019</v>
      </c>
      <c r="I24" s="151">
        <f>FSS!F24</f>
        <v>28630</v>
      </c>
      <c r="J24" s="151">
        <f>PřF!F24</f>
        <v>250000</v>
      </c>
      <c r="K24" s="151">
        <f>'FI'!F24</f>
        <v>35191</v>
      </c>
      <c r="L24" s="151">
        <f>PdF!F24</f>
        <v>9157</v>
      </c>
      <c r="M24" s="151">
        <f>FSpS!F24</f>
        <v>1192</v>
      </c>
      <c r="N24" s="151">
        <f>ESF!F24</f>
        <v>25179</v>
      </c>
      <c r="O24" s="96">
        <f t="shared" si="2"/>
        <v>506844</v>
      </c>
      <c r="P24" s="267"/>
      <c r="Q24" s="220">
        <f>LF!G24+'FF'!G24+PrF!G24+FSS!G24+PřF!G24+'FI'!G24+PdF!G24+FSpS!G24+ESF!G24</f>
        <v>494902</v>
      </c>
      <c r="R24" s="121">
        <f>LF!H24+'FF'!H24+PrF!H24+FSS!H24+PřF!H24+'FI'!H24+PdF!H24+FSpS!H24+ESF!H24</f>
        <v>0</v>
      </c>
      <c r="S24" s="121">
        <f>LF!I24+'FF'!I24+PrF!I24+FSS!I24+PřF!I24+'FI'!I24+PdF!I24+FSpS!I24+ESF!I24</f>
        <v>11942</v>
      </c>
      <c r="T24" s="121">
        <f>LF!J24+'FF'!J24+PrF!J24+FSS!J24+PřF!J24+'FI'!J24+PdF!J24+FSpS!J24+ESF!J24</f>
        <v>0</v>
      </c>
      <c r="U24" s="121">
        <f>LF!K24+'FF'!K24+PrF!K24+FSS!K24+PřF!K24+'FI'!K24+PdF!K24+FSpS!K24+ESF!K24</f>
        <v>0</v>
      </c>
      <c r="V24" s="163">
        <f>LF!L24+'FF'!L24+PrF!L24+FSS!L24+PřF!L24+'FI'!L24+PdF!L24+FSpS!L24+ESF!L24</f>
        <v>0</v>
      </c>
      <c r="W24" s="96">
        <f>(LF!N24+'FF'!N24+PrF!N24+FSS!N24+PřF!N24+'FI'!N24+PdF!N24+FSpS!N24+ESF!N24)/1000</f>
        <v>0</v>
      </c>
      <c r="X24" s="519">
        <f>fak!Q24</f>
        <v>466032</v>
      </c>
      <c r="Y24" s="239"/>
      <c r="Z24" s="1023"/>
    </row>
    <row r="25" spans="1:26" s="25" customFormat="1" ht="12.75">
      <c r="A25" s="21"/>
      <c r="B25" s="31" t="s">
        <v>186</v>
      </c>
      <c r="C25" s="31"/>
      <c r="D25" s="31"/>
      <c r="E25" s="276">
        <v>23</v>
      </c>
      <c r="F25" s="94">
        <f>LF!F25</f>
        <v>772</v>
      </c>
      <c r="G25" s="151">
        <f>'FF'!F25</f>
        <v>100</v>
      </c>
      <c r="H25" s="151">
        <f>PrF!F25</f>
        <v>1302</v>
      </c>
      <c r="I25" s="151">
        <f>FSS!F25</f>
        <v>3411</v>
      </c>
      <c r="J25" s="151">
        <f>PřF!F25</f>
        <v>75000</v>
      </c>
      <c r="K25" s="151">
        <f>'FI'!F25</f>
        <v>749</v>
      </c>
      <c r="L25" s="151">
        <f>PdF!F25</f>
        <v>2000</v>
      </c>
      <c r="M25" s="151">
        <f>FSpS!F25</f>
        <v>2641</v>
      </c>
      <c r="N25" s="151">
        <f>ESF!F25</f>
        <v>0</v>
      </c>
      <c r="O25" s="96">
        <f t="shared" si="2"/>
        <v>85975</v>
      </c>
      <c r="P25" s="267"/>
      <c r="Q25" s="220">
        <f>LF!G25+'FF'!G25+PrF!G25+FSS!G25+PřF!G25+'FI'!G25+PdF!G25+FSpS!G25+ESF!G25</f>
        <v>83226</v>
      </c>
      <c r="R25" s="121">
        <f>LF!H25+'FF'!H25+PrF!H25+FSS!H25+PřF!H25+'FI'!H25+PdF!H25+FSpS!H25+ESF!H25</f>
        <v>0</v>
      </c>
      <c r="S25" s="121">
        <f>LF!I25+'FF'!I25+PrF!I25+FSS!I25+PřF!I25+'FI'!I25+PdF!I25+FSpS!I25+ESF!I25</f>
        <v>2749</v>
      </c>
      <c r="T25" s="121">
        <f>LF!J25+'FF'!J25+PrF!J25+FSS!J25+PřF!J25+'FI'!J25+PdF!J25+FSpS!J25+ESF!J25</f>
        <v>0</v>
      </c>
      <c r="U25" s="121">
        <f>LF!K25+'FF'!K25+PrF!K25+FSS!K25+PřF!K25+'FI'!K25+PdF!K25+FSpS!K25+ESF!K25</f>
        <v>0</v>
      </c>
      <c r="V25" s="163">
        <f>LF!L25+'FF'!L25+PrF!L25+FSS!L25+PřF!L25+'FI'!L25+PdF!L25+FSpS!L25+ESF!L25</f>
        <v>0</v>
      </c>
      <c r="W25" s="96">
        <f>(LF!N25+'FF'!N25+PrF!N25+FSS!N25+PřF!N25+'FI'!N25+PdF!N25+FSpS!N25+ESF!N25)/1000</f>
        <v>0</v>
      </c>
      <c r="X25" s="519">
        <f>fak!Q25</f>
        <v>62079</v>
      </c>
      <c r="Y25" s="239"/>
      <c r="Z25" s="1023"/>
    </row>
    <row r="26" spans="1:26" s="25" customFormat="1" ht="12.75">
      <c r="A26" s="21"/>
      <c r="B26" s="31" t="s">
        <v>45</v>
      </c>
      <c r="C26" s="31"/>
      <c r="D26" s="31"/>
      <c r="E26" s="276">
        <v>24</v>
      </c>
      <c r="F26" s="94">
        <f>LF!F26</f>
        <v>14919</v>
      </c>
      <c r="G26" s="151">
        <f>'FF'!F26</f>
        <v>650</v>
      </c>
      <c r="H26" s="151">
        <f>PrF!F26</f>
        <v>0</v>
      </c>
      <c r="I26" s="151">
        <f>FSS!F26</f>
        <v>430</v>
      </c>
      <c r="J26" s="151">
        <f>PřF!F26</f>
        <v>30000</v>
      </c>
      <c r="K26" s="151">
        <f>'FI'!F26</f>
        <v>10965</v>
      </c>
      <c r="L26" s="151">
        <f>PdF!F26</f>
        <v>0</v>
      </c>
      <c r="M26" s="151">
        <f>FSpS!F26</f>
        <v>0</v>
      </c>
      <c r="N26" s="151">
        <f>ESF!F26</f>
        <v>69</v>
      </c>
      <c r="O26" s="96">
        <f t="shared" si="2"/>
        <v>57033</v>
      </c>
      <c r="P26" s="267"/>
      <c r="Q26" s="220">
        <f>LF!G26+'FF'!G26+PrF!G26+FSS!G26+PřF!G26+'FI'!G26+PdF!G26+FSpS!G26+ESF!G26</f>
        <v>56286</v>
      </c>
      <c r="R26" s="121">
        <f>LF!H26+'FF'!H26+PrF!H26+FSS!H26+PřF!H26+'FI'!H26+PdF!H26+FSpS!H26+ESF!H26</f>
        <v>0</v>
      </c>
      <c r="S26" s="121">
        <f>LF!I26+'FF'!I26+PrF!I26+FSS!I26+PřF!I26+'FI'!I26+PdF!I26+FSpS!I26+ESF!I26</f>
        <v>747</v>
      </c>
      <c r="T26" s="121">
        <f>LF!J26+'FF'!J26+PrF!J26+FSS!J26+PřF!J26+'FI'!J26+PdF!J26+FSpS!J26+ESF!J26</f>
        <v>0</v>
      </c>
      <c r="U26" s="121">
        <f>LF!K26+'FF'!K26+PrF!K26+FSS!K26+PřF!K26+'FI'!K26+PdF!K26+FSpS!K26+ESF!K26</f>
        <v>0</v>
      </c>
      <c r="V26" s="163">
        <f>LF!L26+'FF'!L26+PrF!L26+FSS!L26+PřF!L26+'FI'!L26+PdF!L26+FSpS!L26+ESF!L26</f>
        <v>0</v>
      </c>
      <c r="W26" s="96">
        <f>(LF!N26+'FF'!N26+PrF!N26+FSS!N26+PřF!N26+'FI'!N26+PdF!N26+FSpS!N26+ESF!N26)/1000</f>
        <v>0</v>
      </c>
      <c r="X26" s="519">
        <f>fak!Q26</f>
        <v>59477</v>
      </c>
      <c r="Y26" s="239"/>
      <c r="Z26" s="1023"/>
    </row>
    <row r="27" spans="1:26" s="25" customFormat="1" ht="13.5" thickBot="1">
      <c r="A27" s="21"/>
      <c r="B27" s="30" t="s">
        <v>47</v>
      </c>
      <c r="C27" s="30"/>
      <c r="D27" s="30"/>
      <c r="E27" s="275">
        <v>25</v>
      </c>
      <c r="F27" s="94">
        <f>LF!F27</f>
        <v>4050</v>
      </c>
      <c r="G27" s="151">
        <f>'FF'!F27</f>
        <v>290</v>
      </c>
      <c r="H27" s="151">
        <f>PrF!F27</f>
        <v>316</v>
      </c>
      <c r="I27" s="151">
        <f>FSS!F27</f>
        <v>180</v>
      </c>
      <c r="J27" s="151">
        <f>PřF!F27</f>
        <v>23750</v>
      </c>
      <c r="K27" s="151">
        <f>'FI'!F27</f>
        <v>1530</v>
      </c>
      <c r="L27" s="151">
        <f>PdF!F27</f>
        <v>800</v>
      </c>
      <c r="M27" s="151">
        <f>FSpS!F27</f>
        <v>895</v>
      </c>
      <c r="N27" s="151">
        <f>ESF!F27</f>
        <v>4000</v>
      </c>
      <c r="O27" s="96">
        <f t="shared" si="2"/>
        <v>35811</v>
      </c>
      <c r="P27" s="267"/>
      <c r="Q27" s="220">
        <f>LF!G27+'FF'!G27+PrF!G27+FSS!G27+PřF!G27+'FI'!G27+PdF!G27+FSpS!G27+ESF!G27</f>
        <v>35811</v>
      </c>
      <c r="R27" s="121">
        <f>LF!H27+'FF'!H27+PrF!H27+FSS!H27+PřF!H27+'FI'!H27+PdF!H27+FSpS!H27+ESF!H27</f>
        <v>0</v>
      </c>
      <c r="S27" s="121">
        <f>LF!I27+'FF'!I27+PrF!I27+FSS!I27+PřF!I27+'FI'!I27+PdF!I27+FSpS!I27+ESF!I27</f>
        <v>0</v>
      </c>
      <c r="T27" s="121">
        <f>LF!J27+'FF'!J27+PrF!J27+FSS!J27+PřF!J27+'FI'!J27+PdF!J27+FSpS!J27+ESF!J27</f>
        <v>0</v>
      </c>
      <c r="U27" s="121">
        <f>LF!K27+'FF'!K27+PrF!K27+FSS!K27+PřF!K27+'FI'!K27+PdF!K27+FSpS!K27+ESF!K27</f>
        <v>0</v>
      </c>
      <c r="V27" s="163">
        <f>LF!L27+'FF'!L27+PrF!L27+FSS!L27+PřF!L27+'FI'!L27+PdF!L27+FSpS!L27+ESF!L27</f>
        <v>0</v>
      </c>
      <c r="W27" s="96">
        <f>(LF!N27+'FF'!N27+PrF!N27+FSS!N27+PřF!N27+'FI'!N27+PdF!N27+FSpS!N27+ESF!N27)/1000</f>
        <v>0</v>
      </c>
      <c r="X27" s="975">
        <f>fak!Q27</f>
        <v>37826</v>
      </c>
      <c r="Y27" s="239"/>
      <c r="Z27" s="1023"/>
    </row>
    <row r="28" spans="1:26" ht="13.5" thickBot="1">
      <c r="A28" s="37" t="s">
        <v>49</v>
      </c>
      <c r="B28" s="38"/>
      <c r="C28" s="38"/>
      <c r="D28" s="38"/>
      <c r="E28" s="272">
        <v>26</v>
      </c>
      <c r="F28" s="194">
        <f>SUM(F29:F45)</f>
        <v>679999</v>
      </c>
      <c r="G28" s="194">
        <f aca="true" t="shared" si="3" ref="G28:N28">SUM(G29:G45)</f>
        <v>476668</v>
      </c>
      <c r="H28" s="194">
        <f t="shared" si="3"/>
        <v>171124</v>
      </c>
      <c r="I28" s="194">
        <f t="shared" si="3"/>
        <v>230392</v>
      </c>
      <c r="J28" s="194">
        <f t="shared" si="3"/>
        <v>1072417</v>
      </c>
      <c r="K28" s="194">
        <f t="shared" si="3"/>
        <v>241893</v>
      </c>
      <c r="L28" s="194">
        <f t="shared" si="3"/>
        <v>303504</v>
      </c>
      <c r="M28" s="194">
        <f t="shared" si="3"/>
        <v>119427</v>
      </c>
      <c r="N28" s="194">
        <f t="shared" si="3"/>
        <v>193998</v>
      </c>
      <c r="O28" s="172">
        <f aca="true" t="shared" si="4" ref="O28:W28">SUM(O29:O45)</f>
        <v>3489422</v>
      </c>
      <c r="P28" s="177">
        <f t="shared" si="4"/>
        <v>0</v>
      </c>
      <c r="Q28" s="77">
        <f t="shared" si="4"/>
        <v>3216648</v>
      </c>
      <c r="R28" s="77">
        <f t="shared" si="4"/>
        <v>179735</v>
      </c>
      <c r="S28" s="77">
        <f t="shared" si="4"/>
        <v>23397</v>
      </c>
      <c r="T28" s="77">
        <f t="shared" si="4"/>
        <v>2000</v>
      </c>
      <c r="U28" s="77">
        <f t="shared" si="4"/>
        <v>21572</v>
      </c>
      <c r="V28" s="77">
        <f t="shared" si="4"/>
        <v>46070</v>
      </c>
      <c r="W28" s="78">
        <f t="shared" si="4"/>
        <v>0</v>
      </c>
      <c r="X28" s="588">
        <f>fak!Q28</f>
        <v>3308884</v>
      </c>
      <c r="Y28" s="239"/>
      <c r="Z28" s="1023"/>
    </row>
    <row r="29" spans="1:26" s="25" customFormat="1" ht="12.75">
      <c r="A29" s="21" t="s">
        <v>14</v>
      </c>
      <c r="B29" s="27" t="s">
        <v>50</v>
      </c>
      <c r="C29" s="27"/>
      <c r="D29" s="27"/>
      <c r="E29" s="275">
        <v>27</v>
      </c>
      <c r="F29" s="94">
        <f>LF!F29</f>
        <v>243492</v>
      </c>
      <c r="G29" s="151">
        <f>'FF'!F29</f>
        <v>224694</v>
      </c>
      <c r="H29" s="151">
        <f>PrF!F29</f>
        <v>85727</v>
      </c>
      <c r="I29" s="151">
        <f>FSS!F29</f>
        <v>90398</v>
      </c>
      <c r="J29" s="151">
        <f>PřF!F29</f>
        <v>165239</v>
      </c>
      <c r="K29" s="151">
        <f>'FI'!F29</f>
        <v>105843</v>
      </c>
      <c r="L29" s="151">
        <f>PdF!F29</f>
        <v>177490</v>
      </c>
      <c r="M29" s="151">
        <f>FSpS!F29</f>
        <v>56535</v>
      </c>
      <c r="N29" s="151">
        <f>ESF!F29</f>
        <v>104055</v>
      </c>
      <c r="O29" s="96">
        <f aca="true" t="shared" si="5" ref="O29:O45">SUM(F29:N29)</f>
        <v>1253473</v>
      </c>
      <c r="P29" s="178"/>
      <c r="Q29" s="220">
        <f>LF!G29+'FF'!G29+PrF!G29+FSS!G29+PřF!G29+'FI'!G29+PdF!G29+FSpS!G29+ESF!G29</f>
        <v>1253473</v>
      </c>
      <c r="R29" s="121">
        <f>LF!H29+'FF'!H29+PrF!H29+FSS!H29+PřF!H29+'FI'!H29+PdF!H29+FSpS!H29+ESF!H29</f>
        <v>0</v>
      </c>
      <c r="S29" s="121">
        <f>LF!I29+'FF'!I29+PrF!I29+FSS!I29+PřF!I29+'FI'!I29+PdF!I29+FSpS!I29+ESF!I29</f>
        <v>0</v>
      </c>
      <c r="T29" s="121">
        <f>LF!J29+'FF'!J29+PrF!J29+FSS!J29+PřF!J29+'FI'!J29+PdF!J29+FSpS!J29+ESF!J29</f>
        <v>0</v>
      </c>
      <c r="U29" s="121">
        <f>LF!K29+'FF'!K29+PrF!K29+FSS!K29+PřF!K29+'FI'!K29+PdF!K29+FSpS!K29+ESF!K29</f>
        <v>0</v>
      </c>
      <c r="V29" s="163">
        <f>LF!L29+'FF'!L29+PrF!L29+FSS!L29+PřF!L29+'FI'!L29+PdF!L29+FSpS!L29+ESF!L29</f>
        <v>0</v>
      </c>
      <c r="W29" s="96">
        <f>(LF!N29+'FF'!N29+PrF!N29+FSS!N29+PřF!N29+'FI'!N29+PdF!N29+FSpS!N29+ESF!N29)/1000</f>
        <v>0</v>
      </c>
      <c r="X29" s="591">
        <f>fak!Q29</f>
        <v>1322304</v>
      </c>
      <c r="Y29" s="239"/>
      <c r="Z29" s="1023"/>
    </row>
    <row r="30" spans="1:26" s="25" customFormat="1" ht="12.75">
      <c r="A30" s="21"/>
      <c r="B30" s="30" t="s">
        <v>28</v>
      </c>
      <c r="C30" s="30"/>
      <c r="D30" s="30"/>
      <c r="E30" s="275">
        <v>28</v>
      </c>
      <c r="F30" s="94">
        <f>LF!F30</f>
        <v>26626</v>
      </c>
      <c r="G30" s="151">
        <f>'FF'!F30</f>
        <v>31120</v>
      </c>
      <c r="H30" s="151">
        <f>PrF!F30</f>
        <v>6000</v>
      </c>
      <c r="I30" s="151">
        <f>FSS!F30</f>
        <v>14000</v>
      </c>
      <c r="J30" s="151">
        <f>PřF!F30</f>
        <v>50000</v>
      </c>
      <c r="K30" s="151">
        <f>'FI'!F30</f>
        <v>7800</v>
      </c>
      <c r="L30" s="151">
        <f>PdF!F30</f>
        <v>8000</v>
      </c>
      <c r="M30" s="151">
        <f>FSpS!F30</f>
        <v>3100</v>
      </c>
      <c r="N30" s="151">
        <f>ESF!F30</f>
        <v>5000</v>
      </c>
      <c r="O30" s="96">
        <f t="shared" si="5"/>
        <v>151646</v>
      </c>
      <c r="P30" s="268"/>
      <c r="Q30" s="220">
        <f>LF!G30+'FF'!G30+PrF!G30+FSS!G30+PřF!G30+'FI'!G30+PdF!G30+FSpS!G30+ESF!G30</f>
        <v>151646</v>
      </c>
      <c r="R30" s="121">
        <f>LF!H30+'FF'!H30+PrF!H30+FSS!H30+PřF!H30+'FI'!H30+PdF!H30+FSpS!H30+ESF!H30</f>
        <v>0</v>
      </c>
      <c r="S30" s="121">
        <f>LF!I30+'FF'!I30+PrF!I30+FSS!I30+PřF!I30+'FI'!I30+PdF!I30+FSpS!I30+ESF!I30</f>
        <v>0</v>
      </c>
      <c r="T30" s="121">
        <f>LF!J30+'FF'!J30+PrF!J30+FSS!J30+PřF!J30+'FI'!J30+PdF!J30+FSpS!J30+ESF!J30</f>
        <v>0</v>
      </c>
      <c r="U30" s="121">
        <f>LF!K30+'FF'!K30+PrF!K30+FSS!K30+PřF!K30+'FI'!K30+PdF!K30+FSpS!K30+ESF!K30</f>
        <v>0</v>
      </c>
      <c r="V30" s="163">
        <f>LF!L30+'FF'!L30+PrF!L30+FSS!L30+PřF!L30+'FI'!L30+PdF!L30+FSpS!L30+ESF!L30</f>
        <v>0</v>
      </c>
      <c r="W30" s="96">
        <f>(LF!N30+'FF'!N30+PrF!N30+FSS!N30+PřF!N30+'FI'!N30+PdF!N30+FSpS!N30+ESF!N30)/1000</f>
        <v>0</v>
      </c>
      <c r="X30" s="519">
        <f>fak!Q30</f>
        <v>146629</v>
      </c>
      <c r="Y30" s="239"/>
      <c r="Z30" s="1023"/>
    </row>
    <row r="31" spans="1:26" s="25" customFormat="1" ht="12.75">
      <c r="A31" s="21"/>
      <c r="B31" s="30" t="s">
        <v>30</v>
      </c>
      <c r="C31" s="30"/>
      <c r="D31" s="30"/>
      <c r="E31" s="275">
        <v>29</v>
      </c>
      <c r="F31" s="94">
        <f>LF!F31</f>
        <v>500</v>
      </c>
      <c r="G31" s="151">
        <f>'FF'!F31</f>
        <v>4811</v>
      </c>
      <c r="H31" s="151">
        <f>PrF!F31</f>
        <v>60</v>
      </c>
      <c r="I31" s="151">
        <f>FSS!F31</f>
        <v>126</v>
      </c>
      <c r="J31" s="151">
        <f>PřF!F31</f>
        <v>1200</v>
      </c>
      <c r="K31" s="151">
        <f>'FI'!F31</f>
        <v>400</v>
      </c>
      <c r="L31" s="151">
        <f>PdF!F31</f>
        <v>350</v>
      </c>
      <c r="M31" s="151">
        <f>FSpS!F31</f>
        <v>0</v>
      </c>
      <c r="N31" s="151">
        <f>ESF!F31</f>
        <v>478</v>
      </c>
      <c r="O31" s="96">
        <f t="shared" si="5"/>
        <v>7925</v>
      </c>
      <c r="P31" s="268"/>
      <c r="Q31" s="220">
        <f>LF!G31+'FF'!G31+PrF!G31+FSS!G31+PřF!G31+'FI'!G31+PdF!G31+FSpS!G31+ESF!G31</f>
        <v>7925</v>
      </c>
      <c r="R31" s="121">
        <f>LF!H31+'FF'!H31+PrF!H31+FSS!H31+PřF!H31+'FI'!H31+PdF!H31+FSpS!H31+ESF!H31</f>
        <v>0</v>
      </c>
      <c r="S31" s="121">
        <f>LF!I31+'FF'!I31+PrF!I31+FSS!I31+PřF!I31+'FI'!I31+PdF!I31+FSpS!I31+ESF!I31</f>
        <v>0</v>
      </c>
      <c r="T31" s="121">
        <f>LF!J31+'FF'!J31+PrF!J31+FSS!J31+PřF!J31+'FI'!J31+PdF!J31+FSpS!J31+ESF!J31</f>
        <v>0</v>
      </c>
      <c r="U31" s="121">
        <f>LF!K31+'FF'!K31+PrF!K31+FSS!K31+PřF!K31+'FI'!K31+PdF!K31+FSpS!K31+ESF!K31</f>
        <v>0</v>
      </c>
      <c r="V31" s="163">
        <f>LF!L31+'FF'!L31+PrF!L31+FSS!L31+PřF!L31+'FI'!L31+PdF!L31+FSpS!L31+ESF!L31</f>
        <v>0</v>
      </c>
      <c r="W31" s="96">
        <f>(LF!N31+'FF'!N31+PrF!N31+FSS!N31+PřF!N31+'FI'!N31+PdF!N31+FSpS!N31+ESF!N31)/1000</f>
        <v>0</v>
      </c>
      <c r="X31" s="519">
        <f>fak!Q31</f>
        <v>9345</v>
      </c>
      <c r="Y31" s="239"/>
      <c r="Z31" s="1023"/>
    </row>
    <row r="32" spans="1:26" s="25" customFormat="1" ht="12.75">
      <c r="A32" s="21"/>
      <c r="B32" s="31" t="s">
        <v>32</v>
      </c>
      <c r="C32" s="32"/>
      <c r="D32" s="32"/>
      <c r="E32" s="276">
        <v>30</v>
      </c>
      <c r="F32" s="94">
        <f>LF!F32</f>
        <v>2331</v>
      </c>
      <c r="G32" s="151">
        <f>'FF'!F32</f>
        <v>3552</v>
      </c>
      <c r="H32" s="151">
        <f>PrF!F32</f>
        <v>0</v>
      </c>
      <c r="I32" s="151">
        <f>FSS!F32</f>
        <v>4625</v>
      </c>
      <c r="J32" s="151">
        <f>PřF!F32</f>
        <v>5000</v>
      </c>
      <c r="K32" s="151">
        <f>'FI'!F32</f>
        <v>4854</v>
      </c>
      <c r="L32" s="151">
        <f>PdF!F32</f>
        <v>500</v>
      </c>
      <c r="M32" s="151">
        <f>FSpS!F32</f>
        <v>1357</v>
      </c>
      <c r="N32" s="151">
        <f>ESF!F32</f>
        <v>0</v>
      </c>
      <c r="O32" s="96">
        <f t="shared" si="5"/>
        <v>22219</v>
      </c>
      <c r="P32" s="268"/>
      <c r="Q32" s="220">
        <f>LF!G32+'FF'!G32+PrF!G32+FSS!G32+PřF!G32+'FI'!G32+PdF!G32+FSpS!G32+ESF!G32</f>
        <v>22219</v>
      </c>
      <c r="R32" s="121">
        <f>LF!H32+'FF'!H32+PrF!H32+FSS!H32+PřF!H32+'FI'!H32+PdF!H32+FSpS!H32+ESF!H32</f>
        <v>0</v>
      </c>
      <c r="S32" s="121">
        <f>LF!I32+'FF'!I32+PrF!I32+FSS!I32+PřF!I32+'FI'!I32+PdF!I32+FSpS!I32+ESF!I32</f>
        <v>0</v>
      </c>
      <c r="T32" s="121">
        <f>LF!J32+'FF'!J32+PrF!J32+FSS!J32+PřF!J32+'FI'!J32+PdF!J32+FSpS!J32+ESF!J32</f>
        <v>0</v>
      </c>
      <c r="U32" s="121">
        <f>LF!K32+'FF'!K32+PrF!K32+FSS!K32+PřF!K32+'FI'!K32+PdF!K32+FSpS!K32+ESF!K32</f>
        <v>0</v>
      </c>
      <c r="V32" s="163">
        <f>LF!L32+'FF'!L32+PrF!L32+FSS!L32+PřF!L32+'FI'!L32+PdF!L32+FSpS!L32+ESF!L32</f>
        <v>0</v>
      </c>
      <c r="W32" s="96">
        <f>(LF!N32+'FF'!N32+PrF!N32+FSS!N32+PřF!N32+'FI'!N32+PdF!N32+FSpS!N32+ESF!N32)/1000</f>
        <v>0</v>
      </c>
      <c r="X32" s="519">
        <f>fak!Q32</f>
        <v>52003</v>
      </c>
      <c r="Y32" s="239"/>
      <c r="Z32" s="1023"/>
    </row>
    <row r="33" spans="1:26" s="25" customFormat="1" ht="12.75">
      <c r="A33" s="21"/>
      <c r="B33" s="31" t="s">
        <v>34</v>
      </c>
      <c r="C33" s="31"/>
      <c r="D33" s="31"/>
      <c r="E33" s="276">
        <v>31</v>
      </c>
      <c r="F33" s="94">
        <f>LF!F33</f>
        <v>412</v>
      </c>
      <c r="G33" s="151">
        <f>'FF'!F33</f>
        <v>1760</v>
      </c>
      <c r="H33" s="151">
        <f>PrF!F33</f>
        <v>0</v>
      </c>
      <c r="I33" s="151">
        <f>FSS!F33</f>
        <v>454</v>
      </c>
      <c r="J33" s="151">
        <f>PřF!F33</f>
        <v>2721</v>
      </c>
      <c r="K33" s="151">
        <f>'FI'!F33</f>
        <v>92</v>
      </c>
      <c r="L33" s="151">
        <f>PdF!F33</f>
        <v>1213</v>
      </c>
      <c r="M33" s="151">
        <f>FSpS!F33</f>
        <v>545</v>
      </c>
      <c r="N33" s="151">
        <f>ESF!F33</f>
        <v>117</v>
      </c>
      <c r="O33" s="96">
        <f t="shared" si="5"/>
        <v>7314</v>
      </c>
      <c r="P33" s="268"/>
      <c r="Q33" s="220">
        <f>LF!G33+'FF'!G33+PrF!G33+FSS!G33+PřF!G33+'FI'!G33+PdF!G33+FSpS!G33+ESF!G33</f>
        <v>7314</v>
      </c>
      <c r="R33" s="121">
        <f>LF!H33+'FF'!H33+PrF!H33+FSS!H33+PřF!H33+'FI'!H33+PdF!H33+FSpS!H33+ESF!H33</f>
        <v>0</v>
      </c>
      <c r="S33" s="121">
        <f>LF!I33+'FF'!I33+PrF!I33+FSS!I33+PřF!I33+'FI'!I33+PdF!I33+FSpS!I33+ESF!I33</f>
        <v>0</v>
      </c>
      <c r="T33" s="121">
        <f>LF!J33+'FF'!J33+PrF!J33+FSS!J33+PřF!J33+'FI'!J33+PdF!J33+FSpS!J33+ESF!J33</f>
        <v>0</v>
      </c>
      <c r="U33" s="121">
        <f>LF!K33+'FF'!K33+PrF!K33+FSS!K33+PřF!K33+'FI'!K33+PdF!K33+FSpS!K33+ESF!K33</f>
        <v>0</v>
      </c>
      <c r="V33" s="163">
        <f>LF!L33+'FF'!L33+PrF!L33+FSS!L33+PřF!L33+'FI'!L33+PdF!L33+FSpS!L33+ESF!L33</f>
        <v>0</v>
      </c>
      <c r="W33" s="96">
        <f>(LF!N33+'FF'!N33+PrF!N33+FSS!N33+PřF!N33+'FI'!N33+PdF!N33+FSpS!N33+ESF!N33)/1000</f>
        <v>0</v>
      </c>
      <c r="X33" s="519">
        <f>fak!Q33</f>
        <v>6818</v>
      </c>
      <c r="Y33" s="239"/>
      <c r="Z33" s="1023"/>
    </row>
    <row r="34" spans="1:26" s="25" customFormat="1" ht="12.75">
      <c r="A34" s="21"/>
      <c r="B34" s="31" t="s">
        <v>52</v>
      </c>
      <c r="C34" s="31"/>
      <c r="D34" s="31"/>
      <c r="E34" s="276">
        <v>32</v>
      </c>
      <c r="F34" s="94">
        <f>LF!F34</f>
        <v>0</v>
      </c>
      <c r="G34" s="151">
        <f>'FF'!F34</f>
        <v>0</v>
      </c>
      <c r="H34" s="151">
        <f>PrF!F34</f>
        <v>0</v>
      </c>
      <c r="I34" s="151">
        <f>FSS!F34</f>
        <v>0</v>
      </c>
      <c r="J34" s="151">
        <f>PřF!F34</f>
        <v>0</v>
      </c>
      <c r="K34" s="151">
        <f>'FI'!F34</f>
        <v>0</v>
      </c>
      <c r="L34" s="151">
        <f>PdF!F34</f>
        <v>0</v>
      </c>
      <c r="M34" s="151">
        <f>FSpS!F34</f>
        <v>0</v>
      </c>
      <c r="N34" s="151">
        <f>ESF!F34</f>
        <v>0</v>
      </c>
      <c r="O34" s="96">
        <f t="shared" si="5"/>
        <v>0</v>
      </c>
      <c r="P34" s="268"/>
      <c r="Q34" s="220">
        <f>LF!G34+'FF'!G34+PrF!G34+FSS!G34+PřF!G34+'FI'!G34+PdF!G34+FSpS!G34+ESF!G34</f>
        <v>0</v>
      </c>
      <c r="R34" s="121">
        <f>LF!H34+'FF'!H34+PrF!H34+FSS!H34+PřF!H34+'FI'!H34+PdF!H34+FSpS!H34+ESF!H34</f>
        <v>0</v>
      </c>
      <c r="S34" s="121">
        <f>LF!I34+'FF'!I34+PrF!I34+FSS!I34+PřF!I34+'FI'!I34+PdF!I34+FSpS!I34+ESF!I34</f>
        <v>0</v>
      </c>
      <c r="T34" s="121">
        <f>LF!J34+'FF'!J34+PrF!J34+FSS!J34+PřF!J34+'FI'!J34+PdF!J34+FSpS!J34+ESF!J34</f>
        <v>0</v>
      </c>
      <c r="U34" s="121">
        <f>LF!K34+'FF'!K34+PrF!K34+FSS!K34+PřF!K34+'FI'!K34+PdF!K34+FSpS!K34+ESF!K34</f>
        <v>0</v>
      </c>
      <c r="V34" s="163">
        <f>LF!L34+'FF'!L34+PrF!L34+FSS!L34+PřF!L34+'FI'!L34+PdF!L34+FSpS!L34+ESF!L34</f>
        <v>0</v>
      </c>
      <c r="W34" s="96">
        <f>(LF!N34+'FF'!N34+PrF!N34+FSS!N34+PřF!N34+'FI'!N34+PdF!N34+FSpS!N34+ESF!N34)/1000</f>
        <v>0</v>
      </c>
      <c r="X34" s="519">
        <f>fak!Q34</f>
        <v>0</v>
      </c>
      <c r="Y34" s="239"/>
      <c r="Z34" s="1023"/>
    </row>
    <row r="35" spans="1:26" s="25" customFormat="1" ht="12.75">
      <c r="A35" s="21"/>
      <c r="B35" s="31" t="s">
        <v>36</v>
      </c>
      <c r="C35" s="31"/>
      <c r="D35" s="31"/>
      <c r="E35" s="276">
        <v>33</v>
      </c>
      <c r="F35" s="94">
        <f>LF!F35</f>
        <v>2007</v>
      </c>
      <c r="G35" s="151">
        <f>'FF'!F35</f>
        <v>2500</v>
      </c>
      <c r="H35" s="151">
        <f>PrF!F35</f>
        <v>0</v>
      </c>
      <c r="I35" s="151">
        <f>FSS!F35</f>
        <v>0</v>
      </c>
      <c r="J35" s="151">
        <f>PřF!F35</f>
        <v>10000</v>
      </c>
      <c r="K35" s="151">
        <f>'FI'!F35</f>
        <v>1843</v>
      </c>
      <c r="L35" s="151">
        <f>PdF!F35</f>
        <v>3000</v>
      </c>
      <c r="M35" s="151">
        <f>FSpS!F35</f>
        <v>0</v>
      </c>
      <c r="N35" s="151">
        <f>ESF!F35</f>
        <v>0</v>
      </c>
      <c r="O35" s="96">
        <f t="shared" si="5"/>
        <v>19350</v>
      </c>
      <c r="P35" s="268"/>
      <c r="Q35" s="220">
        <f>LF!G35+'FF'!G35+PrF!G35+FSS!G35+PřF!G35+'FI'!G35+PdF!G35+FSpS!G35+ESF!G35</f>
        <v>19350</v>
      </c>
      <c r="R35" s="121">
        <f>LF!H35+'FF'!H35+PrF!H35+FSS!H35+PřF!H35+'FI'!H35+PdF!H35+FSpS!H35+ESF!H35</f>
        <v>0</v>
      </c>
      <c r="S35" s="121">
        <f>LF!I35+'FF'!I35+PrF!I35+FSS!I35+PřF!I35+'FI'!I35+PdF!I35+FSpS!I35+ESF!I35</f>
        <v>0</v>
      </c>
      <c r="T35" s="121">
        <f>LF!J35+'FF'!J35+PrF!J35+FSS!J35+PřF!J35+'FI'!J35+PdF!J35+FSpS!J35+ESF!J35</f>
        <v>0</v>
      </c>
      <c r="U35" s="121">
        <f>LF!K35+'FF'!K35+PrF!K35+FSS!K35+PřF!K35+'FI'!K35+PdF!K35+FSpS!K35+ESF!K35</f>
        <v>0</v>
      </c>
      <c r="V35" s="163">
        <f>LF!L35+'FF'!L35+PrF!L35+FSS!L35+PřF!L35+'FI'!L35+PdF!L35+FSpS!L35+ESF!L35</f>
        <v>0</v>
      </c>
      <c r="W35" s="96">
        <f>(LF!N35+'FF'!N35+PrF!N35+FSS!N35+PřF!N35+'FI'!N35+PdF!N35+FSpS!N35+ESF!N35)/1000</f>
        <v>0</v>
      </c>
      <c r="X35" s="519">
        <f>fak!Q35</f>
        <v>20332</v>
      </c>
      <c r="Y35" s="239"/>
      <c r="Z35" s="1023"/>
    </row>
    <row r="36" spans="1:26" s="25" customFormat="1" ht="12.75">
      <c r="A36" s="21"/>
      <c r="B36" s="31" t="s">
        <v>175</v>
      </c>
      <c r="C36" s="31"/>
      <c r="D36" s="31"/>
      <c r="E36" s="276">
        <v>34</v>
      </c>
      <c r="F36" s="94">
        <f>LF!F36</f>
        <v>17822</v>
      </c>
      <c r="G36" s="151">
        <f>'FF'!F36</f>
        <v>38050</v>
      </c>
      <c r="H36" s="151">
        <f>PrF!F36</f>
        <v>11400</v>
      </c>
      <c r="I36" s="151">
        <f>FSS!F36</f>
        <v>17096</v>
      </c>
      <c r="J36" s="151">
        <f>PřF!F36</f>
        <v>72000</v>
      </c>
      <c r="K36" s="151">
        <f>'FI'!F36</f>
        <v>15000</v>
      </c>
      <c r="L36" s="151">
        <f>PdF!F36</f>
        <v>17000</v>
      </c>
      <c r="M36" s="151">
        <f>FSpS!F36</f>
        <v>28939</v>
      </c>
      <c r="N36" s="151">
        <f>ESF!F36</f>
        <v>12850</v>
      </c>
      <c r="O36" s="96">
        <f t="shared" si="5"/>
        <v>230157</v>
      </c>
      <c r="P36" s="268"/>
      <c r="Q36" s="220">
        <f>LF!G36+'FF'!G36+PrF!G36+FSS!G36+PřF!G36+'FI'!G36+PdF!G36+FSpS!G36+ESF!G36</f>
        <v>230157</v>
      </c>
      <c r="R36" s="121">
        <f>LF!H36+'FF'!H36+PrF!H36+FSS!H36+PřF!H36+'FI'!H36+PdF!H36+FSpS!H36+ESF!H36</f>
        <v>0</v>
      </c>
      <c r="S36" s="121">
        <f>LF!I36+'FF'!I36+PrF!I36+FSS!I36+PřF!I36+'FI'!I36+PdF!I36+FSpS!I36+ESF!I36</f>
        <v>0</v>
      </c>
      <c r="T36" s="121">
        <f>LF!J36+'FF'!J36+PrF!J36+FSS!J36+PřF!J36+'FI'!J36+PdF!J36+FSpS!J36+ESF!J36</f>
        <v>0</v>
      </c>
      <c r="U36" s="121">
        <f>LF!K36+'FF'!K36+PrF!K36+FSS!K36+PřF!K36+'FI'!K36+PdF!K36+FSpS!K36+ESF!K36</f>
        <v>0</v>
      </c>
      <c r="V36" s="163">
        <f>LF!L36+'FF'!L36+PrF!L36+FSS!L36+PřF!L36+'FI'!L36+PdF!L36+FSpS!L36+ESF!L36</f>
        <v>0</v>
      </c>
      <c r="W36" s="96">
        <f>(LF!N36+'FF'!N36+PrF!N36+FSS!N36+PřF!N36+'FI'!N36+PdF!N36+FSpS!N36+ESF!N36)/1000</f>
        <v>0</v>
      </c>
      <c r="X36" s="519">
        <f>fak!Q36</f>
        <v>126439</v>
      </c>
      <c r="Y36" s="239"/>
      <c r="Z36" s="1023"/>
    </row>
    <row r="37" spans="1:26" s="25" customFormat="1" ht="12.75">
      <c r="A37" s="21"/>
      <c r="B37" s="31" t="s">
        <v>54</v>
      </c>
      <c r="C37" s="31"/>
      <c r="D37" s="31"/>
      <c r="E37" s="276">
        <v>35</v>
      </c>
      <c r="F37" s="94">
        <f>LF!F37</f>
        <v>152</v>
      </c>
      <c r="G37" s="151">
        <f>'FF'!F37</f>
        <v>4500</v>
      </c>
      <c r="H37" s="151">
        <f>PrF!F37</f>
        <v>588</v>
      </c>
      <c r="I37" s="151">
        <f>FSS!F37</f>
        <v>888</v>
      </c>
      <c r="J37" s="151">
        <f>PřF!F37</f>
        <v>15000</v>
      </c>
      <c r="K37" s="151">
        <f>'FI'!F37</f>
        <v>1965</v>
      </c>
      <c r="L37" s="151">
        <f>PdF!F37</f>
        <v>500</v>
      </c>
      <c r="M37" s="151">
        <f>FSpS!F37</f>
        <v>20</v>
      </c>
      <c r="N37" s="151">
        <f>ESF!F37</f>
        <v>0</v>
      </c>
      <c r="O37" s="96">
        <f t="shared" si="5"/>
        <v>23613</v>
      </c>
      <c r="P37" s="268"/>
      <c r="Q37" s="220">
        <f>LF!G37+'FF'!G37+PrF!G37+FSS!G37+PřF!G37+'FI'!G37+PdF!G37+FSpS!G37+ESF!G37</f>
        <v>20875</v>
      </c>
      <c r="R37" s="121">
        <f>LF!H37+'FF'!H37+PrF!H37+FSS!H37+PřF!H37+'FI'!H37+PdF!H37+FSpS!H37+ESF!H37</f>
        <v>0</v>
      </c>
      <c r="S37" s="121">
        <f>LF!I37+'FF'!I37+PrF!I37+FSS!I37+PřF!I37+'FI'!I37+PdF!I37+FSpS!I37+ESF!I37</f>
        <v>2738</v>
      </c>
      <c r="T37" s="121">
        <f>LF!J37+'FF'!J37+PrF!J37+FSS!J37+PřF!J37+'FI'!J37+PdF!J37+FSpS!J37+ESF!J37</f>
        <v>0</v>
      </c>
      <c r="U37" s="121">
        <f>LF!K37+'FF'!K37+PrF!K37+FSS!K37+PřF!K37+'FI'!K37+PdF!K37+FSpS!K37+ESF!K37</f>
        <v>0</v>
      </c>
      <c r="V37" s="163">
        <f>LF!L37+'FF'!L37+PrF!L37+FSS!L37+PřF!L37+'FI'!L37+PdF!L37+FSpS!L37+ESF!L37</f>
        <v>0</v>
      </c>
      <c r="W37" s="96">
        <f>(LF!N37+'FF'!N37+PrF!N37+FSS!N37+PřF!N37+'FI'!N37+PdF!N37+FSpS!N37+ESF!N37)/1000</f>
        <v>0</v>
      </c>
      <c r="X37" s="519">
        <f>fak!Q37</f>
        <v>34119</v>
      </c>
      <c r="Y37" s="239"/>
      <c r="Z37" s="1023"/>
    </row>
    <row r="38" spans="1:26" s="25" customFormat="1" ht="12.75">
      <c r="A38" s="21"/>
      <c r="B38" s="31" t="s">
        <v>170</v>
      </c>
      <c r="C38" s="31"/>
      <c r="D38" s="31"/>
      <c r="E38" s="276">
        <v>36</v>
      </c>
      <c r="F38" s="94">
        <f>LF!F38</f>
        <v>61482</v>
      </c>
      <c r="G38" s="151">
        <f>'FF'!F38</f>
        <v>23369</v>
      </c>
      <c r="H38" s="151">
        <f>PrF!F38</f>
        <v>8873</v>
      </c>
      <c r="I38" s="151">
        <f>FSS!F38</f>
        <v>14311</v>
      </c>
      <c r="J38" s="151">
        <f>PřF!F38</f>
        <v>140513</v>
      </c>
      <c r="K38" s="151">
        <f>'FI'!F38</f>
        <v>22414</v>
      </c>
      <c r="L38" s="151">
        <f>PdF!F38</f>
        <v>10041</v>
      </c>
      <c r="M38" s="151">
        <f>FSpS!F38</f>
        <v>551</v>
      </c>
      <c r="N38" s="151">
        <f>ESF!F38</f>
        <v>3113</v>
      </c>
      <c r="O38" s="96">
        <f t="shared" si="5"/>
        <v>284667</v>
      </c>
      <c r="P38" s="268"/>
      <c r="Q38" s="220">
        <f>LF!G38+'FF'!G38+PrF!G38+FSS!G38+PřF!G38+'FI'!G38+PdF!G38+FSpS!G38+ESF!G38</f>
        <v>284305</v>
      </c>
      <c r="R38" s="121">
        <f>LF!H38+'FF'!H38+PrF!H38+FSS!H38+PřF!H38+'FI'!H38+PdF!H38+FSpS!H38+ESF!H38</f>
        <v>0</v>
      </c>
      <c r="S38" s="121">
        <f>LF!I38+'FF'!I38+PrF!I38+FSS!I38+PřF!I38+'FI'!I38+PdF!I38+FSpS!I38+ESF!I38</f>
        <v>362</v>
      </c>
      <c r="T38" s="121">
        <f>LF!J38+'FF'!J38+PrF!J38+FSS!J38+PřF!J38+'FI'!J38+PdF!J38+FSpS!J38+ESF!J38</f>
        <v>0</v>
      </c>
      <c r="U38" s="121">
        <f>LF!K38+'FF'!K38+PrF!K38+FSS!K38+PřF!K38+'FI'!K38+PdF!K38+FSpS!K38+ESF!K38</f>
        <v>0</v>
      </c>
      <c r="V38" s="163">
        <f>LF!L38+'FF'!L38+PrF!L38+FSS!L38+PřF!L38+'FI'!L38+PdF!L38+FSpS!L38+ESF!L38</f>
        <v>0</v>
      </c>
      <c r="W38" s="96">
        <f>(LF!N38+'FF'!N38+PrF!N38+FSS!N38+PřF!N38+'FI'!N38+PdF!N38+FSpS!N38+ESF!N38)/1000</f>
        <v>0</v>
      </c>
      <c r="X38" s="519">
        <f>fak!Q38</f>
        <v>138606</v>
      </c>
      <c r="Y38" s="239"/>
      <c r="Z38" s="1023"/>
    </row>
    <row r="39" spans="1:26" s="25" customFormat="1" ht="12.75">
      <c r="A39" s="21"/>
      <c r="B39" s="31" t="s">
        <v>56</v>
      </c>
      <c r="C39" s="31"/>
      <c r="D39" s="31"/>
      <c r="E39" s="276">
        <v>37</v>
      </c>
      <c r="F39" s="94">
        <f>LF!F39</f>
        <v>21097</v>
      </c>
      <c r="G39" s="151">
        <f>'FF'!F39</f>
        <v>20005</v>
      </c>
      <c r="H39" s="151">
        <f>PrF!F39</f>
        <v>2658</v>
      </c>
      <c r="I39" s="151">
        <f>FSS!F39</f>
        <v>11185</v>
      </c>
      <c r="J39" s="151">
        <f>PřF!F39</f>
        <v>54618</v>
      </c>
      <c r="K39" s="151">
        <f>'FI'!F39</f>
        <v>4228</v>
      </c>
      <c r="L39" s="151">
        <f>PdF!F39</f>
        <v>15274</v>
      </c>
      <c r="M39" s="151">
        <f>FSpS!F39</f>
        <v>0</v>
      </c>
      <c r="N39" s="151">
        <f>ESF!F39</f>
        <v>0</v>
      </c>
      <c r="O39" s="96">
        <f t="shared" si="5"/>
        <v>129065</v>
      </c>
      <c r="P39" s="268"/>
      <c r="Q39" s="220">
        <f>LF!G39+'FF'!G39+PrF!G39+FSS!G39+PřF!G39+'FI'!G39+PdF!G39+FSpS!G39+ESF!G39</f>
        <v>127272</v>
      </c>
      <c r="R39" s="121">
        <f>LF!H39+'FF'!H39+PrF!H39+FSS!H39+PřF!H39+'FI'!H39+PdF!H39+FSpS!H39+ESF!H39</f>
        <v>0</v>
      </c>
      <c r="S39" s="121">
        <f>LF!I39+'FF'!I39+PrF!I39+FSS!I39+PřF!I39+'FI'!I39+PdF!I39+FSpS!I39+ESF!I39</f>
        <v>1793</v>
      </c>
      <c r="T39" s="121">
        <f>LF!J39+'FF'!J39+PrF!J39+FSS!J39+PřF!J39+'FI'!J39+PdF!J39+FSpS!J39+ESF!J39</f>
        <v>0</v>
      </c>
      <c r="U39" s="121">
        <f>LF!K39+'FF'!K39+PrF!K39+FSS!K39+PřF!K39+'FI'!K39+PdF!K39+FSpS!K39+ESF!K39</f>
        <v>0</v>
      </c>
      <c r="V39" s="163">
        <f>LF!L39+'FF'!L39+PrF!L39+FSS!L39+PřF!L39+'FI'!L39+PdF!L39+FSpS!L39+ESF!L39</f>
        <v>0</v>
      </c>
      <c r="W39" s="96">
        <f>(LF!N39+'FF'!N39+PrF!N39+FSS!N39+PřF!N39+'FI'!N39+PdF!N39+FSpS!N39+ESF!N39)/1000</f>
        <v>0</v>
      </c>
      <c r="X39" s="519">
        <f>fak!Q39</f>
        <v>242526</v>
      </c>
      <c r="Y39" s="239"/>
      <c r="Z39" s="1023"/>
    </row>
    <row r="40" spans="1:26" s="25" customFormat="1" ht="12.75">
      <c r="A40" s="21"/>
      <c r="B40" s="31" t="s">
        <v>57</v>
      </c>
      <c r="C40" s="31"/>
      <c r="D40" s="31"/>
      <c r="E40" s="276">
        <v>38</v>
      </c>
      <c r="F40" s="94">
        <f>LF!F40</f>
        <v>111476</v>
      </c>
      <c r="G40" s="151">
        <f>'FF'!F40</f>
        <v>38000</v>
      </c>
      <c r="H40" s="151">
        <f>PrF!F40</f>
        <v>8019</v>
      </c>
      <c r="I40" s="151">
        <f>FSS!F40</f>
        <v>28630</v>
      </c>
      <c r="J40" s="151">
        <f>PřF!F40</f>
        <v>250000</v>
      </c>
      <c r="K40" s="151">
        <f>'FI'!F40</f>
        <v>35191</v>
      </c>
      <c r="L40" s="151">
        <f>PdF!F40</f>
        <v>9157</v>
      </c>
      <c r="M40" s="151">
        <f>FSpS!F40</f>
        <v>1192</v>
      </c>
      <c r="N40" s="151">
        <f>ESF!F40</f>
        <v>25179</v>
      </c>
      <c r="O40" s="96">
        <f t="shared" si="5"/>
        <v>506844</v>
      </c>
      <c r="P40" s="268"/>
      <c r="Q40" s="220">
        <f>LF!G40+'FF'!G40+PrF!G40+FSS!G40+PřF!G40+'FI'!G40+PdF!G40+FSpS!G40+ESF!G40</f>
        <v>494902</v>
      </c>
      <c r="R40" s="121">
        <f>LF!H40+'FF'!H40+PrF!H40+FSS!H40+PřF!H40+'FI'!H40+PdF!H40+FSpS!H40+ESF!H40</f>
        <v>0</v>
      </c>
      <c r="S40" s="121">
        <f>LF!I40+'FF'!I40+PrF!I40+FSS!I40+PřF!I40+'FI'!I40+PdF!I40+FSpS!I40+ESF!I40</f>
        <v>11942</v>
      </c>
      <c r="T40" s="121">
        <f>LF!J40+'FF'!J40+PrF!J40+FSS!J40+PřF!J40+'FI'!J40+PdF!J40+FSpS!J40+ESF!J40</f>
        <v>0</v>
      </c>
      <c r="U40" s="121">
        <f>LF!K40+'FF'!K40+PrF!K40+FSS!K40+PřF!K40+'FI'!K40+PdF!K40+FSpS!K40+ESF!K40</f>
        <v>0</v>
      </c>
      <c r="V40" s="163">
        <f>LF!L40+'FF'!L40+PrF!L40+FSS!L40+PřF!L40+'FI'!L40+PdF!L40+FSpS!L40+ESF!L40</f>
        <v>0</v>
      </c>
      <c r="W40" s="96">
        <f>(LF!N40+'FF'!N40+PrF!N40+FSS!N40+PřF!N40+'FI'!N40+PdF!N40+FSpS!N40+ESF!N40)/1000</f>
        <v>0</v>
      </c>
      <c r="X40" s="519">
        <f>fak!Q40</f>
        <v>466032</v>
      </c>
      <c r="Y40" s="239"/>
      <c r="Z40" s="1023"/>
    </row>
    <row r="41" spans="1:26" s="25" customFormat="1" ht="12.75">
      <c r="A41" s="21"/>
      <c r="B41" s="31" t="s">
        <v>186</v>
      </c>
      <c r="C41" s="31"/>
      <c r="D41" s="31"/>
      <c r="E41" s="276">
        <v>39</v>
      </c>
      <c r="F41" s="94">
        <f>LF!F41</f>
        <v>772</v>
      </c>
      <c r="G41" s="151">
        <f>'FF'!F41</f>
        <v>100</v>
      </c>
      <c r="H41" s="151">
        <f>PrF!F41</f>
        <v>1302</v>
      </c>
      <c r="I41" s="151">
        <f>FSS!F41</f>
        <v>3411</v>
      </c>
      <c r="J41" s="151">
        <f>PřF!F41</f>
        <v>75000</v>
      </c>
      <c r="K41" s="151">
        <f>'FI'!F41</f>
        <v>749</v>
      </c>
      <c r="L41" s="151">
        <f>PdF!F41</f>
        <v>2000</v>
      </c>
      <c r="M41" s="151">
        <f>FSpS!F41</f>
        <v>2641</v>
      </c>
      <c r="N41" s="151">
        <f>ESF!F41</f>
        <v>0</v>
      </c>
      <c r="O41" s="96">
        <f t="shared" si="5"/>
        <v>85975</v>
      </c>
      <c r="P41" s="268"/>
      <c r="Q41" s="220">
        <f>LF!G41+'FF'!G41+PrF!G41+FSS!G41+PřF!G41+'FI'!G41+PdF!G41+FSpS!G41+ESF!G41</f>
        <v>83226</v>
      </c>
      <c r="R41" s="121">
        <f>LF!H41+'FF'!H41+PrF!H41+FSS!H41+PřF!H41+'FI'!H41+PdF!H41+FSpS!H41+ESF!H41</f>
        <v>0</v>
      </c>
      <c r="S41" s="121">
        <f>LF!I41+'FF'!I41+PrF!I41+FSS!I41+PřF!I41+'FI'!I41+PdF!I41+FSpS!I41+ESF!I41</f>
        <v>2749</v>
      </c>
      <c r="T41" s="121">
        <f>LF!J41+'FF'!J41+PrF!J41+FSS!J41+PřF!J41+'FI'!J41+PdF!J41+FSpS!J41+ESF!J41</f>
        <v>0</v>
      </c>
      <c r="U41" s="121">
        <f>LF!K41+'FF'!K41+PrF!K41+FSS!K41+PřF!K41+'FI'!K41+PdF!K41+FSpS!K41+ESF!K41</f>
        <v>0</v>
      </c>
      <c r="V41" s="163">
        <f>LF!L41+'FF'!L41+PrF!L41+FSS!L41+PřF!L41+'FI'!L41+PdF!L41+FSpS!L41+ESF!L41</f>
        <v>0</v>
      </c>
      <c r="W41" s="96">
        <f>(LF!N41+'FF'!N41+PrF!N41+FSS!N41+PřF!N41+'FI'!N41+PdF!N41+FSpS!N41+ESF!N41)/1000</f>
        <v>0</v>
      </c>
      <c r="X41" s="519">
        <f>fak!Q41</f>
        <v>62079</v>
      </c>
      <c r="Y41" s="239"/>
      <c r="Z41" s="1023"/>
    </row>
    <row r="42" spans="1:26" s="25" customFormat="1" ht="12.75">
      <c r="A42" s="21"/>
      <c r="B42" s="31" t="s">
        <v>58</v>
      </c>
      <c r="C42" s="31"/>
      <c r="D42" s="31"/>
      <c r="E42" s="276">
        <v>40</v>
      </c>
      <c r="F42" s="94">
        <f>LF!F42</f>
        <v>14919</v>
      </c>
      <c r="G42" s="151">
        <f>'FF'!F42</f>
        <v>650</v>
      </c>
      <c r="H42" s="151">
        <f>PrF!F42</f>
        <v>0</v>
      </c>
      <c r="I42" s="151">
        <f>FSS!F42</f>
        <v>430</v>
      </c>
      <c r="J42" s="151">
        <f>PřF!F42</f>
        <v>30000</v>
      </c>
      <c r="K42" s="151">
        <f>'FI'!F42</f>
        <v>10965</v>
      </c>
      <c r="L42" s="151">
        <f>PdF!F42</f>
        <v>0</v>
      </c>
      <c r="M42" s="151">
        <f>FSpS!F42</f>
        <v>0</v>
      </c>
      <c r="N42" s="151">
        <f>ESF!F42</f>
        <v>69</v>
      </c>
      <c r="O42" s="96">
        <f t="shared" si="5"/>
        <v>57033</v>
      </c>
      <c r="P42" s="268"/>
      <c r="Q42" s="220">
        <f>LF!G42+'FF'!G42+PrF!G42+FSS!G42+PřF!G42+'FI'!G42+PdF!G42+FSpS!G42+ESF!G42</f>
        <v>56286</v>
      </c>
      <c r="R42" s="121">
        <f>LF!H42+'FF'!H42+PrF!H42+FSS!H42+PřF!H42+'FI'!H42+PdF!H42+FSpS!H42+ESF!H42</f>
        <v>0</v>
      </c>
      <c r="S42" s="121">
        <f>LF!I42+'FF'!I42+PrF!I42+FSS!I42+PřF!I42+'FI'!I42+PdF!I42+FSpS!I42+ESF!I42</f>
        <v>747</v>
      </c>
      <c r="T42" s="121">
        <f>LF!J42+'FF'!J42+PrF!J42+FSS!J42+PřF!J42+'FI'!J42+PdF!J42+FSpS!J42+ESF!J42</f>
        <v>0</v>
      </c>
      <c r="U42" s="121">
        <f>LF!K42+'FF'!K42+PrF!K42+FSS!K42+PřF!K42+'FI'!K42+PdF!K42+FSpS!K42+ESF!K42</f>
        <v>0</v>
      </c>
      <c r="V42" s="163">
        <f>LF!L42+'FF'!L42+PrF!L42+FSS!L42+PřF!L42+'FI'!L42+PdF!L42+FSpS!L42+ESF!L42</f>
        <v>0</v>
      </c>
      <c r="W42" s="96">
        <f>(LF!N42+'FF'!N42+PrF!N42+FSS!N42+PřF!N42+'FI'!N42+PdF!N42+FSpS!N42+ESF!N42)/1000</f>
        <v>0</v>
      </c>
      <c r="X42" s="519">
        <f>fak!Q42</f>
        <v>59477</v>
      </c>
      <c r="Y42" s="239"/>
      <c r="Z42" s="1023"/>
    </row>
    <row r="43" spans="1:26" s="25" customFormat="1" ht="12.75">
      <c r="A43" s="21"/>
      <c r="B43" s="31" t="s">
        <v>59</v>
      </c>
      <c r="C43" s="31"/>
      <c r="D43" s="31"/>
      <c r="E43" s="276">
        <v>41</v>
      </c>
      <c r="F43" s="94">
        <f>LF!F43</f>
        <v>121821</v>
      </c>
      <c r="G43" s="151">
        <f>'FF'!F43</f>
        <v>39077</v>
      </c>
      <c r="H43" s="151">
        <f>PrF!F43</f>
        <v>37000</v>
      </c>
      <c r="I43" s="151">
        <f>FSS!F43</f>
        <v>20200</v>
      </c>
      <c r="J43" s="151">
        <f>PřF!F43</f>
        <v>120000</v>
      </c>
      <c r="K43" s="151">
        <f>'FI'!F43</f>
        <v>24136</v>
      </c>
      <c r="L43" s="151">
        <f>PdF!F43</f>
        <v>31000</v>
      </c>
      <c r="M43" s="151">
        <f>FSpS!F43</f>
        <v>9254</v>
      </c>
      <c r="N43" s="151">
        <f>ESF!F43</f>
        <v>18936</v>
      </c>
      <c r="O43" s="96">
        <f t="shared" si="5"/>
        <v>421424</v>
      </c>
      <c r="P43" s="268"/>
      <c r="Q43" s="220">
        <f>LF!G43+'FF'!G43+PrF!G43+FSS!G43+PřF!G43+'FI'!G43+PdF!G43+FSpS!G43+ESF!G43</f>
        <v>419275</v>
      </c>
      <c r="R43" s="121">
        <f>LF!H43+'FF'!H43+PrF!H43+FSS!H43+PřF!H43+'FI'!H43+PdF!H43+FSpS!H43+ESF!H43</f>
        <v>0</v>
      </c>
      <c r="S43" s="121">
        <f>LF!I43+'FF'!I43+PrF!I43+FSS!I43+PřF!I43+'FI'!I43+PdF!I43+FSpS!I43+ESF!I43</f>
        <v>2149</v>
      </c>
      <c r="T43" s="121">
        <f>LF!J43+'FF'!J43+PrF!J43+FSS!J43+PřF!J43+'FI'!J43+PdF!J43+FSpS!J43+ESF!J43</f>
        <v>0</v>
      </c>
      <c r="U43" s="121">
        <f>LF!K43+'FF'!K43+PrF!K43+FSS!K43+PřF!K43+'FI'!K43+PdF!K43+FSpS!K43+ESF!K43</f>
        <v>0</v>
      </c>
      <c r="V43" s="163">
        <f>LF!L43+'FF'!L43+PrF!L43+FSS!L43+PřF!L43+'FI'!L43+PdF!L43+FSpS!L43+ESF!L43</f>
        <v>0</v>
      </c>
      <c r="W43" s="96">
        <f>(LF!N43+'FF'!N43+PrF!N43+FSS!N43+PřF!N43+'FI'!N43+PdF!N43+FSpS!N43+ESF!N43)/1000</f>
        <v>0</v>
      </c>
      <c r="X43" s="519">
        <f>fak!Q43</f>
        <v>424864</v>
      </c>
      <c r="Y43" s="239"/>
      <c r="Z43" s="1023"/>
    </row>
    <row r="44" spans="1:26" s="25" customFormat="1" ht="12.75">
      <c r="A44" s="21"/>
      <c r="B44" s="31" t="s">
        <v>60</v>
      </c>
      <c r="C44" s="31"/>
      <c r="D44" s="31"/>
      <c r="E44" s="276">
        <v>42</v>
      </c>
      <c r="F44" s="94">
        <f>LF!F44</f>
        <v>50590</v>
      </c>
      <c r="G44" s="151">
        <f>'FF'!F44</f>
        <v>44120</v>
      </c>
      <c r="H44" s="151">
        <f>PrF!F44</f>
        <v>9181</v>
      </c>
      <c r="I44" s="151">
        <f>FSS!F44</f>
        <v>24438</v>
      </c>
      <c r="J44" s="151">
        <f>PřF!F44</f>
        <v>56126</v>
      </c>
      <c r="K44" s="151">
        <f>'FI'!F44</f>
        <v>4803</v>
      </c>
      <c r="L44" s="151">
        <f>PdF!F44</f>
        <v>27079</v>
      </c>
      <c r="M44" s="151">
        <f>FSpS!F44</f>
        <v>14256</v>
      </c>
      <c r="N44" s="151">
        <f>ESF!F44</f>
        <v>19701</v>
      </c>
      <c r="O44" s="96">
        <f t="shared" si="5"/>
        <v>250294</v>
      </c>
      <c r="P44" s="268"/>
      <c r="Q44" s="220">
        <f>LF!G44+'FF'!G44+PrF!G44+FSS!G44+PřF!G44+'FI'!G44+PdF!G44+FSpS!G44+ESF!G44</f>
        <v>0</v>
      </c>
      <c r="R44" s="121">
        <f>LF!H44+'FF'!H44+PrF!H44+FSS!H44+PřF!H44+'FI'!H44+PdF!H44+FSpS!H44+ESF!H44</f>
        <v>179735</v>
      </c>
      <c r="S44" s="121">
        <f>LF!I44+'FF'!I44+PrF!I44+FSS!I44+PřF!I44+'FI'!I44+PdF!I44+FSpS!I44+ESF!I44</f>
        <v>917</v>
      </c>
      <c r="T44" s="121">
        <f>LF!J44+'FF'!J44+PrF!J44+FSS!J44+PřF!J44+'FI'!J44+PdF!J44+FSpS!J44+ESF!J44</f>
        <v>2000</v>
      </c>
      <c r="U44" s="121">
        <f>LF!K44+'FF'!K44+PrF!K44+FSS!K44+PřF!K44+'FI'!K44+PdF!K44+FSpS!K44+ESF!K44</f>
        <v>21572</v>
      </c>
      <c r="V44" s="163">
        <f>LF!L44+'FF'!L44+PrF!L44+FSS!L44+PřF!L44+'FI'!L44+PdF!L44+FSpS!L44+ESF!L44</f>
        <v>46070</v>
      </c>
      <c r="W44" s="96">
        <f>(LF!N44+'FF'!N44+PrF!N44+FSS!N44+PřF!N44+'FI'!N44+PdF!N44+FSpS!N44+ESF!N44)/1000</f>
        <v>0</v>
      </c>
      <c r="X44" s="519">
        <f>fak!Q44</f>
        <v>154023</v>
      </c>
      <c r="Y44" s="239"/>
      <c r="Z44" s="1023"/>
    </row>
    <row r="45" spans="1:26" s="25" customFormat="1" ht="13.5" thickBot="1">
      <c r="A45" s="40"/>
      <c r="B45" s="41" t="s">
        <v>47</v>
      </c>
      <c r="C45" s="41"/>
      <c r="D45" s="41"/>
      <c r="E45" s="277">
        <v>43</v>
      </c>
      <c r="F45" s="94">
        <f>LF!F45</f>
        <v>4500</v>
      </c>
      <c r="G45" s="151">
        <f>'FF'!F45</f>
        <v>360</v>
      </c>
      <c r="H45" s="151">
        <f>PrF!F45</f>
        <v>316</v>
      </c>
      <c r="I45" s="151">
        <f>FSS!F45</f>
        <v>200</v>
      </c>
      <c r="J45" s="151">
        <f>PřF!F45</f>
        <v>25000</v>
      </c>
      <c r="K45" s="151">
        <f>'FI'!F45</f>
        <v>1610</v>
      </c>
      <c r="L45" s="151">
        <f>PdF!F45</f>
        <v>900</v>
      </c>
      <c r="M45" s="151">
        <f>FSpS!F45</f>
        <v>1037</v>
      </c>
      <c r="N45" s="151">
        <f>ESF!F45</f>
        <v>4500</v>
      </c>
      <c r="O45" s="100">
        <f t="shared" si="5"/>
        <v>38423</v>
      </c>
      <c r="P45" s="269"/>
      <c r="Q45" s="220">
        <f>LF!G45+'FF'!G45+PrF!G45+FSS!G45+PřF!G45+'FI'!G45+PdF!G45+FSpS!G45+ESF!G45</f>
        <v>38423</v>
      </c>
      <c r="R45" s="121">
        <f>LF!H45+'FF'!H45+PrF!H45+FSS!H45+PřF!H45+'FI'!H45+PdF!H45+FSpS!H45+ESF!H45</f>
        <v>0</v>
      </c>
      <c r="S45" s="121">
        <f>LF!I45+'FF'!I45+PrF!I45+FSS!I45+PřF!I45+'FI'!I45+PdF!I45+FSpS!I45+ESF!I45</f>
        <v>0</v>
      </c>
      <c r="T45" s="121">
        <f>LF!J45+'FF'!J45+PrF!J45+FSS!J45+PřF!J45+'FI'!J45+PdF!J45+FSpS!J45+ESF!J45</f>
        <v>0</v>
      </c>
      <c r="U45" s="121">
        <f>LF!K45+'FF'!K45+PrF!K45+FSS!K45+PřF!K45+'FI'!K45+PdF!K45+FSpS!K45+ESF!K45</f>
        <v>0</v>
      </c>
      <c r="V45" s="163">
        <f>LF!L45+'FF'!L45+PrF!L45+FSS!L45+PřF!L45+'FI'!L45+PdF!L45+FSpS!L45+ESF!L45</f>
        <v>0</v>
      </c>
      <c r="W45" s="100">
        <f>(LF!N45+'FF'!N45+PrF!N45+FSS!N45+PřF!N45+'FI'!N45+PdF!N45+FSpS!N45+ESF!N45)/1000</f>
        <v>0</v>
      </c>
      <c r="X45" s="519">
        <f>fak!Q45</f>
        <v>43288</v>
      </c>
      <c r="Y45" s="239"/>
      <c r="Z45" s="1023"/>
    </row>
    <row r="46" spans="1:26" s="25" customFormat="1" ht="13.5" hidden="1" thickBot="1">
      <c r="A46" s="44" t="s">
        <v>61</v>
      </c>
      <c r="B46" s="45"/>
      <c r="C46" s="45"/>
      <c r="D46" s="45"/>
      <c r="E46" s="275">
        <v>44</v>
      </c>
      <c r="F46" s="102">
        <f aca="true" t="shared" si="6" ref="F46:O46">F29+F34+F38+F43+F44+F45-F4-F27</f>
        <v>4775</v>
      </c>
      <c r="G46" s="196">
        <f t="shared" si="6"/>
        <v>2212</v>
      </c>
      <c r="H46" s="196">
        <f t="shared" si="6"/>
        <v>3938</v>
      </c>
      <c r="I46" s="196">
        <f t="shared" si="6"/>
        <v>482</v>
      </c>
      <c r="J46" s="196">
        <f t="shared" si="6"/>
        <v>1250</v>
      </c>
      <c r="K46" s="196">
        <f t="shared" si="6"/>
        <v>531</v>
      </c>
      <c r="L46" s="196">
        <f t="shared" si="6"/>
        <v>2000</v>
      </c>
      <c r="M46" s="196">
        <f t="shared" si="6"/>
        <v>309</v>
      </c>
      <c r="N46" s="196">
        <f t="shared" si="6"/>
        <v>1650</v>
      </c>
      <c r="O46" s="103">
        <f t="shared" si="6"/>
        <v>17147</v>
      </c>
      <c r="P46" s="180">
        <f>P29+P34+P38+P43+P44+P45+-P4-P27</f>
        <v>0</v>
      </c>
      <c r="Q46" s="102">
        <f>Q29+Q34+Q38+Q43+Q45-Q4-Q27</f>
        <v>16706</v>
      </c>
      <c r="R46" s="102">
        <f>R29+R34+R38+R43+R44+R45-R4-R27</f>
        <v>441</v>
      </c>
      <c r="S46" s="102">
        <f>S29+S34+S38+S43+S44+S45-S4-S27</f>
        <v>0</v>
      </c>
      <c r="T46" s="102">
        <f>T29+T34+T38+T43+T44+T45-T4-T27</f>
        <v>0</v>
      </c>
      <c r="U46" s="102">
        <f>U29+U34+U38+U43+U44+U45-U4-U27</f>
        <v>0</v>
      </c>
      <c r="V46" s="102">
        <f>V29+V34+V38+V43+V44+V45-V4-V27</f>
        <v>0</v>
      </c>
      <c r="W46" s="92">
        <f>(LF!N46+'FF'!N46+PrF!N46+FSS!N46+PřF!N46+'FI'!N46+PdF!N46+FSpS!N46+ESF!N46)/1000</f>
        <v>0</v>
      </c>
      <c r="X46" s="955" t="e">
        <f>(LF!P46+'FF'!P46+PrF!P46+FSS!P46+PřF!P46+'FI'!P46+PdF!P46+FSpS!P46+ESF!P46)/1000</f>
        <v>#DIV/0!</v>
      </c>
      <c r="Y46" s="239"/>
      <c r="Z46" s="1023"/>
    </row>
    <row r="47" spans="1:26" ht="13.5" thickBot="1">
      <c r="A47" s="37" t="s">
        <v>62</v>
      </c>
      <c r="B47" s="38"/>
      <c r="C47" s="38"/>
      <c r="D47" s="38"/>
      <c r="E47" s="272">
        <v>45</v>
      </c>
      <c r="F47" s="207">
        <f aca="true" t="shared" si="7" ref="F47:V47">F28-F3</f>
        <v>4775</v>
      </c>
      <c r="G47" s="191">
        <f t="shared" si="7"/>
        <v>2212</v>
      </c>
      <c r="H47" s="191">
        <f t="shared" si="7"/>
        <v>3497</v>
      </c>
      <c r="I47" s="191">
        <f t="shared" si="7"/>
        <v>482</v>
      </c>
      <c r="J47" s="191">
        <f t="shared" si="7"/>
        <v>1250</v>
      </c>
      <c r="K47" s="191">
        <f t="shared" si="7"/>
        <v>531</v>
      </c>
      <c r="L47" s="191">
        <f t="shared" si="7"/>
        <v>2000</v>
      </c>
      <c r="M47" s="191">
        <f t="shared" si="7"/>
        <v>309</v>
      </c>
      <c r="N47" s="191">
        <f t="shared" si="7"/>
        <v>1650</v>
      </c>
      <c r="O47" s="110">
        <f t="shared" si="7"/>
        <v>16706</v>
      </c>
      <c r="P47" s="265">
        <f t="shared" si="7"/>
        <v>0</v>
      </c>
      <c r="Q47" s="76">
        <f t="shared" si="7"/>
        <v>16706</v>
      </c>
      <c r="R47" s="77">
        <f t="shared" si="7"/>
        <v>0</v>
      </c>
      <c r="S47" s="77">
        <f t="shared" si="7"/>
        <v>0</v>
      </c>
      <c r="T47" s="77">
        <f t="shared" si="7"/>
        <v>0</v>
      </c>
      <c r="U47" s="77">
        <f>U28-U3</f>
        <v>0</v>
      </c>
      <c r="V47" s="76">
        <f t="shared" si="7"/>
        <v>0</v>
      </c>
      <c r="W47" s="78">
        <f>W28-W3</f>
        <v>0</v>
      </c>
      <c r="X47" s="588">
        <f>X28-X3</f>
        <v>48987</v>
      </c>
      <c r="Y47" s="239"/>
      <c r="Z47" s="1023"/>
    </row>
    <row r="48" spans="1:5" ht="7.5" customHeight="1">
      <c r="A48" s="47"/>
      <c r="B48" s="47"/>
      <c r="C48" s="47"/>
      <c r="D48" s="47"/>
      <c r="E48" s="48"/>
    </row>
    <row r="49" spans="1:26" s="47" customFormat="1" ht="23.25" customHeight="1">
      <c r="A49" s="1054" t="s">
        <v>90</v>
      </c>
      <c r="B49" s="1055"/>
      <c r="C49" s="1055"/>
      <c r="D49" s="1055"/>
      <c r="E49" s="48"/>
      <c r="F49" s="1039">
        <f>LF!I52</f>
        <v>0</v>
      </c>
      <c r="G49" s="1040">
        <f>'FF'!I50</f>
        <v>0</v>
      </c>
      <c r="H49" s="1040">
        <f>PrF!I50</f>
        <v>0</v>
      </c>
      <c r="I49" s="1040">
        <f>FSS!I50</f>
        <v>0</v>
      </c>
      <c r="J49" s="1039">
        <f>PřF!I50</f>
        <v>1000</v>
      </c>
      <c r="K49" s="1039">
        <f>'FI'!I50</f>
        <v>3833</v>
      </c>
      <c r="L49" s="1039">
        <f>PdF!I50</f>
        <v>0</v>
      </c>
      <c r="M49" s="1039">
        <f>FSpS!I50</f>
        <v>0</v>
      </c>
      <c r="N49" s="1039">
        <f>ESF!I50</f>
        <v>0</v>
      </c>
      <c r="O49" s="1041">
        <f>fak!I50</f>
        <v>4833</v>
      </c>
      <c r="Q49" s="59"/>
      <c r="S49" s="59"/>
      <c r="V49" s="59"/>
      <c r="W49" s="234"/>
      <c r="X49" s="72"/>
      <c r="Y49" s="59"/>
      <c r="Z49" s="405"/>
    </row>
    <row r="50" spans="1:25" s="1073" customFormat="1" ht="22.5" customHeight="1">
      <c r="A50" s="1068" t="s">
        <v>232</v>
      </c>
      <c r="B50" s="1069"/>
      <c r="C50" s="1069"/>
      <c r="D50" s="1069"/>
      <c r="E50" s="1069"/>
      <c r="F50" s="1075"/>
      <c r="G50" s="1075"/>
      <c r="H50" s="1075"/>
      <c r="I50" s="1075"/>
      <c r="J50" s="1076">
        <v>14303</v>
      </c>
      <c r="K50" s="1076">
        <v>1333</v>
      </c>
      <c r="L50" s="1075"/>
      <c r="M50" s="1075"/>
      <c r="N50" s="1075"/>
      <c r="O50" s="1072">
        <f>SUM(F50:N50)</f>
        <v>15636</v>
      </c>
      <c r="Q50" s="1074"/>
      <c r="R50" s="1074"/>
      <c r="S50" s="1074"/>
      <c r="T50" s="1074"/>
      <c r="U50" s="1074"/>
      <c r="V50" s="1074"/>
      <c r="W50" s="1074"/>
      <c r="X50" s="1074"/>
      <c r="Y50" s="1074"/>
    </row>
  </sheetData>
  <mergeCells count="5">
    <mergeCell ref="A50:E50"/>
    <mergeCell ref="A1:D1"/>
    <mergeCell ref="R1:V1"/>
    <mergeCell ref="C2:D2"/>
    <mergeCell ref="A49:D49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V65"/>
  <sheetViews>
    <sheetView workbookViewId="0" topLeftCell="A31">
      <selection activeCell="J50" sqref="J50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60" bestFit="1" customWidth="1"/>
    <col min="6" max="10" width="7.25390625" style="59" customWidth="1"/>
    <col min="11" max="11" width="7.25390625" style="59" hidden="1" customWidth="1"/>
    <col min="12" max="15" width="7.25390625" style="59" customWidth="1"/>
    <col min="16" max="16" width="8.875" style="493" customWidth="1"/>
    <col min="17" max="17" width="5.125" style="0" hidden="1" customWidth="1"/>
    <col min="18" max="19" width="9.625" style="59" customWidth="1"/>
    <col min="20" max="20" width="8.625" style="402" hidden="1" customWidth="1"/>
    <col min="21" max="21" width="7.00390625" style="255" customWidth="1"/>
    <col min="22" max="22" width="7.875" style="402" customWidth="1"/>
  </cols>
  <sheetData>
    <row r="1" spans="1:21" ht="15.75" customHeight="1">
      <c r="A1" s="1046" t="s">
        <v>201</v>
      </c>
      <c r="B1" s="1047"/>
      <c r="C1" s="1047"/>
      <c r="D1" s="1048"/>
      <c r="E1" s="1"/>
      <c r="F1" s="175" t="s">
        <v>99</v>
      </c>
      <c r="G1" s="189" t="s">
        <v>100</v>
      </c>
      <c r="H1" s="189" t="s">
        <v>101</v>
      </c>
      <c r="I1" s="189" t="s">
        <v>102</v>
      </c>
      <c r="J1" s="189" t="s">
        <v>103</v>
      </c>
      <c r="K1" s="189" t="s">
        <v>124</v>
      </c>
      <c r="L1" s="189" t="s">
        <v>104</v>
      </c>
      <c r="M1" s="189" t="s">
        <v>105</v>
      </c>
      <c r="N1" s="189" t="s">
        <v>106</v>
      </c>
      <c r="O1" s="181" t="s">
        <v>107</v>
      </c>
      <c r="P1" s="487" t="s">
        <v>147</v>
      </c>
      <c r="Q1" s="4" t="s">
        <v>1</v>
      </c>
      <c r="R1" s="67" t="s">
        <v>7</v>
      </c>
      <c r="S1" s="67" t="s">
        <v>147</v>
      </c>
      <c r="T1" s="67" t="s">
        <v>145</v>
      </c>
      <c r="U1" s="1056"/>
    </row>
    <row r="2" spans="1:22" s="16" customFormat="1" ht="13.5" thickBot="1">
      <c r="A2" s="298" t="s">
        <v>127</v>
      </c>
      <c r="B2" s="7"/>
      <c r="C2" s="1052" t="s">
        <v>148</v>
      </c>
      <c r="D2" s="1053"/>
      <c r="E2" s="9" t="s">
        <v>5</v>
      </c>
      <c r="F2" s="176">
        <v>81</v>
      </c>
      <c r="G2" s="190">
        <v>82</v>
      </c>
      <c r="H2" s="190">
        <v>83</v>
      </c>
      <c r="I2" s="190">
        <v>84</v>
      </c>
      <c r="J2" s="190">
        <v>85</v>
      </c>
      <c r="K2" s="190">
        <v>87</v>
      </c>
      <c r="L2" s="190">
        <v>92</v>
      </c>
      <c r="M2" s="190">
        <v>96</v>
      </c>
      <c r="N2" s="190">
        <v>97</v>
      </c>
      <c r="O2" s="182">
        <v>99</v>
      </c>
      <c r="P2" s="488">
        <v>2011</v>
      </c>
      <c r="Q2" s="12" t="s">
        <v>7</v>
      </c>
      <c r="R2" s="71">
        <v>2011</v>
      </c>
      <c r="S2" s="71">
        <v>2010</v>
      </c>
      <c r="T2" s="71">
        <v>2009</v>
      </c>
      <c r="U2" s="1056"/>
      <c r="V2" s="402"/>
    </row>
    <row r="3" spans="1:20" ht="13.5" thickBot="1">
      <c r="A3" s="17" t="s">
        <v>13</v>
      </c>
      <c r="B3" s="18"/>
      <c r="C3" s="18"/>
      <c r="D3" s="18"/>
      <c r="E3" s="19">
        <v>1</v>
      </c>
      <c r="F3" s="177">
        <f aca="true" t="shared" si="0" ref="F3:T3">SUM(F5:F27)</f>
        <v>0</v>
      </c>
      <c r="G3" s="191">
        <f t="shared" si="0"/>
        <v>0</v>
      </c>
      <c r="H3" s="191">
        <f t="shared" si="0"/>
        <v>0</v>
      </c>
      <c r="I3" s="191">
        <f t="shared" si="0"/>
        <v>0</v>
      </c>
      <c r="J3" s="191">
        <f t="shared" si="0"/>
        <v>0</v>
      </c>
      <c r="K3" s="191">
        <f t="shared" si="0"/>
        <v>0</v>
      </c>
      <c r="L3" s="191">
        <f t="shared" si="0"/>
        <v>0</v>
      </c>
      <c r="M3" s="191">
        <f t="shared" si="0"/>
        <v>0</v>
      </c>
      <c r="N3" s="191">
        <f>SUM(N5:N27)</f>
        <v>0</v>
      </c>
      <c r="O3" s="183">
        <f t="shared" si="0"/>
        <v>0</v>
      </c>
      <c r="P3" s="172">
        <f t="shared" si="0"/>
        <v>0</v>
      </c>
      <c r="Q3" s="75">
        <f t="shared" si="0"/>
        <v>0</v>
      </c>
      <c r="R3" s="78">
        <f t="shared" si="0"/>
        <v>1377501</v>
      </c>
      <c r="S3" s="78">
        <f>SUM(S5:S27)</f>
        <v>1309775.97683</v>
      </c>
      <c r="T3" s="78" t="e">
        <f t="shared" si="0"/>
        <v>#REF!</v>
      </c>
    </row>
    <row r="4" spans="1:22" s="25" customFormat="1" ht="12">
      <c r="A4" s="21" t="s">
        <v>14</v>
      </c>
      <c r="B4" s="22" t="s">
        <v>15</v>
      </c>
      <c r="C4" s="22"/>
      <c r="D4" s="22"/>
      <c r="E4" s="23">
        <v>2</v>
      </c>
      <c r="F4" s="178">
        <f aca="true" t="shared" si="1" ref="F4:T4">SUM(F5:F15)</f>
        <v>0</v>
      </c>
      <c r="G4" s="192">
        <f t="shared" si="1"/>
        <v>0</v>
      </c>
      <c r="H4" s="192">
        <f t="shared" si="1"/>
        <v>0</v>
      </c>
      <c r="I4" s="192">
        <f t="shared" si="1"/>
        <v>0</v>
      </c>
      <c r="J4" s="192">
        <f t="shared" si="1"/>
        <v>0</v>
      </c>
      <c r="K4" s="192"/>
      <c r="L4" s="192">
        <f t="shared" si="1"/>
        <v>0</v>
      </c>
      <c r="M4" s="192">
        <f t="shared" si="1"/>
        <v>0</v>
      </c>
      <c r="N4" s="192">
        <f>SUM(N5:N15)</f>
        <v>0</v>
      </c>
      <c r="O4" s="184">
        <f t="shared" si="1"/>
        <v>0</v>
      </c>
      <c r="P4" s="223">
        <f t="shared" si="1"/>
        <v>0</v>
      </c>
      <c r="Q4" s="79">
        <f t="shared" si="1"/>
        <v>0</v>
      </c>
      <c r="R4" s="82">
        <f t="shared" si="1"/>
        <v>886271</v>
      </c>
      <c r="S4" s="82">
        <f>SUM(S5:S15)</f>
        <v>990739.14095</v>
      </c>
      <c r="T4" s="82" t="e">
        <f t="shared" si="1"/>
        <v>#REF!</v>
      </c>
      <c r="U4" s="255"/>
      <c r="V4" s="403"/>
    </row>
    <row r="5" spans="1:22" s="65" customFormat="1" ht="12">
      <c r="A5" s="61"/>
      <c r="B5" s="62"/>
      <c r="C5" s="62" t="s">
        <v>16</v>
      </c>
      <c r="D5" s="63" t="s">
        <v>17</v>
      </c>
      <c r="E5" s="64">
        <v>3</v>
      </c>
      <c r="F5" s="162">
        <f>SKM!N5/1000</f>
        <v>0</v>
      </c>
      <c r="G5" s="193">
        <f>SUKB!N7/1000</f>
        <v>0</v>
      </c>
      <c r="H5" s="193">
        <f>UCT!N5/1000</f>
        <v>0</v>
      </c>
      <c r="I5" s="193">
        <f>SPSSN!N5/1000</f>
        <v>0</v>
      </c>
      <c r="J5" s="193">
        <f>IBA!N5/1000</f>
        <v>0</v>
      </c>
      <c r="K5" s="193"/>
      <c r="L5" s="193">
        <f>ÚVT!N5/1000</f>
        <v>0</v>
      </c>
      <c r="M5" s="193">
        <f>CJV!N5/1000</f>
        <v>0</v>
      </c>
      <c r="N5" s="193">
        <f>CZS!N5/1000</f>
        <v>0</v>
      </c>
      <c r="O5" s="185">
        <f>RMU!N5/1000</f>
        <v>0</v>
      </c>
      <c r="P5" s="489">
        <f aca="true" t="shared" si="2" ref="P5:P27">SUM(F5:O5)</f>
        <v>0</v>
      </c>
      <c r="Q5" s="83"/>
      <c r="R5" s="164">
        <f>'ostatni plan'!R5</f>
        <v>203099</v>
      </c>
      <c r="S5" s="164">
        <f>'ostatni plan'!AA5</f>
        <v>218808.7979</v>
      </c>
      <c r="T5" s="164" t="e">
        <f>(SKM!P5+SUKB!P7+UCT!P5+SPSSN!P5+IBA!P5+#REF!+ÚVT!P5+CJV!P5+CZS!P5+RMU!P5)/1000</f>
        <v>#REF!</v>
      </c>
      <c r="U5" s="546"/>
      <c r="V5" s="404"/>
    </row>
    <row r="6" spans="1:22" s="65" customFormat="1" ht="12">
      <c r="A6" s="61"/>
      <c r="B6" s="62"/>
      <c r="C6" s="62"/>
      <c r="D6" s="63" t="s">
        <v>18</v>
      </c>
      <c r="E6" s="64">
        <v>4</v>
      </c>
      <c r="F6" s="162">
        <f>SKM!N6/1000</f>
        <v>0</v>
      </c>
      <c r="G6" s="193">
        <f>SUKB!N8/1000</f>
        <v>0</v>
      </c>
      <c r="H6" s="193">
        <f>UCT!N6/1000</f>
        <v>0</v>
      </c>
      <c r="I6" s="193">
        <f>SPSSN!N6/1000</f>
        <v>0</v>
      </c>
      <c r="J6" s="193">
        <f>IBA!N6/1000</f>
        <v>0</v>
      </c>
      <c r="K6" s="193"/>
      <c r="L6" s="193">
        <f>ÚVT!N6/1000</f>
        <v>0</v>
      </c>
      <c r="M6" s="193">
        <f>CJV!N6/1000</f>
        <v>0</v>
      </c>
      <c r="N6" s="193">
        <f>CZS!N6/1000</f>
        <v>0</v>
      </c>
      <c r="O6" s="185">
        <f>RMU!N6/1000</f>
        <v>0</v>
      </c>
      <c r="P6" s="489">
        <f t="shared" si="2"/>
        <v>0</v>
      </c>
      <c r="Q6" s="83"/>
      <c r="R6" s="164">
        <f>'ostatni plan'!R6</f>
        <v>22564</v>
      </c>
      <c r="S6" s="164">
        <f>'ostatni plan'!AA6</f>
        <v>20342.3815</v>
      </c>
      <c r="T6" s="164" t="e">
        <f>(SKM!P6+SUKB!P8+UCT!P6+SPSSN!P6+IBA!P6+#REF!+ÚVT!P6+CJV!P6+CZS!P6+RMU!P6)/1000</f>
        <v>#REF!</v>
      </c>
      <c r="U6" s="546"/>
      <c r="V6" s="404"/>
    </row>
    <row r="7" spans="1:22" s="65" customFormat="1" ht="12">
      <c r="A7" s="61"/>
      <c r="B7" s="62"/>
      <c r="C7" s="62"/>
      <c r="D7" s="63" t="s">
        <v>19</v>
      </c>
      <c r="E7" s="64">
        <v>5</v>
      </c>
      <c r="F7" s="162">
        <f>SKM!N7/1000</f>
        <v>0</v>
      </c>
      <c r="G7" s="193">
        <f>SUKB!N9/1000</f>
        <v>0</v>
      </c>
      <c r="H7" s="193">
        <f>UCT!N7/1000</f>
        <v>0</v>
      </c>
      <c r="I7" s="193">
        <f>SPSSN!N7/1000</f>
        <v>0</v>
      </c>
      <c r="J7" s="193">
        <f>IBA!N7/1000</f>
        <v>0</v>
      </c>
      <c r="K7" s="193"/>
      <c r="L7" s="193">
        <f>ÚVT!N7/1000</f>
        <v>0</v>
      </c>
      <c r="M7" s="193">
        <f>CJV!N7/1000</f>
        <v>0</v>
      </c>
      <c r="N7" s="193">
        <f>CZS!N7/1000</f>
        <v>0</v>
      </c>
      <c r="O7" s="185">
        <f>RMU!N7/1000</f>
        <v>0</v>
      </c>
      <c r="P7" s="489">
        <f t="shared" si="2"/>
        <v>0</v>
      </c>
      <c r="Q7" s="83"/>
      <c r="R7" s="164">
        <f>'ostatni plan'!R7</f>
        <v>72122</v>
      </c>
      <c r="S7" s="164">
        <f>'ostatni plan'!AA7</f>
        <v>79332.28333</v>
      </c>
      <c r="T7" s="164" t="e">
        <f>(SKM!P7+SUKB!P9+UCT!P7+SPSSN!P7+IBA!P7+#REF!+ÚVT!P7+CJV!P7+CZS!P7+RMU!P7)/1000</f>
        <v>#REF!</v>
      </c>
      <c r="U7" s="546"/>
      <c r="V7" s="404"/>
    </row>
    <row r="8" spans="1:22" s="65" customFormat="1" ht="12">
      <c r="A8" s="61"/>
      <c r="B8" s="62"/>
      <c r="C8" s="62"/>
      <c r="D8" s="63" t="s">
        <v>20</v>
      </c>
      <c r="E8" s="64">
        <v>6</v>
      </c>
      <c r="F8" s="162">
        <f>SKM!N8/1000</f>
        <v>0</v>
      </c>
      <c r="G8" s="193">
        <f>SUKB!N10/1000</f>
        <v>0</v>
      </c>
      <c r="H8" s="193">
        <f>UCT!N8/1000</f>
        <v>0</v>
      </c>
      <c r="I8" s="193">
        <f>SPSSN!N8/1000</f>
        <v>0</v>
      </c>
      <c r="J8" s="193">
        <f>IBA!N8/1000</f>
        <v>0</v>
      </c>
      <c r="K8" s="193"/>
      <c r="L8" s="193">
        <f>ÚVT!N8/1000</f>
        <v>0</v>
      </c>
      <c r="M8" s="193">
        <f>CJV!N8/1000</f>
        <v>0</v>
      </c>
      <c r="N8" s="193">
        <f>CZS!N8/1000</f>
        <v>0</v>
      </c>
      <c r="O8" s="185">
        <f>RMU!N8/1000</f>
        <v>0</v>
      </c>
      <c r="P8" s="489">
        <f t="shared" si="2"/>
        <v>0</v>
      </c>
      <c r="Q8" s="83"/>
      <c r="R8" s="164">
        <f>'ostatni plan'!R8</f>
        <v>50454</v>
      </c>
      <c r="S8" s="164">
        <f>'ostatni plan'!AA8</f>
        <v>46745.646889999996</v>
      </c>
      <c r="T8" s="164" t="e">
        <f>(SKM!P8+SUKB!P10+UCT!P8+SPSSN!P8+IBA!P8+#REF!+ÚVT!P8+CJV!P8+CZS!P8+RMU!P8)/1000</f>
        <v>#DIV/0!</v>
      </c>
      <c r="U8" s="546"/>
      <c r="V8" s="404"/>
    </row>
    <row r="9" spans="1:22" s="65" customFormat="1" ht="12">
      <c r="A9" s="61"/>
      <c r="B9" s="62"/>
      <c r="C9" s="62"/>
      <c r="D9" s="63" t="s">
        <v>21</v>
      </c>
      <c r="E9" s="64">
        <v>7</v>
      </c>
      <c r="F9" s="162">
        <f>SKM!N9/1000</f>
        <v>0</v>
      </c>
      <c r="G9" s="193">
        <f>SUKB!N11/1000</f>
        <v>0</v>
      </c>
      <c r="H9" s="193">
        <f>UCT!N9/1000</f>
        <v>0</v>
      </c>
      <c r="I9" s="193">
        <f>SPSSN!N9/1000</f>
        <v>0</v>
      </c>
      <c r="J9" s="193">
        <f>IBA!N9/1000</f>
        <v>0</v>
      </c>
      <c r="K9" s="193"/>
      <c r="L9" s="193">
        <f>ÚVT!N9/1000</f>
        <v>0</v>
      </c>
      <c r="M9" s="193">
        <f>CJV!N9/1000</f>
        <v>0</v>
      </c>
      <c r="N9" s="193">
        <f>CZS!N9/1000</f>
        <v>0</v>
      </c>
      <c r="O9" s="185">
        <f>RMU!N9/1000</f>
        <v>0</v>
      </c>
      <c r="P9" s="489">
        <f t="shared" si="2"/>
        <v>0</v>
      </c>
      <c r="Q9" s="83"/>
      <c r="R9" s="164">
        <f>'ostatni plan'!R9</f>
        <v>35166</v>
      </c>
      <c r="S9" s="164">
        <f>'ostatni plan'!AA9</f>
        <v>41646.733</v>
      </c>
      <c r="T9" s="164" t="e">
        <f>(SKM!P9+SUKB!P11+UCT!P9+SPSSN!P9+IBA!P9+#REF!+ÚVT!P9+CJV!P9+CZS!P9+RMU!P9)/1000</f>
        <v>#DIV/0!</v>
      </c>
      <c r="U9" s="546"/>
      <c r="V9" s="404"/>
    </row>
    <row r="10" spans="1:22" s="65" customFormat="1" ht="12">
      <c r="A10" s="61"/>
      <c r="B10" s="62"/>
      <c r="C10" s="62"/>
      <c r="D10" s="63" t="s">
        <v>22</v>
      </c>
      <c r="E10" s="64">
        <v>8</v>
      </c>
      <c r="F10" s="162">
        <f>SKM!N10/1000</f>
        <v>0</v>
      </c>
      <c r="G10" s="193">
        <f>SUKB!N12/1000</f>
        <v>0</v>
      </c>
      <c r="H10" s="193">
        <f>UCT!N10/1000</f>
        <v>0</v>
      </c>
      <c r="I10" s="193">
        <f>SPSSN!N10/1000</f>
        <v>0</v>
      </c>
      <c r="J10" s="193">
        <f>IBA!N10/1000</f>
        <v>0</v>
      </c>
      <c r="K10" s="193"/>
      <c r="L10" s="193">
        <f>ÚVT!N10/1000</f>
        <v>0</v>
      </c>
      <c r="M10" s="193">
        <f>CJV!N10/1000</f>
        <v>0</v>
      </c>
      <c r="N10" s="193">
        <f>CZS!N10/1000</f>
        <v>0</v>
      </c>
      <c r="O10" s="185">
        <f>RMU!N10/1000</f>
        <v>0</v>
      </c>
      <c r="P10" s="489">
        <f t="shared" si="2"/>
        <v>0</v>
      </c>
      <c r="Q10" s="83"/>
      <c r="R10" s="164">
        <f>'ostatni plan'!R10</f>
        <v>56535</v>
      </c>
      <c r="S10" s="164">
        <f>'ostatni plan'!AA10</f>
        <v>107119.56856</v>
      </c>
      <c r="T10" s="164" t="e">
        <f>(SKM!P10+SUKB!P12+UCT!P10+SPSSN!P10+IBA!P10+#REF!+ÚVT!P10+CJV!P10+CZS!P10+RMU!P10)/1000</f>
        <v>#DIV/0!</v>
      </c>
      <c r="U10" s="546"/>
      <c r="V10" s="404"/>
    </row>
    <row r="11" spans="1:22" s="65" customFormat="1" ht="12">
      <c r="A11" s="61"/>
      <c r="B11" s="62"/>
      <c r="C11" s="62"/>
      <c r="D11" s="63" t="s">
        <v>23</v>
      </c>
      <c r="E11" s="64">
        <v>9</v>
      </c>
      <c r="F11" s="162">
        <f>SKM!N11/1000</f>
        <v>0</v>
      </c>
      <c r="G11" s="193">
        <f>SUKB!N13/1000</f>
        <v>0</v>
      </c>
      <c r="H11" s="193">
        <f>UCT!N11/1000</f>
        <v>0</v>
      </c>
      <c r="I11" s="193">
        <f>SPSSN!N11/1000</f>
        <v>0</v>
      </c>
      <c r="J11" s="193">
        <f>IBA!N11/1000</f>
        <v>0</v>
      </c>
      <c r="K11" s="193"/>
      <c r="L11" s="193">
        <f>ÚVT!N11/1000</f>
        <v>0</v>
      </c>
      <c r="M11" s="193">
        <f>CJV!N11/1000</f>
        <v>0</v>
      </c>
      <c r="N11" s="193">
        <f>CZS!N11/1000</f>
        <v>0</v>
      </c>
      <c r="O11" s="185">
        <f>RMU!N11/1000</f>
        <v>0</v>
      </c>
      <c r="P11" s="489">
        <f t="shared" si="2"/>
        <v>0</v>
      </c>
      <c r="Q11" s="83"/>
      <c r="R11" s="164">
        <f>'ostatni plan'!R11</f>
        <v>102577</v>
      </c>
      <c r="S11" s="164">
        <f>'ostatni plan'!AA11</f>
        <v>113834.33317999999</v>
      </c>
      <c r="T11" s="164" t="e">
        <f>(SKM!P11+SUKB!P13+UCT!P11+SPSSN!P11+IBA!P11+#REF!+ÚVT!P11+CJV!P11+CZS!P11+RMU!P11)/1000</f>
        <v>#DIV/0!</v>
      </c>
      <c r="U11" s="546"/>
      <c r="V11" s="404"/>
    </row>
    <row r="12" spans="1:22" s="65" customFormat="1" ht="12">
      <c r="A12" s="61"/>
      <c r="B12" s="62"/>
      <c r="C12" s="62"/>
      <c r="D12" s="63" t="s">
        <v>24</v>
      </c>
      <c r="E12" s="64">
        <v>10</v>
      </c>
      <c r="F12" s="162">
        <f>SKM!N12/1000</f>
        <v>0</v>
      </c>
      <c r="G12" s="193">
        <f>SUKB!N14/1000</f>
        <v>0</v>
      </c>
      <c r="H12" s="193">
        <f>UCT!N12/1000</f>
        <v>0</v>
      </c>
      <c r="I12" s="193">
        <f>SPSSN!N12/1000</f>
        <v>0</v>
      </c>
      <c r="J12" s="193">
        <f>IBA!N12/1000</f>
        <v>0</v>
      </c>
      <c r="K12" s="193"/>
      <c r="L12" s="193">
        <f>ÚVT!N12/1000</f>
        <v>0</v>
      </c>
      <c r="M12" s="193">
        <f>CJV!N12/1000</f>
        <v>0</v>
      </c>
      <c r="N12" s="193">
        <f>CZS!N12/1000</f>
        <v>0</v>
      </c>
      <c r="O12" s="185">
        <f>RMU!N12/1000</f>
        <v>0</v>
      </c>
      <c r="P12" s="489">
        <f t="shared" si="2"/>
        <v>0</v>
      </c>
      <c r="Q12" s="83"/>
      <c r="R12" s="164">
        <f>'ostatni plan'!R12</f>
        <v>4014</v>
      </c>
      <c r="S12" s="164">
        <f>'ostatni plan'!AA12</f>
        <v>4165.73557</v>
      </c>
      <c r="T12" s="164" t="e">
        <f>(SKM!P12+SUKB!P14+UCT!P12+SPSSN!P12+IBA!P12+#REF!+ÚVT!P12+CJV!P12+CZS!P12+RMU!P12)/1000</f>
        <v>#DIV/0!</v>
      </c>
      <c r="U12" s="546"/>
      <c r="V12" s="404"/>
    </row>
    <row r="13" spans="1:22" s="65" customFormat="1" ht="12">
      <c r="A13" s="61"/>
      <c r="B13" s="62"/>
      <c r="C13" s="62"/>
      <c r="D13" s="63" t="s">
        <v>25</v>
      </c>
      <c r="E13" s="64">
        <v>11</v>
      </c>
      <c r="F13" s="162">
        <f>SKM!N13/1000</f>
        <v>0</v>
      </c>
      <c r="G13" s="193">
        <f>SUKB!N15/1000</f>
        <v>0</v>
      </c>
      <c r="H13" s="193">
        <f>UCT!N13/1000</f>
        <v>0</v>
      </c>
      <c r="I13" s="193">
        <f>SPSSN!N13/1000</f>
        <v>0</v>
      </c>
      <c r="J13" s="193">
        <f>IBA!N13/1000</f>
        <v>0</v>
      </c>
      <c r="K13" s="193"/>
      <c r="L13" s="193">
        <f>ÚVT!N13/1000</f>
        <v>0</v>
      </c>
      <c r="M13" s="193">
        <f>CJV!N13/1000</f>
        <v>0</v>
      </c>
      <c r="N13" s="193">
        <f>CZS!N13/1000</f>
        <v>0</v>
      </c>
      <c r="O13" s="185">
        <f>RMU!N13/1000</f>
        <v>0</v>
      </c>
      <c r="P13" s="489">
        <f t="shared" si="2"/>
        <v>0</v>
      </c>
      <c r="Q13" s="83"/>
      <c r="R13" s="164">
        <f>'ostatni plan'!R13</f>
        <v>181153</v>
      </c>
      <c r="S13" s="164">
        <f>'ostatni plan'!AA13</f>
        <v>144595.74141000002</v>
      </c>
      <c r="T13" s="164" t="e">
        <f>(SKM!P13+SUKB!P15+UCT!P13+SPSSN!P13+IBA!P13+#REF!+ÚVT!P13+CJV!P13+CZS!P13+RMU!P13)/1000</f>
        <v>#REF!</v>
      </c>
      <c r="U13" s="546"/>
      <c r="V13" s="404"/>
    </row>
    <row r="14" spans="1:22" s="65" customFormat="1" ht="12">
      <c r="A14" s="61"/>
      <c r="B14" s="62"/>
      <c r="C14" s="62"/>
      <c r="D14" s="63" t="s">
        <v>26</v>
      </c>
      <c r="E14" s="64">
        <v>12</v>
      </c>
      <c r="F14" s="162">
        <f>SKM!N14/1000</f>
        <v>0</v>
      </c>
      <c r="G14" s="193">
        <f>SUKB!N16/1000</f>
        <v>0</v>
      </c>
      <c r="H14" s="193">
        <f>UCT!N14/1000</f>
        <v>0</v>
      </c>
      <c r="I14" s="193">
        <f>SPSSN!N14/1000</f>
        <v>0</v>
      </c>
      <c r="J14" s="193">
        <f>IBA!N14/1000</f>
        <v>0</v>
      </c>
      <c r="K14" s="193"/>
      <c r="L14" s="193">
        <f>ÚVT!N14/1000</f>
        <v>0</v>
      </c>
      <c r="M14" s="193">
        <f>CJV!N14/1000</f>
        <v>0</v>
      </c>
      <c r="N14" s="193">
        <f>CZS!N14/1000</f>
        <v>0</v>
      </c>
      <c r="O14" s="185">
        <f>RMU!N14/1000</f>
        <v>0</v>
      </c>
      <c r="P14" s="489">
        <f t="shared" si="2"/>
        <v>0</v>
      </c>
      <c r="Q14" s="83"/>
      <c r="R14" s="164">
        <f>'ostatni plan'!R14</f>
        <v>115039</v>
      </c>
      <c r="S14" s="164">
        <f>'ostatni plan'!AA14</f>
        <v>116492</v>
      </c>
      <c r="T14" s="164" t="e">
        <f>(SKM!P14+SUKB!P16+UCT!P14+SPSSN!P14+IBA!P14+#REF!+ÚVT!P14+CJV!P14+CZS!P14+RMU!P14)/1000</f>
        <v>#DIV/0!</v>
      </c>
      <c r="U14" s="546"/>
      <c r="V14" s="404"/>
    </row>
    <row r="15" spans="1:22" s="65" customFormat="1" ht="12">
      <c r="A15" s="61"/>
      <c r="B15" s="62"/>
      <c r="C15" s="63"/>
      <c r="D15" s="63" t="s">
        <v>27</v>
      </c>
      <c r="E15" s="64">
        <v>13</v>
      </c>
      <c r="F15" s="162">
        <f>SKM!N15/1000</f>
        <v>0</v>
      </c>
      <c r="G15" s="193">
        <f>SUKB!N17/1000</f>
        <v>0</v>
      </c>
      <c r="H15" s="193">
        <f>UCT!N15/1000</f>
        <v>0</v>
      </c>
      <c r="I15" s="193">
        <f>SPSSN!N15/1000</f>
        <v>0</v>
      </c>
      <c r="J15" s="193">
        <f>IBA!N15/1000</f>
        <v>0</v>
      </c>
      <c r="K15" s="193"/>
      <c r="L15" s="193">
        <f>ÚVT!N15/1000</f>
        <v>0</v>
      </c>
      <c r="M15" s="193">
        <f>CJV!N15/1000</f>
        <v>0</v>
      </c>
      <c r="N15" s="193">
        <f>CZS!N15/1000</f>
        <v>0</v>
      </c>
      <c r="O15" s="185">
        <f>RMU!N15/1000</f>
        <v>0</v>
      </c>
      <c r="P15" s="489">
        <f t="shared" si="2"/>
        <v>0</v>
      </c>
      <c r="Q15" s="83"/>
      <c r="R15" s="164">
        <f>'ostatni plan'!R15</f>
        <v>43548</v>
      </c>
      <c r="S15" s="164">
        <f>'ostatni plan'!AA15</f>
        <v>97655.91961</v>
      </c>
      <c r="T15" s="164" t="e">
        <f>(SKM!P15+SUKB!P17+UCT!P15+SPSSN!P15+IBA!P15+#REF!+ÚVT!P15+CJV!P15+CZS!P15+RMU!P15)/1000</f>
        <v>#DIV/0!</v>
      </c>
      <c r="U15" s="546"/>
      <c r="V15" s="404"/>
    </row>
    <row r="16" spans="1:22" s="25" customFormat="1" ht="12">
      <c r="A16" s="21"/>
      <c r="B16" s="30" t="s">
        <v>28</v>
      </c>
      <c r="C16" s="27"/>
      <c r="D16" s="27"/>
      <c r="E16" s="28">
        <v>14</v>
      </c>
      <c r="F16" s="165">
        <f>SKM!N16/1000</f>
        <v>0</v>
      </c>
      <c r="G16" s="151">
        <f>SUKB!N18/1000</f>
        <v>0</v>
      </c>
      <c r="H16" s="151">
        <f>UCT!N16/1000</f>
        <v>0</v>
      </c>
      <c r="I16" s="151">
        <f>SPSSN!N16/1000</f>
        <v>0</v>
      </c>
      <c r="J16" s="151">
        <f>IBA!N16/1000</f>
        <v>0</v>
      </c>
      <c r="K16" s="151"/>
      <c r="L16" s="151">
        <f>ÚVT!N16/1000</f>
        <v>0</v>
      </c>
      <c r="M16" s="151">
        <f>CJV!N16/1000</f>
        <v>0</v>
      </c>
      <c r="N16" s="151">
        <f>CZS!N16/1000</f>
        <v>0</v>
      </c>
      <c r="O16" s="186">
        <f>RMU!N16/1000</f>
        <v>0</v>
      </c>
      <c r="P16" s="490">
        <f t="shared" si="2"/>
        <v>0</v>
      </c>
      <c r="Q16" s="290"/>
      <c r="R16" s="96">
        <f>'ostatni plan'!R16</f>
        <v>0</v>
      </c>
      <c r="S16" s="96">
        <f>'ostatni plan'!AA16</f>
        <v>0</v>
      </c>
      <c r="T16" s="96" t="e">
        <f>(SKM!P16+SUKB!P18+UCT!P16+SPSSN!P16+IBA!P16+#REF!+ÚVT!P16+CJV!P16+CZS!P16+RMU!P16)/1000</f>
        <v>#REF!</v>
      </c>
      <c r="U16" s="255"/>
      <c r="V16" s="403"/>
    </row>
    <row r="17" spans="1:22" s="25" customFormat="1" ht="12">
      <c r="A17" s="21"/>
      <c r="B17" s="30" t="s">
        <v>30</v>
      </c>
      <c r="C17" s="27"/>
      <c r="D17" s="27"/>
      <c r="E17" s="28">
        <v>15</v>
      </c>
      <c r="F17" s="165">
        <f>SKM!N17/1000</f>
        <v>0</v>
      </c>
      <c r="G17" s="151">
        <f>SUKB!N19/1000</f>
        <v>0</v>
      </c>
      <c r="H17" s="151">
        <f>UCT!N17/1000</f>
        <v>0</v>
      </c>
      <c r="I17" s="151">
        <f>SPSSN!N17/1000</f>
        <v>0</v>
      </c>
      <c r="J17" s="151">
        <f>IBA!N17/1000</f>
        <v>0</v>
      </c>
      <c r="K17" s="151"/>
      <c r="L17" s="151">
        <f>ÚVT!N17/1000</f>
        <v>0</v>
      </c>
      <c r="M17" s="151">
        <f>CJV!N17/1000</f>
        <v>0</v>
      </c>
      <c r="N17" s="151">
        <f>CZS!N17/1000</f>
        <v>0</v>
      </c>
      <c r="O17" s="186">
        <f>RMU!N17/1000</f>
        <v>0</v>
      </c>
      <c r="P17" s="490">
        <f t="shared" si="2"/>
        <v>0</v>
      </c>
      <c r="Q17" s="139"/>
      <c r="R17" s="96">
        <f>'ostatni plan'!R17</f>
        <v>37000</v>
      </c>
      <c r="S17" s="96">
        <f>'ostatni plan'!AA17</f>
        <v>38972.036</v>
      </c>
      <c r="T17" s="96" t="e">
        <f>(SKM!P17+SUKB!P19+UCT!P17+SPSSN!P17+IBA!P17+#REF!+ÚVT!P17+CJV!P17+CZS!P17+RMU!P17)/1000</f>
        <v>#REF!</v>
      </c>
      <c r="U17" s="255"/>
      <c r="V17" s="403"/>
    </row>
    <row r="18" spans="1:22" s="25" customFormat="1" ht="12">
      <c r="A18" s="21"/>
      <c r="B18" s="31" t="s">
        <v>32</v>
      </c>
      <c r="C18" s="32"/>
      <c r="D18" s="32"/>
      <c r="E18" s="33">
        <v>16</v>
      </c>
      <c r="F18" s="165">
        <f>SKM!N18/1000</f>
        <v>0</v>
      </c>
      <c r="G18" s="151">
        <f>SUKB!N20/1000</f>
        <v>0</v>
      </c>
      <c r="H18" s="151">
        <f>UCT!N18/1000</f>
        <v>0</v>
      </c>
      <c r="I18" s="151">
        <f>SPSSN!N18/1000</f>
        <v>0</v>
      </c>
      <c r="J18" s="151">
        <f>IBA!N18/1000</f>
        <v>0</v>
      </c>
      <c r="K18" s="151"/>
      <c r="L18" s="151">
        <f>ÚVT!N18/1000</f>
        <v>0</v>
      </c>
      <c r="M18" s="151">
        <f>CJV!N18/1000</f>
        <v>0</v>
      </c>
      <c r="N18" s="151">
        <f>CZS!N18/1000</f>
        <v>0</v>
      </c>
      <c r="O18" s="186">
        <f>RMU!N18/1000</f>
        <v>0</v>
      </c>
      <c r="P18" s="490">
        <f t="shared" si="2"/>
        <v>0</v>
      </c>
      <c r="Q18" s="139"/>
      <c r="R18" s="96">
        <f>'ostatni plan'!R18</f>
        <v>90954</v>
      </c>
      <c r="S18" s="96">
        <f>'ostatni plan'!AA18</f>
        <v>62950</v>
      </c>
      <c r="T18" s="96" t="e">
        <f>(SKM!P18+SUKB!P20+UCT!P18+SPSSN!P18+IBA!P18+#REF!+ÚVT!P18+CJV!P18+CZS!P18+RMU!P18)/1000</f>
        <v>#REF!</v>
      </c>
      <c r="U18" s="255"/>
      <c r="V18" s="403"/>
    </row>
    <row r="19" spans="1:22" s="25" customFormat="1" ht="12">
      <c r="A19" s="21"/>
      <c r="B19" s="31" t="s">
        <v>34</v>
      </c>
      <c r="C19" s="32"/>
      <c r="D19" s="32"/>
      <c r="E19" s="33">
        <v>17</v>
      </c>
      <c r="F19" s="165">
        <f>SKM!N19/1000</f>
        <v>0</v>
      </c>
      <c r="G19" s="151">
        <f>SUKB!N21/1000</f>
        <v>0</v>
      </c>
      <c r="H19" s="151">
        <f>UCT!N19/1000</f>
        <v>0</v>
      </c>
      <c r="I19" s="151">
        <f>SPSSN!N19/1000</f>
        <v>0</v>
      </c>
      <c r="J19" s="151">
        <f>IBA!N19/1000</f>
        <v>0</v>
      </c>
      <c r="K19" s="151"/>
      <c r="L19" s="151">
        <f>ÚVT!N19/1000</f>
        <v>0</v>
      </c>
      <c r="M19" s="151">
        <f>CJV!N19/1000</f>
        <v>0</v>
      </c>
      <c r="N19" s="151">
        <f>CZS!N19/1000</f>
        <v>0</v>
      </c>
      <c r="O19" s="186">
        <f>RMU!N19/1000</f>
        <v>0</v>
      </c>
      <c r="P19" s="490">
        <f t="shared" si="2"/>
        <v>0</v>
      </c>
      <c r="Q19" s="139"/>
      <c r="R19" s="96">
        <f>'ostatni plan'!R19</f>
        <v>0</v>
      </c>
      <c r="S19" s="96">
        <f>'ostatni plan'!AA19</f>
        <v>485</v>
      </c>
      <c r="T19" s="96" t="e">
        <f>(SKM!P19+SUKB!P21+UCT!P19+SPSSN!P19+IBA!P19+#REF!+ÚVT!P19+CJV!P19+CZS!P19+RMU!P19)/1000</f>
        <v>#REF!</v>
      </c>
      <c r="U19" s="255"/>
      <c r="V19" s="403"/>
    </row>
    <row r="20" spans="1:22" s="25" customFormat="1" ht="12">
      <c r="A20" s="21"/>
      <c r="B20" s="31" t="s">
        <v>36</v>
      </c>
      <c r="C20" s="31"/>
      <c r="D20" s="31"/>
      <c r="E20" s="33">
        <v>18</v>
      </c>
      <c r="F20" s="165">
        <f>SKM!N20/1000</f>
        <v>0</v>
      </c>
      <c r="G20" s="151">
        <f>SUKB!N22/1000</f>
        <v>0</v>
      </c>
      <c r="H20" s="151">
        <f>UCT!N20/1000</f>
        <v>0</v>
      </c>
      <c r="I20" s="151">
        <f>SPSSN!N20/1000</f>
        <v>0</v>
      </c>
      <c r="J20" s="151">
        <f>IBA!N20/1000</f>
        <v>0</v>
      </c>
      <c r="K20" s="151"/>
      <c r="L20" s="151">
        <f>ÚVT!N20/1000</f>
        <v>0</v>
      </c>
      <c r="M20" s="151">
        <f>CJV!N20/1000</f>
        <v>0</v>
      </c>
      <c r="N20" s="151">
        <f>CZS!N20/1000</f>
        <v>0</v>
      </c>
      <c r="O20" s="186">
        <f>RMU!N20/1000</f>
        <v>0</v>
      </c>
      <c r="P20" s="490">
        <f t="shared" si="2"/>
        <v>0</v>
      </c>
      <c r="Q20" s="139"/>
      <c r="R20" s="96">
        <f>'ostatni plan'!R20</f>
        <v>10080</v>
      </c>
      <c r="S20" s="96">
        <f>'ostatni plan'!AA20</f>
        <v>9689.25454</v>
      </c>
      <c r="T20" s="96" t="e">
        <f>(SKM!P20+SUKB!P22+UCT!P20+SPSSN!P20+IBA!P20+#REF!+ÚVT!P20+CJV!P20+CZS!P20+RMU!P20)/1000</f>
        <v>#REF!</v>
      </c>
      <c r="U20" s="255"/>
      <c r="V20" s="403"/>
    </row>
    <row r="21" spans="1:22" s="25" customFormat="1" ht="12">
      <c r="A21" s="21"/>
      <c r="B21" s="31" t="s">
        <v>38</v>
      </c>
      <c r="C21" s="31"/>
      <c r="D21" s="31"/>
      <c r="E21" s="33">
        <v>19</v>
      </c>
      <c r="F21" s="165">
        <f>SKM!N21/1000</f>
        <v>0</v>
      </c>
      <c r="G21" s="151">
        <f>SUKB!N23/1000</f>
        <v>0</v>
      </c>
      <c r="H21" s="151">
        <f>UCT!N21/1000</f>
        <v>0</v>
      </c>
      <c r="I21" s="151">
        <f>SPSSN!N21/1000</f>
        <v>0</v>
      </c>
      <c r="J21" s="151">
        <f>IBA!N21/1000</f>
        <v>0</v>
      </c>
      <c r="K21" s="151"/>
      <c r="L21" s="151">
        <f>ÚVT!N21/1000</f>
        <v>0</v>
      </c>
      <c r="M21" s="151">
        <f>CJV!N21/1000</f>
        <v>0</v>
      </c>
      <c r="N21" s="151">
        <f>CZS!N21/1000</f>
        <v>0</v>
      </c>
      <c r="O21" s="186">
        <f>RMU!N21/1000</f>
        <v>0</v>
      </c>
      <c r="P21" s="490">
        <f t="shared" si="2"/>
        <v>0</v>
      </c>
      <c r="Q21" s="139"/>
      <c r="R21" s="96">
        <f>'ostatni plan'!R21</f>
        <v>53249</v>
      </c>
      <c r="S21" s="96">
        <f>'ostatni plan'!AA21</f>
        <v>38361.738450000004</v>
      </c>
      <c r="T21" s="96" t="e">
        <f>(SKM!P21+SUKB!P23+UCT!P21+SPSSN!P21+IBA!P21+#REF!+ÚVT!P21+CJV!P21+CZS!P21+RMU!P21)/1000</f>
        <v>#REF!</v>
      </c>
      <c r="U21" s="255"/>
      <c r="V21" s="403"/>
    </row>
    <row r="22" spans="1:22" s="25" customFormat="1" ht="12">
      <c r="A22" s="21"/>
      <c r="B22" s="31" t="s">
        <v>40</v>
      </c>
      <c r="C22" s="31"/>
      <c r="D22" s="31"/>
      <c r="E22" s="33">
        <v>20</v>
      </c>
      <c r="F22" s="165">
        <f>SKM!N22/1000</f>
        <v>0</v>
      </c>
      <c r="G22" s="151">
        <f>SUKB!N24/1000</f>
        <v>0</v>
      </c>
      <c r="H22" s="151">
        <f>UCT!N22/1000</f>
        <v>0</v>
      </c>
      <c r="I22" s="151">
        <f>SPSSN!N22/1000</f>
        <v>0</v>
      </c>
      <c r="J22" s="151">
        <f>IBA!N22/1000</f>
        <v>0</v>
      </c>
      <c r="K22" s="151"/>
      <c r="L22" s="151">
        <f>ÚVT!N22/1000</f>
        <v>0</v>
      </c>
      <c r="M22" s="151">
        <f>CJV!N22/1000</f>
        <v>0</v>
      </c>
      <c r="N22" s="151">
        <f>CZS!N22/1000</f>
        <v>0</v>
      </c>
      <c r="O22" s="186">
        <f>RMU!N22/1000</f>
        <v>0</v>
      </c>
      <c r="P22" s="490">
        <f t="shared" si="2"/>
        <v>0</v>
      </c>
      <c r="Q22" s="139"/>
      <c r="R22" s="96">
        <f>'ostatni plan'!R22</f>
        <v>53660</v>
      </c>
      <c r="S22" s="96">
        <f>'ostatni plan'!AA22</f>
        <v>58475.174</v>
      </c>
      <c r="T22" s="96" t="e">
        <f>(SKM!P22+SUKB!P24+UCT!P22+SPSSN!P22+IBA!P22+#REF!+ÚVT!P22+CJV!P22+CZS!P22+RMU!P22)/1000</f>
        <v>#REF!</v>
      </c>
      <c r="U22" s="255"/>
      <c r="V22" s="403"/>
    </row>
    <row r="23" spans="1:22" s="25" customFormat="1" ht="12">
      <c r="A23" s="21"/>
      <c r="B23" s="31" t="s">
        <v>42</v>
      </c>
      <c r="C23" s="31"/>
      <c r="D23" s="31"/>
      <c r="E23" s="33">
        <v>21</v>
      </c>
      <c r="F23" s="165">
        <f>SKM!N23/1000</f>
        <v>0</v>
      </c>
      <c r="G23" s="151">
        <f>SUKB!N25/1000</f>
        <v>0</v>
      </c>
      <c r="H23" s="151">
        <f>UCT!N23/1000</f>
        <v>0</v>
      </c>
      <c r="I23" s="151">
        <f>SPSSN!N23/1000</f>
        <v>0</v>
      </c>
      <c r="J23" s="151">
        <f>IBA!N23/1000</f>
        <v>0</v>
      </c>
      <c r="K23" s="151"/>
      <c r="L23" s="151">
        <f>ÚVT!N23/1000</f>
        <v>0</v>
      </c>
      <c r="M23" s="151">
        <f>CJV!N23/1000</f>
        <v>0</v>
      </c>
      <c r="N23" s="151">
        <f>CZS!N23/1000</f>
        <v>0</v>
      </c>
      <c r="O23" s="186">
        <f>RMU!N23/1000</f>
        <v>0</v>
      </c>
      <c r="P23" s="490">
        <f t="shared" si="2"/>
        <v>0</v>
      </c>
      <c r="Q23" s="139"/>
      <c r="R23" s="96">
        <f>'ostatni plan'!R23</f>
        <v>30358</v>
      </c>
      <c r="S23" s="96">
        <f>'ostatni plan'!AA23</f>
        <v>930.95</v>
      </c>
      <c r="T23" s="96" t="e">
        <f>(SKM!P23+SUKB!P25+UCT!P23+SPSSN!P23+IBA!P23+#REF!+ÚVT!P23+CJV!P23+CZS!P23+RMU!P23)/1000</f>
        <v>#REF!</v>
      </c>
      <c r="U23" s="255"/>
      <c r="V23" s="403"/>
    </row>
    <row r="24" spans="1:22" s="25" customFormat="1" ht="12">
      <c r="A24" s="21"/>
      <c r="B24" s="31" t="s">
        <v>43</v>
      </c>
      <c r="C24" s="31"/>
      <c r="D24" s="31"/>
      <c r="E24" s="33">
        <v>22</v>
      </c>
      <c r="F24" s="165">
        <f>SKM!N24/1000</f>
        <v>0</v>
      </c>
      <c r="G24" s="151">
        <f>SUKB!N26/1000</f>
        <v>0</v>
      </c>
      <c r="H24" s="151">
        <f>UCT!N24/1000</f>
        <v>0</v>
      </c>
      <c r="I24" s="151">
        <f>SPSSN!N24/1000</f>
        <v>0</v>
      </c>
      <c r="J24" s="151">
        <f>IBA!N24/1000</f>
        <v>0</v>
      </c>
      <c r="K24" s="151"/>
      <c r="L24" s="151">
        <f>ÚVT!N24/1000</f>
        <v>0</v>
      </c>
      <c r="M24" s="151">
        <f>CJV!N24/1000</f>
        <v>0</v>
      </c>
      <c r="N24" s="151">
        <f>CZS!N24/1000</f>
        <v>0</v>
      </c>
      <c r="O24" s="186">
        <f>RMU!N24/1000</f>
        <v>0</v>
      </c>
      <c r="P24" s="490">
        <f t="shared" si="2"/>
        <v>0</v>
      </c>
      <c r="Q24" s="139"/>
      <c r="R24" s="96">
        <f>'ostatni plan'!R24</f>
        <v>42636</v>
      </c>
      <c r="S24" s="96">
        <f>'ostatni plan'!AA24</f>
        <v>6253</v>
      </c>
      <c r="T24" s="96" t="e">
        <f>(SKM!P24+SUKB!P26+UCT!P24+SPSSN!P24+IBA!P24+#REF!+ÚVT!P24+CJV!P24+CZS!P24+RMU!P24)/1000</f>
        <v>#REF!</v>
      </c>
      <c r="U24" s="255"/>
      <c r="V24" s="403"/>
    </row>
    <row r="25" spans="1:22" s="25" customFormat="1" ht="12">
      <c r="A25" s="21"/>
      <c r="B25" s="31" t="s">
        <v>186</v>
      </c>
      <c r="C25" s="31"/>
      <c r="D25" s="31"/>
      <c r="E25" s="33">
        <v>23</v>
      </c>
      <c r="F25" s="165">
        <f>SKM!N25/1000</f>
        <v>0</v>
      </c>
      <c r="G25" s="151">
        <f>SUKB!N27/1000</f>
        <v>0</v>
      </c>
      <c r="H25" s="151">
        <f>UCT!N25/1000</f>
        <v>0</v>
      </c>
      <c r="I25" s="151">
        <f>SPSSN!N25/1000</f>
        <v>0</v>
      </c>
      <c r="J25" s="151">
        <f>IBA!N25/1000</f>
        <v>0</v>
      </c>
      <c r="K25" s="151"/>
      <c r="L25" s="151">
        <f>ÚVT!N25/1000</f>
        <v>0</v>
      </c>
      <c r="M25" s="151">
        <f>CJV!N25/1000</f>
        <v>0</v>
      </c>
      <c r="N25" s="151">
        <f>CZS!N25/1000</f>
        <v>0</v>
      </c>
      <c r="O25" s="186">
        <f>RMU!N25/1000</f>
        <v>0</v>
      </c>
      <c r="P25" s="490">
        <f t="shared" si="2"/>
        <v>0</v>
      </c>
      <c r="Q25" s="139"/>
      <c r="R25" s="96">
        <f>'ostatni plan'!R25</f>
        <v>94889</v>
      </c>
      <c r="S25" s="96">
        <f>'ostatni plan'!AA25</f>
        <v>16705</v>
      </c>
      <c r="T25" s="96" t="e">
        <f>(SKM!P25+SUKB!P27+UCT!P25+SPSSN!P25+IBA!P25+#REF!+ÚVT!P25+CJV!P25+CZS!P25+RMU!P25)/1000</f>
        <v>#REF!</v>
      </c>
      <c r="U25" s="255"/>
      <c r="V25" s="403"/>
    </row>
    <row r="26" spans="1:22" s="25" customFormat="1" ht="12">
      <c r="A26" s="21"/>
      <c r="B26" s="31" t="s">
        <v>45</v>
      </c>
      <c r="C26" s="31"/>
      <c r="D26" s="31"/>
      <c r="E26" s="33">
        <v>24</v>
      </c>
      <c r="F26" s="165">
        <f>SKM!N26/1000</f>
        <v>0</v>
      </c>
      <c r="G26" s="151">
        <f>SUKB!N28/1000</f>
        <v>0</v>
      </c>
      <c r="H26" s="151">
        <f>UCT!N26/1000</f>
        <v>0</v>
      </c>
      <c r="I26" s="151">
        <f>SPSSN!N26/1000</f>
        <v>0</v>
      </c>
      <c r="J26" s="151">
        <f>IBA!N26/1000</f>
        <v>0</v>
      </c>
      <c r="K26" s="151"/>
      <c r="L26" s="151">
        <f>ÚVT!N26/1000</f>
        <v>0</v>
      </c>
      <c r="M26" s="151">
        <f>CJV!N26/1000</f>
        <v>0</v>
      </c>
      <c r="N26" s="151">
        <f>CZS!N26/1000</f>
        <v>0</v>
      </c>
      <c r="O26" s="186">
        <f>RMU!N26/1000</f>
        <v>0</v>
      </c>
      <c r="P26" s="490">
        <f t="shared" si="2"/>
        <v>0</v>
      </c>
      <c r="Q26" s="139"/>
      <c r="R26" s="96">
        <f>'ostatni plan'!R26</f>
        <v>5553</v>
      </c>
      <c r="S26" s="96">
        <f>'ostatni plan'!AA26</f>
        <v>3033</v>
      </c>
      <c r="T26" s="96" t="e">
        <f>(SKM!P26+SUKB!P28+UCT!P26+SPSSN!P26+IBA!P26+#REF!+ÚVT!P26+CJV!P26+CZS!P26+RMU!P26)/1000</f>
        <v>#REF!</v>
      </c>
      <c r="U26" s="255"/>
      <c r="V26" s="403"/>
    </row>
    <row r="27" spans="1:22" s="25" customFormat="1" ht="12.75" thickBot="1">
      <c r="A27" s="21"/>
      <c r="B27" s="30" t="s">
        <v>47</v>
      </c>
      <c r="C27" s="30"/>
      <c r="D27" s="30"/>
      <c r="E27" s="28">
        <v>25</v>
      </c>
      <c r="F27" s="165">
        <f>SKM!N27/1000</f>
        <v>0</v>
      </c>
      <c r="G27" s="151">
        <f>SUKB!N29/1000</f>
        <v>0</v>
      </c>
      <c r="H27" s="151">
        <f>UCT!N27/1000</f>
        <v>0</v>
      </c>
      <c r="I27" s="151">
        <f>SPSSN!N27/1000</f>
        <v>0</v>
      </c>
      <c r="J27" s="151">
        <f>IBA!N27/1000</f>
        <v>0</v>
      </c>
      <c r="K27" s="151"/>
      <c r="L27" s="151">
        <f>ÚVT!N27/1000</f>
        <v>0</v>
      </c>
      <c r="M27" s="151">
        <f>CJV!N27/1000</f>
        <v>0</v>
      </c>
      <c r="N27" s="151">
        <f>CZS!N27/1000</f>
        <v>0</v>
      </c>
      <c r="O27" s="186">
        <f>RMU!N27/1000</f>
        <v>0</v>
      </c>
      <c r="P27" s="490">
        <f t="shared" si="2"/>
        <v>0</v>
      </c>
      <c r="Q27" s="139"/>
      <c r="R27" s="96">
        <f>'ostatni plan'!R27</f>
        <v>72851</v>
      </c>
      <c r="S27" s="96">
        <f>'ostatni plan'!AA27</f>
        <v>83181.68289</v>
      </c>
      <c r="T27" s="96" t="e">
        <f>(SKM!P27+SUKB!P29+UCT!P27+SPSSN!P27+IBA!P27+#REF!+ÚVT!P27+CJV!P27+CZS!P27+RMU!P27)/1000</f>
        <v>#DIV/0!</v>
      </c>
      <c r="U27" s="255"/>
      <c r="V27" s="403"/>
    </row>
    <row r="28" spans="1:20" ht="13.5" thickBot="1">
      <c r="A28" s="37" t="s">
        <v>49</v>
      </c>
      <c r="B28" s="38"/>
      <c r="C28" s="38"/>
      <c r="D28" s="38"/>
      <c r="E28" s="19">
        <v>26</v>
      </c>
      <c r="F28" s="194">
        <f aca="true" t="shared" si="3" ref="F28:T28">SUM(F29:F45)</f>
        <v>0</v>
      </c>
      <c r="G28" s="194">
        <f t="shared" si="3"/>
        <v>0</v>
      </c>
      <c r="H28" s="194">
        <f t="shared" si="3"/>
        <v>0</v>
      </c>
      <c r="I28" s="194">
        <f t="shared" si="3"/>
        <v>0</v>
      </c>
      <c r="J28" s="194">
        <f t="shared" si="3"/>
        <v>0</v>
      </c>
      <c r="K28" s="194">
        <f t="shared" si="3"/>
        <v>0</v>
      </c>
      <c r="L28" s="194">
        <f t="shared" si="3"/>
        <v>0</v>
      </c>
      <c r="M28" s="194">
        <f t="shared" si="3"/>
        <v>0</v>
      </c>
      <c r="N28" s="194">
        <f t="shared" si="3"/>
        <v>0</v>
      </c>
      <c r="O28" s="194">
        <f t="shared" si="3"/>
        <v>0</v>
      </c>
      <c r="P28" s="172">
        <f t="shared" si="3"/>
        <v>0</v>
      </c>
      <c r="Q28" s="172">
        <f t="shared" si="3"/>
        <v>0</v>
      </c>
      <c r="R28" s="78">
        <f t="shared" si="3"/>
        <v>1392244</v>
      </c>
      <c r="S28" s="78">
        <f>'ostatni plan'!AA28</f>
        <v>1331910.62989</v>
      </c>
      <c r="T28" s="78" t="e">
        <f t="shared" si="3"/>
        <v>#REF!</v>
      </c>
    </row>
    <row r="29" spans="1:22" s="25" customFormat="1" ht="12">
      <c r="A29" s="21" t="s">
        <v>14</v>
      </c>
      <c r="B29" s="27" t="s">
        <v>50</v>
      </c>
      <c r="C29" s="27"/>
      <c r="D29" s="27"/>
      <c r="E29" s="168">
        <v>27</v>
      </c>
      <c r="F29" s="165">
        <f>SKM!N29/1000</f>
        <v>0</v>
      </c>
      <c r="G29" s="151">
        <f>SUKB!N31/1000</f>
        <v>0</v>
      </c>
      <c r="H29" s="151">
        <f>UCT!N29/1000</f>
        <v>0</v>
      </c>
      <c r="I29" s="151">
        <f>SPSSN!N29/1000</f>
        <v>0</v>
      </c>
      <c r="J29" s="151">
        <f>IBA!N29/1000</f>
        <v>0</v>
      </c>
      <c r="K29" s="151"/>
      <c r="L29" s="151">
        <f>ÚVT!N29/1000</f>
        <v>0</v>
      </c>
      <c r="M29" s="151">
        <f>CJV!N29/1000</f>
        <v>0</v>
      </c>
      <c r="N29" s="151">
        <f>CZS!N29/1000</f>
        <v>0</v>
      </c>
      <c r="O29" s="186">
        <f>RMU!N29/1000</f>
        <v>0</v>
      </c>
      <c r="P29" s="490">
        <f aca="true" t="shared" si="4" ref="P29:P45">SUM(F29:O29)</f>
        <v>0</v>
      </c>
      <c r="Q29" s="282"/>
      <c r="R29" s="96">
        <f>'ostatni plan'!R29</f>
        <v>359984</v>
      </c>
      <c r="S29" s="96">
        <f>'ostatni plan'!AA29</f>
        <v>461403</v>
      </c>
      <c r="T29" s="96" t="e">
        <f>(SKM!P29+SUKB!P31+UCT!P29+SPSSN!P29+IBA!P29+#REF!+ÚVT!P29+CJV!P29+CZS!P29+RMU!P29)/1000</f>
        <v>#REF!</v>
      </c>
      <c r="U29" s="255"/>
      <c r="V29" s="403"/>
    </row>
    <row r="30" spans="1:22" s="25" customFormat="1" ht="12">
      <c r="A30" s="21"/>
      <c r="B30" s="30" t="s">
        <v>28</v>
      </c>
      <c r="C30" s="30"/>
      <c r="D30" s="30"/>
      <c r="E30" s="168">
        <v>28</v>
      </c>
      <c r="F30" s="165">
        <f>SKM!N30/1000</f>
        <v>0</v>
      </c>
      <c r="G30" s="151">
        <f>SUKB!N32/1000</f>
        <v>0</v>
      </c>
      <c r="H30" s="151">
        <f>UCT!N30/1000</f>
        <v>0</v>
      </c>
      <c r="I30" s="151">
        <f>SPSSN!N30/1000</f>
        <v>0</v>
      </c>
      <c r="J30" s="151">
        <f>IBA!N30/1000</f>
        <v>0</v>
      </c>
      <c r="K30" s="151"/>
      <c r="L30" s="151">
        <f>ÚVT!N30/1000</f>
        <v>0</v>
      </c>
      <c r="M30" s="151">
        <f>CJV!N30/1000</f>
        <v>0</v>
      </c>
      <c r="N30" s="151">
        <f>CZS!N30/1000</f>
        <v>0</v>
      </c>
      <c r="O30" s="186">
        <f>RMU!N30/1000</f>
        <v>0</v>
      </c>
      <c r="P30" s="490">
        <f t="shared" si="4"/>
        <v>0</v>
      </c>
      <c r="Q30" s="290"/>
      <c r="R30" s="96">
        <f>'ostatni plan'!R30</f>
        <v>0</v>
      </c>
      <c r="S30" s="96">
        <f>'ostatni plan'!AA30</f>
        <v>0</v>
      </c>
      <c r="T30" s="96" t="e">
        <f>(SKM!P30+SUKB!P32+UCT!P30+SPSSN!P30+IBA!P30+#REF!+ÚVT!P30+CJV!P30+CZS!P30+RMU!P30)/1000</f>
        <v>#REF!</v>
      </c>
      <c r="U30" s="255"/>
      <c r="V30" s="403"/>
    </row>
    <row r="31" spans="1:22" s="25" customFormat="1" ht="12">
      <c r="A31" s="21"/>
      <c r="B31" s="30" t="s">
        <v>30</v>
      </c>
      <c r="C31" s="30"/>
      <c r="D31" s="30"/>
      <c r="E31" s="168">
        <v>29</v>
      </c>
      <c r="F31" s="165">
        <f>SKM!N31/1000</f>
        <v>0</v>
      </c>
      <c r="G31" s="151">
        <f>SUKB!N33/1000</f>
        <v>0</v>
      </c>
      <c r="H31" s="151">
        <f>UCT!N31/1000</f>
        <v>0</v>
      </c>
      <c r="I31" s="151">
        <f>SPSSN!N31/1000</f>
        <v>0</v>
      </c>
      <c r="J31" s="151">
        <f>IBA!N31/1000</f>
        <v>0</v>
      </c>
      <c r="K31" s="151"/>
      <c r="L31" s="151">
        <f>ÚVT!N31/1000</f>
        <v>0</v>
      </c>
      <c r="M31" s="151">
        <f>CJV!N31/1000</f>
        <v>0</v>
      </c>
      <c r="N31" s="151">
        <f>CZS!N31/1000</f>
        <v>0</v>
      </c>
      <c r="O31" s="186">
        <f>RMU!N31/1000</f>
        <v>0</v>
      </c>
      <c r="P31" s="490">
        <f t="shared" si="4"/>
        <v>0</v>
      </c>
      <c r="Q31" s="290"/>
      <c r="R31" s="96">
        <f>'ostatni plan'!R31</f>
        <v>37000</v>
      </c>
      <c r="S31" s="96">
        <f>'ostatni plan'!AA31</f>
        <v>38972.036</v>
      </c>
      <c r="T31" s="96" t="e">
        <f>(SKM!P31+SUKB!P33+UCT!P31+SPSSN!P31+IBA!P31+#REF!+ÚVT!P31+CJV!P31+CZS!P31+RMU!P31)/1000</f>
        <v>#REF!</v>
      </c>
      <c r="U31" s="255"/>
      <c r="V31" s="403"/>
    </row>
    <row r="32" spans="1:22" s="25" customFormat="1" ht="12">
      <c r="A32" s="21"/>
      <c r="B32" s="31" t="s">
        <v>32</v>
      </c>
      <c r="C32" s="32"/>
      <c r="D32" s="32"/>
      <c r="E32" s="169">
        <v>30</v>
      </c>
      <c r="F32" s="165">
        <f>SKM!N32/1000</f>
        <v>0</v>
      </c>
      <c r="G32" s="151">
        <f>SUKB!N34/1000</f>
        <v>0</v>
      </c>
      <c r="H32" s="151">
        <f>UCT!N32/1000</f>
        <v>0</v>
      </c>
      <c r="I32" s="151">
        <f>SPSSN!N32/1000</f>
        <v>0</v>
      </c>
      <c r="J32" s="151">
        <f>IBA!N32/1000</f>
        <v>0</v>
      </c>
      <c r="K32" s="151"/>
      <c r="L32" s="151">
        <f>ÚVT!N32/1000</f>
        <v>0</v>
      </c>
      <c r="M32" s="151">
        <f>CJV!N32/1000</f>
        <v>0</v>
      </c>
      <c r="N32" s="151">
        <f>CZS!N32/1000</f>
        <v>0</v>
      </c>
      <c r="O32" s="186">
        <f>RMU!N32/1000</f>
        <v>0</v>
      </c>
      <c r="P32" s="490">
        <f t="shared" si="4"/>
        <v>0</v>
      </c>
      <c r="Q32" s="290"/>
      <c r="R32" s="96">
        <f>'ostatni plan'!R32</f>
        <v>90954</v>
      </c>
      <c r="S32" s="96">
        <f>'ostatni plan'!AA32</f>
        <v>62950</v>
      </c>
      <c r="T32" s="96" t="e">
        <f>(SKM!P32+SUKB!P34+UCT!P32+SPSSN!P32+IBA!P32+#REF!+ÚVT!P32+CJV!P32+CZS!P32+RMU!P32)/1000</f>
        <v>#REF!</v>
      </c>
      <c r="U32" s="255"/>
      <c r="V32" s="401">
        <f>ostatni!Q32</f>
        <v>62950</v>
      </c>
    </row>
    <row r="33" spans="1:22" s="25" customFormat="1" ht="12">
      <c r="A33" s="21"/>
      <c r="B33" s="31" t="s">
        <v>34</v>
      </c>
      <c r="C33" s="31"/>
      <c r="D33" s="31"/>
      <c r="E33" s="169">
        <v>31</v>
      </c>
      <c r="F33" s="165">
        <f>SKM!N33/1000</f>
        <v>0</v>
      </c>
      <c r="G33" s="151">
        <f>SUKB!N35/1000</f>
        <v>0</v>
      </c>
      <c r="H33" s="151">
        <f>UCT!N33/1000</f>
        <v>0</v>
      </c>
      <c r="I33" s="151">
        <f>SPSSN!N33/1000</f>
        <v>0</v>
      </c>
      <c r="J33" s="151">
        <f>IBA!N33/1000</f>
        <v>0</v>
      </c>
      <c r="K33" s="151"/>
      <c r="L33" s="151">
        <f>ÚVT!N33/1000</f>
        <v>0</v>
      </c>
      <c r="M33" s="151">
        <f>CJV!N33/1000</f>
        <v>0</v>
      </c>
      <c r="N33" s="151">
        <f>CZS!N33/1000</f>
        <v>0</v>
      </c>
      <c r="O33" s="186">
        <f>RMU!N33/1000</f>
        <v>0</v>
      </c>
      <c r="P33" s="490">
        <f t="shared" si="4"/>
        <v>0</v>
      </c>
      <c r="Q33" s="290"/>
      <c r="R33" s="96">
        <f>'ostatni plan'!R33</f>
        <v>0</v>
      </c>
      <c r="S33" s="96">
        <f>'ostatni plan'!AA33</f>
        <v>485</v>
      </c>
      <c r="T33" s="96" t="e">
        <f>(SKM!P33+SUKB!P35+UCT!P33+SPSSN!P33+IBA!P33+#REF!+ÚVT!P33+CJV!P33+CZS!P33+RMU!P33)/1000</f>
        <v>#REF!</v>
      </c>
      <c r="U33" s="255"/>
      <c r="V33" s="403"/>
    </row>
    <row r="34" spans="1:22" s="25" customFormat="1" ht="12">
      <c r="A34" s="21"/>
      <c r="B34" s="31" t="s">
        <v>52</v>
      </c>
      <c r="C34" s="31"/>
      <c r="D34" s="31"/>
      <c r="E34" s="169">
        <v>32</v>
      </c>
      <c r="F34" s="165">
        <f>SKM!N34/1000</f>
        <v>0</v>
      </c>
      <c r="G34" s="151">
        <f>SUKB!N36/1000</f>
        <v>0</v>
      </c>
      <c r="H34" s="151">
        <f>UCT!N34/1000</f>
        <v>0</v>
      </c>
      <c r="I34" s="151">
        <f>SPSSN!N34/1000</f>
        <v>0</v>
      </c>
      <c r="J34" s="151">
        <f>IBA!N34/1000</f>
        <v>0</v>
      </c>
      <c r="K34" s="151"/>
      <c r="L34" s="151">
        <f>ÚVT!N34/1000</f>
        <v>0</v>
      </c>
      <c r="M34" s="151">
        <f>CJV!N34/1000</f>
        <v>0</v>
      </c>
      <c r="N34" s="151">
        <f>CZS!N34/1000</f>
        <v>0</v>
      </c>
      <c r="O34" s="186">
        <f>RMU!N34/1000</f>
        <v>0</v>
      </c>
      <c r="P34" s="490">
        <f t="shared" si="4"/>
        <v>0</v>
      </c>
      <c r="Q34" s="290"/>
      <c r="R34" s="96">
        <f>'ostatni plan'!R34</f>
        <v>140467</v>
      </c>
      <c r="S34" s="96">
        <f>'ostatni plan'!AA34</f>
        <v>152660.173</v>
      </c>
      <c r="T34" s="96" t="e">
        <f>(SKM!P34+SUKB!P36+UCT!P34+SPSSN!P34+IBA!P34+#REF!+ÚVT!P34+CJV!P34+CZS!P34+RMU!P34)/1000</f>
        <v>#REF!</v>
      </c>
      <c r="U34" s="255"/>
      <c r="V34" s="403"/>
    </row>
    <row r="35" spans="1:22" s="25" customFormat="1" ht="12">
      <c r="A35" s="21"/>
      <c r="B35" s="31" t="s">
        <v>36</v>
      </c>
      <c r="C35" s="31"/>
      <c r="D35" s="31"/>
      <c r="E35" s="169">
        <v>33</v>
      </c>
      <c r="F35" s="165">
        <f>SKM!N35/1000</f>
        <v>0</v>
      </c>
      <c r="G35" s="151">
        <f>SUKB!N37/1000</f>
        <v>0</v>
      </c>
      <c r="H35" s="151">
        <f>UCT!N35/1000</f>
        <v>0</v>
      </c>
      <c r="I35" s="151">
        <f>SPSSN!N35/1000</f>
        <v>0</v>
      </c>
      <c r="J35" s="151">
        <f>IBA!N35/1000</f>
        <v>0</v>
      </c>
      <c r="K35" s="151"/>
      <c r="L35" s="151">
        <f>ÚVT!N35/1000</f>
        <v>0</v>
      </c>
      <c r="M35" s="151">
        <f>CJV!N35/1000</f>
        <v>0</v>
      </c>
      <c r="N35" s="151">
        <f>CZS!N35/1000</f>
        <v>0</v>
      </c>
      <c r="O35" s="186">
        <f>RMU!N35/1000</f>
        <v>0</v>
      </c>
      <c r="P35" s="490">
        <f t="shared" si="4"/>
        <v>0</v>
      </c>
      <c r="Q35" s="290"/>
      <c r="R35" s="96">
        <f>'ostatni plan'!R35</f>
        <v>10080</v>
      </c>
      <c r="S35" s="96">
        <f>'ostatni plan'!AA35</f>
        <v>9689.25454</v>
      </c>
      <c r="T35" s="96" t="e">
        <f>(SKM!P35+SUKB!P37+UCT!P35+SPSSN!P35+IBA!P35+#REF!+ÚVT!P35+CJV!P35+CZS!P35+RMU!P35)/1000</f>
        <v>#REF!</v>
      </c>
      <c r="U35" s="255"/>
      <c r="V35" s="403"/>
    </row>
    <row r="36" spans="1:22" s="25" customFormat="1" ht="12">
      <c r="A36" s="21"/>
      <c r="B36" s="31" t="s">
        <v>38</v>
      </c>
      <c r="C36" s="31"/>
      <c r="D36" s="31"/>
      <c r="E36" s="169">
        <v>34</v>
      </c>
      <c r="F36" s="165">
        <f>SKM!N36/1000</f>
        <v>0</v>
      </c>
      <c r="G36" s="151">
        <f>SUKB!N38/1000</f>
        <v>0</v>
      </c>
      <c r="H36" s="151">
        <f>UCT!N36/1000</f>
        <v>0</v>
      </c>
      <c r="I36" s="151">
        <f>SPSSN!N36/1000</f>
        <v>0</v>
      </c>
      <c r="J36" s="151">
        <f>IBA!N36/1000</f>
        <v>0</v>
      </c>
      <c r="K36" s="151"/>
      <c r="L36" s="151">
        <f>ÚVT!N36/1000</f>
        <v>0</v>
      </c>
      <c r="M36" s="151">
        <f>CJV!N36/1000</f>
        <v>0</v>
      </c>
      <c r="N36" s="151">
        <f>CZS!N36/1000</f>
        <v>0</v>
      </c>
      <c r="O36" s="186">
        <f>RMU!N36/1000</f>
        <v>0</v>
      </c>
      <c r="P36" s="490">
        <f t="shared" si="4"/>
        <v>0</v>
      </c>
      <c r="Q36" s="290"/>
      <c r="R36" s="96">
        <f>'ostatni plan'!R36</f>
        <v>53249</v>
      </c>
      <c r="S36" s="96">
        <f>'ostatni plan'!AA36</f>
        <v>38361.738450000004</v>
      </c>
      <c r="T36" s="96" t="e">
        <f>(SKM!P36+SUKB!P38+UCT!P36+SPSSN!P36+IBA!P36+#REF!+ÚVT!P36+CJV!P36+CZS!P36+RMU!P36)/1000</f>
        <v>#REF!</v>
      </c>
      <c r="U36" s="255"/>
      <c r="V36" s="403"/>
    </row>
    <row r="37" spans="1:22" s="25" customFormat="1" ht="12">
      <c r="A37" s="21"/>
      <c r="B37" s="31" t="s">
        <v>54</v>
      </c>
      <c r="C37" s="31"/>
      <c r="D37" s="31"/>
      <c r="E37" s="169">
        <v>35</v>
      </c>
      <c r="F37" s="165">
        <f>SKM!N37/1000</f>
        <v>0</v>
      </c>
      <c r="G37" s="151">
        <f>SUKB!N39/1000</f>
        <v>0</v>
      </c>
      <c r="H37" s="151">
        <f>UCT!N37/1000</f>
        <v>0</v>
      </c>
      <c r="I37" s="151">
        <f>SPSSN!N37/1000</f>
        <v>0</v>
      </c>
      <c r="J37" s="151">
        <f>IBA!N37/1000</f>
        <v>0</v>
      </c>
      <c r="K37" s="151"/>
      <c r="L37" s="151">
        <f>ÚVT!N37/1000</f>
        <v>0</v>
      </c>
      <c r="M37" s="151">
        <f>CJV!N37/1000</f>
        <v>0</v>
      </c>
      <c r="N37" s="151">
        <f>CZS!N37/1000</f>
        <v>0</v>
      </c>
      <c r="O37" s="186">
        <f>RMU!N37/1000</f>
        <v>0</v>
      </c>
      <c r="P37" s="490">
        <f t="shared" si="4"/>
        <v>0</v>
      </c>
      <c r="Q37" s="290"/>
      <c r="R37" s="96">
        <f>'ostatni plan'!R37</f>
        <v>53660</v>
      </c>
      <c r="S37" s="96">
        <f>'ostatni plan'!AA37</f>
        <v>58525.174</v>
      </c>
      <c r="T37" s="96" t="e">
        <f>(SKM!P37+SUKB!P39+UCT!P37+SPSSN!P37+IBA!P37+#REF!+ÚVT!P37+CJV!P37+CZS!P37+RMU!P37)/1000</f>
        <v>#REF!</v>
      </c>
      <c r="U37" s="255"/>
      <c r="V37" s="403"/>
    </row>
    <row r="38" spans="1:22" s="25" customFormat="1" ht="12">
      <c r="A38" s="21"/>
      <c r="B38" s="31" t="s">
        <v>170</v>
      </c>
      <c r="C38" s="31"/>
      <c r="D38" s="31"/>
      <c r="E38" s="169">
        <v>36</v>
      </c>
      <c r="F38" s="165">
        <f>SKM!N38/1000</f>
        <v>0</v>
      </c>
      <c r="G38" s="151">
        <f>SUKB!N40/1000</f>
        <v>0</v>
      </c>
      <c r="H38" s="151">
        <f>UCT!N38/1000</f>
        <v>0</v>
      </c>
      <c r="I38" s="151">
        <f>SPSSN!N38/1000</f>
        <v>0</v>
      </c>
      <c r="J38" s="151">
        <f>IBA!N38/1000</f>
        <v>0</v>
      </c>
      <c r="K38" s="151"/>
      <c r="L38" s="151">
        <f>ÚVT!N38/1000</f>
        <v>0</v>
      </c>
      <c r="M38" s="151">
        <f>CJV!N38/1000</f>
        <v>0</v>
      </c>
      <c r="N38" s="151">
        <f>CZS!N38/1000</f>
        <v>0</v>
      </c>
      <c r="O38" s="186">
        <f>RMU!N38/1000</f>
        <v>0</v>
      </c>
      <c r="P38" s="490">
        <f t="shared" si="4"/>
        <v>0</v>
      </c>
      <c r="Q38" s="290"/>
      <c r="R38" s="96">
        <f>'ostatni plan'!R38</f>
        <v>512</v>
      </c>
      <c r="S38" s="96">
        <f>'ostatni plan'!AA38</f>
        <v>746</v>
      </c>
      <c r="T38" s="96" t="e">
        <f>(SKM!P38+SUKB!P40+UCT!P38+SPSSN!P38+IBA!P38+#REF!+ÚVT!P38+CJV!P38+CZS!P38+RMU!P38)/1000</f>
        <v>#REF!</v>
      </c>
      <c r="U38" s="255"/>
      <c r="V38" s="403"/>
    </row>
    <row r="39" spans="1:22" s="25" customFormat="1" ht="12">
      <c r="A39" s="21"/>
      <c r="B39" s="31" t="s">
        <v>56</v>
      </c>
      <c r="C39" s="31"/>
      <c r="D39" s="31"/>
      <c r="E39" s="169">
        <v>37</v>
      </c>
      <c r="F39" s="165">
        <f>SKM!N39/1000</f>
        <v>0</v>
      </c>
      <c r="G39" s="151">
        <f>SUKB!N41/1000</f>
        <v>0</v>
      </c>
      <c r="H39" s="151">
        <f>UCT!N39/1000</f>
        <v>0</v>
      </c>
      <c r="I39" s="151">
        <f>SPSSN!N39/1000</f>
        <v>0</v>
      </c>
      <c r="J39" s="151">
        <f>IBA!N39/1000</f>
        <v>0</v>
      </c>
      <c r="K39" s="151"/>
      <c r="L39" s="151">
        <f>ÚVT!N39/1000</f>
        <v>0</v>
      </c>
      <c r="M39" s="151">
        <f>CJV!N39/1000</f>
        <v>0</v>
      </c>
      <c r="N39" s="151">
        <f>CZS!N39/1000</f>
        <v>0</v>
      </c>
      <c r="O39" s="186">
        <f>RMU!N39/1000</f>
        <v>0</v>
      </c>
      <c r="P39" s="490">
        <f t="shared" si="4"/>
        <v>0</v>
      </c>
      <c r="Q39" s="290"/>
      <c r="R39" s="96">
        <f>'ostatni plan'!R39</f>
        <v>30315</v>
      </c>
      <c r="S39" s="96">
        <f>'ostatni plan'!AA39</f>
        <v>930.95</v>
      </c>
      <c r="T39" s="96" t="e">
        <f>(SKM!P39+SUKB!P41+UCT!P39+SPSSN!P39+IBA!P39+#REF!+ÚVT!P39+CJV!P39+CZS!P39+RMU!P39)/1000</f>
        <v>#REF!</v>
      </c>
      <c r="U39" s="255"/>
      <c r="V39" s="403"/>
    </row>
    <row r="40" spans="1:22" s="25" customFormat="1" ht="12">
      <c r="A40" s="21"/>
      <c r="B40" s="31" t="s">
        <v>57</v>
      </c>
      <c r="C40" s="31"/>
      <c r="D40" s="31"/>
      <c r="E40" s="169">
        <v>38</v>
      </c>
      <c r="F40" s="165">
        <f>SKM!N40/1000</f>
        <v>0</v>
      </c>
      <c r="G40" s="151">
        <f>SUKB!N42/1000</f>
        <v>0</v>
      </c>
      <c r="H40" s="151">
        <f>UCT!N40/1000</f>
        <v>0</v>
      </c>
      <c r="I40" s="151">
        <f>SPSSN!N40/1000</f>
        <v>0</v>
      </c>
      <c r="J40" s="151">
        <f>IBA!N40/1000</f>
        <v>0</v>
      </c>
      <c r="K40" s="151"/>
      <c r="L40" s="151">
        <f>ÚVT!N40/1000</f>
        <v>0</v>
      </c>
      <c r="M40" s="151">
        <f>CJV!N40/1000</f>
        <v>0</v>
      </c>
      <c r="N40" s="151">
        <f>CZS!N40/1000</f>
        <v>0</v>
      </c>
      <c r="O40" s="186">
        <f>RMU!N40/1000</f>
        <v>0</v>
      </c>
      <c r="P40" s="490">
        <f t="shared" si="4"/>
        <v>0</v>
      </c>
      <c r="Q40" s="290"/>
      <c r="R40" s="96">
        <f>'ostatni plan'!R40</f>
        <v>42636</v>
      </c>
      <c r="S40" s="96">
        <f>'ostatni plan'!AA40</f>
        <v>6253</v>
      </c>
      <c r="T40" s="96" t="e">
        <f>(SKM!P40+SUKB!P42+UCT!P40+SPSSN!P40+IBA!P40+#REF!+ÚVT!P40+CJV!P40+CZS!P40+RMU!P40)/1000</f>
        <v>#REF!</v>
      </c>
      <c r="U40" s="255"/>
      <c r="V40" s="403"/>
    </row>
    <row r="41" spans="1:22" s="25" customFormat="1" ht="12">
      <c r="A41" s="21"/>
      <c r="B41" s="31" t="s">
        <v>186</v>
      </c>
      <c r="C41" s="31"/>
      <c r="D41" s="31"/>
      <c r="E41" s="169">
        <v>39</v>
      </c>
      <c r="F41" s="165">
        <f>SKM!N41/1000</f>
        <v>0</v>
      </c>
      <c r="G41" s="151">
        <f>SUKB!N43/1000</f>
        <v>0</v>
      </c>
      <c r="H41" s="151">
        <f>UCT!N41/1000</f>
        <v>0</v>
      </c>
      <c r="I41" s="151">
        <f>SPSSN!N41/1000</f>
        <v>0</v>
      </c>
      <c r="J41" s="151">
        <f>IBA!N41/1000</f>
        <v>0</v>
      </c>
      <c r="K41" s="151"/>
      <c r="L41" s="151">
        <f>ÚVT!N41/1000</f>
        <v>0</v>
      </c>
      <c r="M41" s="151">
        <f>CJV!N41/1000</f>
        <v>0</v>
      </c>
      <c r="N41" s="151">
        <f>CZS!N41/1000</f>
        <v>0</v>
      </c>
      <c r="O41" s="186">
        <f>RMU!N41/1000</f>
        <v>0</v>
      </c>
      <c r="P41" s="490">
        <f t="shared" si="4"/>
        <v>0</v>
      </c>
      <c r="Q41" s="290"/>
      <c r="R41" s="96">
        <f>'ostatni plan'!R41</f>
        <v>94889</v>
      </c>
      <c r="S41" s="96">
        <f>'ostatni plan'!AA41</f>
        <v>16705</v>
      </c>
      <c r="T41" s="96" t="e">
        <f>(SKM!P41+SUKB!P43+UCT!P41+SPSSN!P41+IBA!P41+#REF!+ÚVT!P41+CJV!P41+CZS!P41+RMU!P41)/1000</f>
        <v>#DIV/0!</v>
      </c>
      <c r="U41" s="255"/>
      <c r="V41" s="403"/>
    </row>
    <row r="42" spans="1:22" s="25" customFormat="1" ht="12">
      <c r="A42" s="21"/>
      <c r="B42" s="31" t="s">
        <v>58</v>
      </c>
      <c r="C42" s="31"/>
      <c r="D42" s="31"/>
      <c r="E42" s="169">
        <v>40</v>
      </c>
      <c r="F42" s="165">
        <f>SKM!N42/1000</f>
        <v>0</v>
      </c>
      <c r="G42" s="151">
        <f>SUKB!N44/1000</f>
        <v>0</v>
      </c>
      <c r="H42" s="151">
        <f>UCT!N42/1000</f>
        <v>0</v>
      </c>
      <c r="I42" s="151">
        <f>SPSSN!N42/1000</f>
        <v>0</v>
      </c>
      <c r="J42" s="151">
        <f>IBA!N42/1000</f>
        <v>0</v>
      </c>
      <c r="K42" s="151"/>
      <c r="L42" s="151">
        <f>ÚVT!N42/1000</f>
        <v>0</v>
      </c>
      <c r="M42" s="151">
        <f>CJV!N42/1000</f>
        <v>0</v>
      </c>
      <c r="N42" s="151">
        <f>CZS!N42/1000</f>
        <v>0</v>
      </c>
      <c r="O42" s="186">
        <f>RMU!N42/1000</f>
        <v>0</v>
      </c>
      <c r="P42" s="490">
        <f t="shared" si="4"/>
        <v>0</v>
      </c>
      <c r="Q42" s="290"/>
      <c r="R42" s="96">
        <f>'ostatni plan'!R42</f>
        <v>5553</v>
      </c>
      <c r="S42" s="96">
        <f>'ostatni plan'!AA42</f>
        <v>3033</v>
      </c>
      <c r="T42" s="96" t="e">
        <f>(SKM!P42+SUKB!P44+UCT!P42+SPSSN!P42+IBA!P42+#REF!+ÚVT!P42+CJV!P42+CZS!P42+RMU!P42)/1000</f>
        <v>#REF!</v>
      </c>
      <c r="U42" s="255"/>
      <c r="V42" s="403"/>
    </row>
    <row r="43" spans="1:22" s="25" customFormat="1" ht="12">
      <c r="A43" s="21"/>
      <c r="B43" s="31" t="s">
        <v>59</v>
      </c>
      <c r="C43" s="31"/>
      <c r="D43" s="31"/>
      <c r="E43" s="169">
        <v>41</v>
      </c>
      <c r="F43" s="165">
        <f>SKM!N43/1000</f>
        <v>0</v>
      </c>
      <c r="G43" s="151">
        <f>SUKB!N45/1000</f>
        <v>0</v>
      </c>
      <c r="H43" s="151">
        <f>UCT!N43/1000</f>
        <v>0</v>
      </c>
      <c r="I43" s="151">
        <f>SPSSN!N43/1000</f>
        <v>0</v>
      </c>
      <c r="J43" s="151">
        <f>IBA!N43/1000</f>
        <v>0</v>
      </c>
      <c r="K43" s="151"/>
      <c r="L43" s="151">
        <f>ÚVT!N43/1000</f>
        <v>0</v>
      </c>
      <c r="M43" s="151">
        <f>CJV!N43/1000</f>
        <v>0</v>
      </c>
      <c r="N43" s="151">
        <f>CZS!N43/1000</f>
        <v>0</v>
      </c>
      <c r="O43" s="186">
        <f>RMU!N43/1000</f>
        <v>0</v>
      </c>
      <c r="P43" s="490">
        <f t="shared" si="4"/>
        <v>0</v>
      </c>
      <c r="Q43" s="290"/>
      <c r="R43" s="96">
        <f>'ostatni plan'!R43</f>
        <v>336995</v>
      </c>
      <c r="S43" s="96">
        <f>'ostatni plan'!AA43</f>
        <v>362311.28283000004</v>
      </c>
      <c r="T43" s="96" t="e">
        <f>(SKM!P43+SUKB!P45+UCT!P43+SPSSN!P43+IBA!P43+#REF!+ÚVT!P43+CJV!P43+CZS!P43+RMU!P43)/1000</f>
        <v>#DIV/0!</v>
      </c>
      <c r="U43" s="255"/>
      <c r="V43" s="403"/>
    </row>
    <row r="44" spans="1:22" s="25" customFormat="1" ht="12">
      <c r="A44" s="21"/>
      <c r="B44" s="31" t="s">
        <v>60</v>
      </c>
      <c r="C44" s="31"/>
      <c r="D44" s="31"/>
      <c r="E44" s="169">
        <v>42</v>
      </c>
      <c r="F44" s="165">
        <f>SKM!N44/1000</f>
        <v>0</v>
      </c>
      <c r="G44" s="151">
        <f>SUKB!N46/1000</f>
        <v>0</v>
      </c>
      <c r="H44" s="151">
        <f>UCT!N44/1000</f>
        <v>0</v>
      </c>
      <c r="I44" s="151">
        <f>SPSSN!N44/1000</f>
        <v>0</v>
      </c>
      <c r="J44" s="151">
        <f>IBA!N44/1000</f>
        <v>0</v>
      </c>
      <c r="K44" s="151"/>
      <c r="L44" s="151">
        <f>ÚVT!N44/1000</f>
        <v>0</v>
      </c>
      <c r="M44" s="151">
        <f>CJV!N44/1000</f>
        <v>0</v>
      </c>
      <c r="N44" s="151">
        <f>CZS!N44/1000</f>
        <v>0</v>
      </c>
      <c r="O44" s="186">
        <f>RMU!N44/1000</f>
        <v>0</v>
      </c>
      <c r="P44" s="490">
        <f t="shared" si="4"/>
        <v>0</v>
      </c>
      <c r="Q44" s="290"/>
      <c r="R44" s="96">
        <f>'ostatni plan'!R44</f>
        <v>50965</v>
      </c>
      <c r="S44" s="96">
        <f>'ostatni plan'!AA44</f>
        <v>19926.89611</v>
      </c>
      <c r="T44" s="96" t="e">
        <f>(SKM!P44+SUKB!P46+UCT!P44+SPSSN!P44+IBA!P44+#REF!+ÚVT!P44+CJV!P44+CZS!P44+RMU!P44)/1000</f>
        <v>#REF!</v>
      </c>
      <c r="U44" s="255"/>
      <c r="V44" s="403"/>
    </row>
    <row r="45" spans="1:22" s="25" customFormat="1" ht="12">
      <c r="A45" s="40"/>
      <c r="B45" s="41" t="s">
        <v>47</v>
      </c>
      <c r="C45" s="41"/>
      <c r="D45" s="41"/>
      <c r="E45" s="170">
        <v>43</v>
      </c>
      <c r="F45" s="166">
        <f>SKM!N45/1000</f>
        <v>0</v>
      </c>
      <c r="G45" s="195">
        <f>SUKB!N47/1000</f>
        <v>0</v>
      </c>
      <c r="H45" s="195">
        <f>UCT!N45/1000</f>
        <v>0</v>
      </c>
      <c r="I45" s="195">
        <f>SPSSN!N45/1000</f>
        <v>0</v>
      </c>
      <c r="J45" s="195">
        <f>IBA!N45/1000</f>
        <v>0</v>
      </c>
      <c r="K45" s="195"/>
      <c r="L45" s="195">
        <f>ÚVT!N45/1000</f>
        <v>0</v>
      </c>
      <c r="M45" s="195">
        <f>CJV!N45/1000</f>
        <v>0</v>
      </c>
      <c r="N45" s="195">
        <f>CZS!N45/1000</f>
        <v>0</v>
      </c>
      <c r="O45" s="167">
        <f>RMU!N45/1000</f>
        <v>0</v>
      </c>
      <c r="P45" s="491">
        <f t="shared" si="4"/>
        <v>0</v>
      </c>
      <c r="Q45" s="293"/>
      <c r="R45" s="100">
        <f>'ostatni plan'!R45</f>
        <v>84985</v>
      </c>
      <c r="S45" s="100">
        <f>'ostatni plan'!AA45</f>
        <v>98958.12496</v>
      </c>
      <c r="T45" s="100" t="e">
        <f>(SKM!P45+SUKB!P47+UCT!P45+SPSSN!P45+IBA!P45+#REF!+ÚVT!P45+CJV!P45+CZS!P45+RMU!P45)/1000</f>
        <v>#DIV/0!</v>
      </c>
      <c r="U45" s="255"/>
      <c r="V45" s="403"/>
    </row>
    <row r="46" spans="1:22" s="25" customFormat="1" ht="12.75" thickBot="1">
      <c r="A46" s="44" t="s">
        <v>61</v>
      </c>
      <c r="B46" s="45"/>
      <c r="C46" s="45"/>
      <c r="D46" s="45"/>
      <c r="E46" s="168">
        <v>44</v>
      </c>
      <c r="F46" s="180">
        <f>F29+F34+F38+F43+F44+F45-F4-F27</f>
        <v>0</v>
      </c>
      <c r="G46" s="196">
        <f>G29+G34+G38+G43+G44+G45-G4-G27</f>
        <v>0</v>
      </c>
      <c r="H46" s="196">
        <f>H29+H34+H38+H43+H44+H45-H4-H27</f>
        <v>0</v>
      </c>
      <c r="I46" s="196">
        <f>I29+I34+I38+I43+I44+I45-I4-I27</f>
        <v>0</v>
      </c>
      <c r="J46" s="196">
        <f>J29+J34+J38+J43+J44+J45-J4-J27</f>
        <v>0</v>
      </c>
      <c r="K46" s="196"/>
      <c r="L46" s="196">
        <f>L29+L34+L38+L43+L44+L45-L4-L27</f>
        <v>0</v>
      </c>
      <c r="M46" s="196">
        <f>M29+M34+M38+M43+M44+M45-M4-M27</f>
        <v>0</v>
      </c>
      <c r="N46" s="196">
        <f>N29+N34+N38+N43+N44+N45-N4-N27</f>
        <v>0</v>
      </c>
      <c r="O46" s="188">
        <f>O29+O34+O38+O43+O44+O45-O4-O27</f>
        <v>0</v>
      </c>
      <c r="P46" s="492">
        <f>P29+P34+P38+P43+P44+P45-P4-P27</f>
        <v>0</v>
      </c>
      <c r="Q46" s="102">
        <f>Q29+Q34+Q38+Q43+Q44+Q45+-Q4-Q27</f>
        <v>0</v>
      </c>
      <c r="R46" s="100">
        <f>'ostatni plan'!R46</f>
        <v>14786</v>
      </c>
      <c r="S46" s="100">
        <f>'ostatni plan'!AA46</f>
        <v>22084.65306000003</v>
      </c>
      <c r="T46" s="87" t="e">
        <f>(SKM!P46+SUKB!P48+UCT!P46+SPSSN!P46+IBA!P46+#REF!+ÚVT!P46+CJV!P46+CZS!P46+RMU!P46)/1000</f>
        <v>#DIV/0!</v>
      </c>
      <c r="U46" s="255"/>
      <c r="V46" s="403"/>
    </row>
    <row r="47" spans="1:20" ht="13.5" thickBot="1">
      <c r="A47" s="37" t="s">
        <v>62</v>
      </c>
      <c r="B47" s="38"/>
      <c r="C47" s="38"/>
      <c r="D47" s="38"/>
      <c r="E47" s="171">
        <v>45</v>
      </c>
      <c r="F47" s="179">
        <f aca="true" t="shared" si="5" ref="F47:T47">F28-F3</f>
        <v>0</v>
      </c>
      <c r="G47" s="194">
        <f t="shared" si="5"/>
        <v>0</v>
      </c>
      <c r="H47" s="194">
        <f t="shared" si="5"/>
        <v>0</v>
      </c>
      <c r="I47" s="194">
        <f t="shared" si="5"/>
        <v>0</v>
      </c>
      <c r="J47" s="194">
        <f t="shared" si="5"/>
        <v>0</v>
      </c>
      <c r="K47" s="194">
        <f t="shared" si="5"/>
        <v>0</v>
      </c>
      <c r="L47" s="194">
        <f t="shared" si="5"/>
        <v>0</v>
      </c>
      <c r="M47" s="194">
        <f t="shared" si="5"/>
        <v>0</v>
      </c>
      <c r="N47" s="194">
        <f t="shared" si="5"/>
        <v>0</v>
      </c>
      <c r="O47" s="187">
        <f t="shared" si="5"/>
        <v>0</v>
      </c>
      <c r="P47" s="172">
        <f t="shared" si="5"/>
        <v>0</v>
      </c>
      <c r="Q47" s="75">
        <f t="shared" si="5"/>
        <v>0</v>
      </c>
      <c r="R47" s="78">
        <f t="shared" si="5"/>
        <v>14743</v>
      </c>
      <c r="S47" s="78">
        <f t="shared" si="5"/>
        <v>22134.653059999924</v>
      </c>
      <c r="T47" s="78" t="e">
        <f t="shared" si="5"/>
        <v>#REF!</v>
      </c>
    </row>
    <row r="48" spans="1:5" ht="9" customHeight="1">
      <c r="A48" s="47"/>
      <c r="B48" s="47"/>
      <c r="C48" s="47"/>
      <c r="D48" s="47"/>
      <c r="E48" s="48"/>
    </row>
    <row r="49" spans="1:19" ht="11.25" customHeight="1">
      <c r="A49" s="47"/>
      <c r="B49" s="47"/>
      <c r="C49" s="47"/>
      <c r="D49" s="47"/>
      <c r="E49" s="48"/>
      <c r="O49" s="240" t="s">
        <v>161</v>
      </c>
      <c r="P49" s="521">
        <f>ostatni!N49/1000</f>
        <v>0</v>
      </c>
      <c r="S49" s="239">
        <f>ostatni!Q49/1000</f>
        <v>0</v>
      </c>
    </row>
    <row r="50" spans="1:5" ht="9" customHeight="1">
      <c r="A50" s="47"/>
      <c r="B50" s="47"/>
      <c r="C50" s="47"/>
      <c r="D50" s="47"/>
      <c r="E50" s="48"/>
    </row>
    <row r="51" spans="1:22" s="47" customFormat="1" ht="11.25">
      <c r="A51" s="1054" t="s">
        <v>90</v>
      </c>
      <c r="B51" s="1055"/>
      <c r="C51" s="1055"/>
      <c r="D51" s="1055"/>
      <c r="E51" s="1055"/>
      <c r="F51" s="59">
        <f>SKM!I50/1000</f>
        <v>0</v>
      </c>
      <c r="G51" s="59">
        <f>SUKB!I52/1000</f>
        <v>0</v>
      </c>
      <c r="H51" s="59">
        <f>UCT!I50/1000</f>
        <v>0</v>
      </c>
      <c r="I51" s="59">
        <f>SPSSN!I50/1000</f>
        <v>0</v>
      </c>
      <c r="J51" s="59">
        <f>IBA!I50/1000</f>
        <v>0</v>
      </c>
      <c r="K51" s="59"/>
      <c r="L51" s="59">
        <f>ÚVT!I50/1000</f>
        <v>0</v>
      </c>
      <c r="M51" s="59">
        <f>CJV!I50/1000</f>
        <v>0</v>
      </c>
      <c r="N51" s="59">
        <f>CZS!I50</f>
        <v>0</v>
      </c>
      <c r="O51" s="59">
        <f>RMU!I50/1000</f>
        <v>0</v>
      </c>
      <c r="P51" s="495">
        <f>ostatni!I50/1000</f>
        <v>0</v>
      </c>
      <c r="Q51" s="59"/>
      <c r="R51" s="233"/>
      <c r="S51" s="233"/>
      <c r="T51" s="405"/>
      <c r="U51" s="255"/>
      <c r="V51" s="405"/>
    </row>
    <row r="52" spans="1:22" s="47" customFormat="1" ht="11.25">
      <c r="A52" s="1055"/>
      <c r="B52" s="1055"/>
      <c r="C52" s="1055"/>
      <c r="D52" s="1055"/>
      <c r="E52" s="1055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493"/>
      <c r="R52" s="59"/>
      <c r="S52" s="59"/>
      <c r="T52" s="405"/>
      <c r="U52" s="255"/>
      <c r="V52" s="405"/>
    </row>
    <row r="53" spans="1:22" s="47" customFormat="1" ht="11.25" hidden="1">
      <c r="A53" s="51" t="s">
        <v>65</v>
      </c>
      <c r="B53" s="47" t="s">
        <v>191</v>
      </c>
      <c r="E53" s="48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493"/>
      <c r="R53" s="59"/>
      <c r="S53" s="59"/>
      <c r="T53" s="405"/>
      <c r="U53" s="255"/>
      <c r="V53" s="405"/>
    </row>
    <row r="54" spans="1:22" s="47" customFormat="1" ht="11.25" hidden="1">
      <c r="A54" s="51" t="s">
        <v>66</v>
      </c>
      <c r="E54" s="48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493"/>
      <c r="R54" s="59"/>
      <c r="S54" s="59"/>
      <c r="T54" s="405"/>
      <c r="U54" s="255"/>
      <c r="V54" s="405"/>
    </row>
    <row r="55" spans="1:22" s="51" customFormat="1" ht="11.25" hidden="1">
      <c r="A55" s="51" t="s">
        <v>68</v>
      </c>
      <c r="E55" s="53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496"/>
      <c r="R55" s="72"/>
      <c r="S55" s="72"/>
      <c r="T55" s="405"/>
      <c r="U55" s="255"/>
      <c r="V55" s="405"/>
    </row>
    <row r="56" spans="1:22" s="51" customFormat="1" ht="11.25" hidden="1">
      <c r="A56" s="51" t="s">
        <v>69</v>
      </c>
      <c r="E56" s="53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496"/>
      <c r="R56" s="72"/>
      <c r="S56" s="72"/>
      <c r="T56" s="405"/>
      <c r="U56" s="255"/>
      <c r="V56" s="405"/>
    </row>
    <row r="57" spans="1:22" s="51" customFormat="1" ht="11.25" hidden="1">
      <c r="A57" s="51" t="s">
        <v>70</v>
      </c>
      <c r="E57" s="53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496"/>
      <c r="R57" s="72"/>
      <c r="S57" s="72"/>
      <c r="T57" s="405"/>
      <c r="U57" s="255"/>
      <c r="V57" s="405"/>
    </row>
    <row r="58" spans="1:22" s="47" customFormat="1" ht="11.25">
      <c r="A58" s="51"/>
      <c r="B58" s="51"/>
      <c r="C58" s="51"/>
      <c r="D58" s="51"/>
      <c r="E58" s="48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493"/>
      <c r="R58" s="59"/>
      <c r="S58" s="59"/>
      <c r="T58" s="405"/>
      <c r="U58" s="255"/>
      <c r="V58" s="405"/>
    </row>
    <row r="59" spans="1:22" s="59" customFormat="1" ht="12" thickBot="1">
      <c r="A59" s="51"/>
      <c r="B59" s="51"/>
      <c r="C59" s="51"/>
      <c r="D59" s="51"/>
      <c r="E59" s="57"/>
      <c r="P59" s="493"/>
      <c r="R59" s="255"/>
      <c r="S59" s="255"/>
      <c r="T59" s="255"/>
      <c r="U59" s="255"/>
      <c r="V59" s="255"/>
    </row>
    <row r="60" spans="1:22" s="59" customFormat="1" ht="12.75">
      <c r="A60" s="747" t="s">
        <v>191</v>
      </c>
      <c r="B60" s="748"/>
      <c r="C60" s="749"/>
      <c r="D60" s="750"/>
      <c r="E60" s="60"/>
      <c r="F60" s="752">
        <f>SKM!N60/1000</f>
        <v>0</v>
      </c>
      <c r="G60" s="753">
        <f>SUKB!N62/1000</f>
        <v>0</v>
      </c>
      <c r="H60" s="753">
        <f>UCT!N53/1000</f>
        <v>0</v>
      </c>
      <c r="I60" s="753">
        <f>SPSSN!N60/1000</f>
        <v>0</v>
      </c>
      <c r="J60" s="753">
        <f>IBA!N58/1000</f>
        <v>0</v>
      </c>
      <c r="K60" s="753"/>
      <c r="L60" s="753">
        <f>ÚVT!N53/1000</f>
        <v>0</v>
      </c>
      <c r="M60" s="753">
        <f>CJV!N59/1000</f>
        <v>0</v>
      </c>
      <c r="N60" s="753">
        <f>CZS!N59/1000</f>
        <v>0</v>
      </c>
      <c r="O60" s="753">
        <f>RMU!N60/1000</f>
        <v>0</v>
      </c>
      <c r="P60" s="758">
        <f>SUM(F60:O60)</f>
        <v>0</v>
      </c>
      <c r="Q60" s="755"/>
      <c r="R60" s="255"/>
      <c r="S60" s="255"/>
      <c r="T60" s="255"/>
      <c r="U60" s="255"/>
      <c r="V60" s="255"/>
    </row>
    <row r="61" spans="1:22" s="59" customFormat="1" ht="12.75">
      <c r="A61" s="751" t="s">
        <v>192</v>
      </c>
      <c r="B61" s="748"/>
      <c r="C61" s="749"/>
      <c r="D61" s="750"/>
      <c r="E61" s="60"/>
      <c r="F61" s="754">
        <f>SKM!N61/1000</f>
        <v>0</v>
      </c>
      <c r="G61" s="537">
        <f>SUKB!N63/1000</f>
        <v>0</v>
      </c>
      <c r="H61" s="537">
        <f>UCT!N54/1000</f>
        <v>0</v>
      </c>
      <c r="I61" s="537">
        <f>SPSSN!N61/1000</f>
        <v>0</v>
      </c>
      <c r="J61" s="537">
        <f>IBA!N59/1000</f>
        <v>0</v>
      </c>
      <c r="K61" s="537"/>
      <c r="L61" s="537">
        <f>ÚVT!N54/1000</f>
        <v>0</v>
      </c>
      <c r="M61" s="537">
        <f>CJV!N60/1000</f>
        <v>0</v>
      </c>
      <c r="N61" s="537">
        <f>CZS!N60/1000</f>
        <v>0</v>
      </c>
      <c r="O61" s="537">
        <f>RMU!N61/1000</f>
        <v>0</v>
      </c>
      <c r="P61" s="759">
        <f>SUM(F61:O61)</f>
        <v>0</v>
      </c>
      <c r="Q61" s="756"/>
      <c r="R61" s="255"/>
      <c r="S61" s="255"/>
      <c r="T61" s="255"/>
      <c r="U61" s="255"/>
      <c r="V61" s="255"/>
    </row>
    <row r="62" spans="1:22" ht="12.75">
      <c r="A62" s="751" t="s">
        <v>193</v>
      </c>
      <c r="B62" s="749"/>
      <c r="C62" s="749"/>
      <c r="D62" s="750"/>
      <c r="F62" s="754">
        <f>SKM!N62/1000</f>
        <v>0</v>
      </c>
      <c r="G62" s="537">
        <f>SUKB!N64/1000</f>
        <v>0</v>
      </c>
      <c r="H62" s="537">
        <f>UCT!N55/1000</f>
        <v>0</v>
      </c>
      <c r="I62" s="537">
        <f>SPSSN!N62/1000</f>
        <v>0</v>
      </c>
      <c r="J62" s="537">
        <f>IBA!N60/1000</f>
        <v>0</v>
      </c>
      <c r="K62" s="537"/>
      <c r="L62" s="537">
        <f>ÚVT!N55/1000</f>
        <v>0</v>
      </c>
      <c r="M62" s="537">
        <f>CJV!N61/1000</f>
        <v>0</v>
      </c>
      <c r="N62" s="537">
        <f>CZS!N61/1000</f>
        <v>0</v>
      </c>
      <c r="O62" s="537">
        <f>RMU!N62/1000</f>
        <v>0</v>
      </c>
      <c r="P62" s="759">
        <f>SUM(F62:O62)</f>
        <v>0</v>
      </c>
      <c r="Q62" s="756"/>
      <c r="R62" s="255"/>
      <c r="S62" s="255"/>
      <c r="T62" s="255"/>
      <c r="V62" s="255"/>
    </row>
    <row r="63" spans="1:22" ht="12.75">
      <c r="A63" s="751" t="s">
        <v>196</v>
      </c>
      <c r="B63" s="749"/>
      <c r="C63" s="749"/>
      <c r="D63" s="750"/>
      <c r="F63" s="754">
        <f>SKM!N63/1000</f>
        <v>0</v>
      </c>
      <c r="G63" s="537">
        <f>SUKB!N65/1000</f>
        <v>0</v>
      </c>
      <c r="H63" s="537">
        <f>UCT!N56/1000</f>
        <v>0</v>
      </c>
      <c r="I63" s="537">
        <f>SPSSN!N63/1000</f>
        <v>0</v>
      </c>
      <c r="J63" s="537">
        <f>IBA!N61/1000</f>
        <v>0</v>
      </c>
      <c r="K63" s="537"/>
      <c r="L63" s="537">
        <f>ÚVT!N56/1000</f>
        <v>0</v>
      </c>
      <c r="M63" s="537">
        <f>CJV!N62/1000</f>
        <v>0</v>
      </c>
      <c r="N63" s="537">
        <f>CZS!N62/1000</f>
        <v>0</v>
      </c>
      <c r="O63" s="537">
        <f>RMU!N63/1000</f>
        <v>0</v>
      </c>
      <c r="P63" s="759">
        <f>SUM(F63:O63)</f>
        <v>0</v>
      </c>
      <c r="Q63" s="756"/>
      <c r="R63" s="255"/>
      <c r="S63" s="255"/>
      <c r="T63" s="255"/>
      <c r="V63" s="255"/>
    </row>
    <row r="64" spans="1:22" ht="13.5" thickBot="1">
      <c r="A64" s="760" t="s">
        <v>195</v>
      </c>
      <c r="B64" s="761"/>
      <c r="C64" s="761"/>
      <c r="D64" s="762"/>
      <c r="F64" s="763">
        <f>SKM!N64/1000</f>
        <v>0</v>
      </c>
      <c r="G64" s="764">
        <f>SUKB!N66/1000</f>
        <v>0</v>
      </c>
      <c r="H64" s="764">
        <f>UCT!N57/1000</f>
        <v>0</v>
      </c>
      <c r="I64" s="764">
        <f>SPSSN!N64/1000</f>
        <v>0</v>
      </c>
      <c r="J64" s="764">
        <f>IBA!N62/1000</f>
        <v>0</v>
      </c>
      <c r="K64" s="764"/>
      <c r="L64" s="764">
        <f>ÚVT!N57/1000</f>
        <v>0</v>
      </c>
      <c r="M64" s="764">
        <f>CJV!N63/1000</f>
        <v>0</v>
      </c>
      <c r="N64" s="764">
        <f>CZS!N63/1000</f>
        <v>0</v>
      </c>
      <c r="O64" s="764">
        <f>RMU!N64/1000</f>
        <v>0</v>
      </c>
      <c r="P64" s="765">
        <f>SUM(F64:O64)</f>
        <v>0</v>
      </c>
      <c r="Q64" s="757"/>
      <c r="R64" s="255"/>
      <c r="S64" s="255"/>
      <c r="T64" s="255"/>
      <c r="V64" s="255"/>
    </row>
    <row r="65" spans="1:22" ht="12.75">
      <c r="A65" s="47" t="s">
        <v>198</v>
      </c>
      <c r="F65" s="239">
        <f>F47-F64</f>
        <v>0</v>
      </c>
      <c r="G65" s="239">
        <f aca="true" t="shared" si="6" ref="G65:P65">G47-G64</f>
        <v>0</v>
      </c>
      <c r="H65" s="239">
        <f t="shared" si="6"/>
        <v>0</v>
      </c>
      <c r="I65" s="239">
        <f t="shared" si="6"/>
        <v>0</v>
      </c>
      <c r="J65" s="239">
        <f t="shared" si="6"/>
        <v>0</v>
      </c>
      <c r="K65" s="239">
        <f t="shared" si="6"/>
        <v>0</v>
      </c>
      <c r="L65" s="239">
        <f t="shared" si="6"/>
        <v>0</v>
      </c>
      <c r="M65" s="239">
        <f t="shared" si="6"/>
        <v>0</v>
      </c>
      <c r="N65" s="239">
        <f t="shared" si="6"/>
        <v>0</v>
      </c>
      <c r="O65" s="239">
        <f t="shared" si="6"/>
        <v>0</v>
      </c>
      <c r="P65" s="239">
        <f t="shared" si="6"/>
        <v>0</v>
      </c>
      <c r="R65" s="255"/>
      <c r="S65" s="255"/>
      <c r="T65" s="255"/>
      <c r="V65" s="255"/>
    </row>
  </sheetData>
  <mergeCells count="4">
    <mergeCell ref="A1:D1"/>
    <mergeCell ref="C2:D2"/>
    <mergeCell ref="A51:E52"/>
    <mergeCell ref="U1:U2"/>
  </mergeCells>
  <conditionalFormatting sqref="F46:O47">
    <cfRule type="cellIs" priority="1" dxfId="0" operator="lessThan" stopIfTrue="1">
      <formula>0</formula>
    </cfRule>
  </conditionalFormatting>
  <printOptions horizontalCentered="1" verticalCentered="1"/>
  <pageMargins left="0.31496062992125984" right="0.2755905511811024" top="0.69" bottom="0.25" header="0.1968503937007874" footer="0.16"/>
  <pageSetup fitToHeight="1" fitToWidth="1" horizontalDpi="600" verticalDpi="600" orientation="landscape" paperSize="9" scale="7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34"/>
  </sheetPr>
  <dimension ref="A1:P49"/>
  <sheetViews>
    <sheetView workbookViewId="0" topLeftCell="A1">
      <pane ySplit="3" topLeftCell="BM40" activePane="bottomLeft" state="frozen"/>
      <selection pane="topLeft" activeCell="J50" sqref="J50"/>
      <selection pane="bottomLeft" activeCell="J50" sqref="J50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60" bestFit="1" customWidth="1"/>
    <col min="6" max="6" width="11.375" style="25" customWidth="1"/>
    <col min="7" max="7" width="11.125" style="25" customWidth="1"/>
    <col min="8" max="8" width="11.625" style="228" customWidth="1"/>
    <col min="9" max="9" width="5.125" style="0" hidden="1" customWidth="1"/>
    <col min="10" max="10" width="10.625" style="59" customWidth="1"/>
    <col min="11" max="11" width="9.875" style="59" customWidth="1"/>
    <col min="12" max="12" width="7.25390625" style="401" customWidth="1"/>
  </cols>
  <sheetData>
    <row r="1" spans="1:11" ht="15.75" customHeight="1">
      <c r="A1" s="1046" t="s">
        <v>200</v>
      </c>
      <c r="B1" s="1047"/>
      <c r="C1" s="1047"/>
      <c r="D1" s="1048"/>
      <c r="E1" s="203"/>
      <c r="F1" s="211"/>
      <c r="G1" s="206"/>
      <c r="H1" s="221" t="s">
        <v>152</v>
      </c>
      <c r="I1" s="4" t="s">
        <v>1</v>
      </c>
      <c r="J1" s="67" t="s">
        <v>7</v>
      </c>
      <c r="K1" s="67" t="s">
        <v>147</v>
      </c>
    </row>
    <row r="2" spans="1:12" s="16" customFormat="1" ht="13.5" thickBot="1">
      <c r="A2" s="6" t="s">
        <v>127</v>
      </c>
      <c r="B2" s="7"/>
      <c r="C2" s="1052" t="s">
        <v>154</v>
      </c>
      <c r="D2" s="1053"/>
      <c r="E2" s="204" t="s">
        <v>5</v>
      </c>
      <c r="F2" s="217" t="s">
        <v>117</v>
      </c>
      <c r="G2" s="218" t="s">
        <v>27</v>
      </c>
      <c r="H2" s="222">
        <v>2011</v>
      </c>
      <c r="I2" s="12" t="s">
        <v>7</v>
      </c>
      <c r="J2" s="71">
        <v>2011</v>
      </c>
      <c r="K2" s="71">
        <v>2010</v>
      </c>
      <c r="L2" s="401"/>
    </row>
    <row r="3" spans="1:11" ht="13.5" thickBot="1">
      <c r="A3" s="17" t="s">
        <v>13</v>
      </c>
      <c r="B3" s="18"/>
      <c r="C3" s="18"/>
      <c r="D3" s="18"/>
      <c r="E3" s="171">
        <v>1</v>
      </c>
      <c r="F3" s="212" t="e">
        <f aca="true" t="shared" si="0" ref="F3:K3">SUM(F5:F27)</f>
        <v>#DIV/0!</v>
      </c>
      <c r="G3" s="207" t="e">
        <f t="shared" si="0"/>
        <v>#DIV/0!</v>
      </c>
      <c r="H3" s="172" t="e">
        <f t="shared" si="0"/>
        <v>#DIV/0!</v>
      </c>
      <c r="I3" s="75">
        <f t="shared" si="0"/>
        <v>0</v>
      </c>
      <c r="J3" s="78">
        <f t="shared" si="0"/>
        <v>4850217</v>
      </c>
      <c r="K3" s="78">
        <f t="shared" si="0"/>
        <v>4569672.97683</v>
      </c>
    </row>
    <row r="4" spans="1:12" s="25" customFormat="1" ht="12">
      <c r="A4" s="21" t="s">
        <v>14</v>
      </c>
      <c r="B4" s="22" t="s">
        <v>15</v>
      </c>
      <c r="C4" s="22"/>
      <c r="D4" s="22"/>
      <c r="E4" s="205">
        <v>2</v>
      </c>
      <c r="F4" s="213" t="e">
        <f>SUM(F5:F15)</f>
        <v>#DIV/0!</v>
      </c>
      <c r="G4" s="79" t="e">
        <f>SUM(G5:G15)</f>
        <v>#DIV/0!</v>
      </c>
      <c r="H4" s="223" t="e">
        <f>SUM(H5:H15)</f>
        <v>#DIV/0!</v>
      </c>
      <c r="I4" s="79">
        <f>SUM(I5:I15)</f>
        <v>0</v>
      </c>
      <c r="J4" s="82">
        <f>'fak-odhad'!Q5+ostatni_odhad!R5</f>
        <v>1122259</v>
      </c>
      <c r="K4" s="82">
        <f>'fak-odhad'!R5+ostatni_odhad!S5</f>
        <v>219644.7409</v>
      </c>
      <c r="L4" s="401"/>
    </row>
    <row r="5" spans="1:12" s="25" customFormat="1" ht="12">
      <c r="A5" s="21"/>
      <c r="B5" s="26"/>
      <c r="C5" s="26" t="s">
        <v>16</v>
      </c>
      <c r="D5" s="27" t="s">
        <v>17</v>
      </c>
      <c r="E5" s="168">
        <v>3</v>
      </c>
      <c r="F5" s="214">
        <f>'fak-odhad'!O5</f>
        <v>0</v>
      </c>
      <c r="G5" s="208">
        <f>ostatni_odhad!P5</f>
        <v>0</v>
      </c>
      <c r="H5" s="224">
        <f aca="true" t="shared" si="1" ref="H5:H27">SUM(F5:G5)</f>
        <v>0</v>
      </c>
      <c r="I5" s="83"/>
      <c r="J5" s="164">
        <f>MU_plan!H5</f>
        <v>1170430</v>
      </c>
      <c r="K5" s="164">
        <f>MU_plan!Q5</f>
        <v>1054751.7979000001</v>
      </c>
      <c r="L5" s="401"/>
    </row>
    <row r="6" spans="1:12" s="25" customFormat="1" ht="12">
      <c r="A6" s="21"/>
      <c r="B6" s="26"/>
      <c r="C6" s="26"/>
      <c r="D6" s="27" t="s">
        <v>18</v>
      </c>
      <c r="E6" s="168">
        <v>4</v>
      </c>
      <c r="F6" s="215">
        <f>'fak-odhad'!O6</f>
        <v>0</v>
      </c>
      <c r="G6" s="209">
        <f>ostatni_odhad!P6</f>
        <v>0</v>
      </c>
      <c r="H6" s="225">
        <f t="shared" si="1"/>
        <v>0</v>
      </c>
      <c r="I6" s="83"/>
      <c r="J6" s="164">
        <f>MU_plan!H6</f>
        <v>55823</v>
      </c>
      <c r="K6" s="164">
        <f>MU_plan!Q6</f>
        <v>52591.3815</v>
      </c>
      <c r="L6" s="401"/>
    </row>
    <row r="7" spans="1:12" s="25" customFormat="1" ht="12">
      <c r="A7" s="21"/>
      <c r="B7" s="26"/>
      <c r="C7" s="26"/>
      <c r="D7" s="27" t="s">
        <v>19</v>
      </c>
      <c r="E7" s="168">
        <v>5</v>
      </c>
      <c r="F7" s="215">
        <f>'fak-odhad'!O7</f>
        <v>0</v>
      </c>
      <c r="G7" s="209">
        <f>ostatni_odhad!P7</f>
        <v>0</v>
      </c>
      <c r="H7" s="225">
        <f t="shared" si="1"/>
        <v>0</v>
      </c>
      <c r="I7" s="83"/>
      <c r="J7" s="164">
        <f>MU_plan!H7</f>
        <v>410494</v>
      </c>
      <c r="K7" s="164">
        <f>MU_plan!Q7</f>
        <v>379689.28333</v>
      </c>
      <c r="L7" s="401"/>
    </row>
    <row r="8" spans="1:12" s="25" customFormat="1" ht="12">
      <c r="A8" s="21"/>
      <c r="B8" s="26"/>
      <c r="C8" s="26"/>
      <c r="D8" s="27" t="s">
        <v>20</v>
      </c>
      <c r="E8" s="168">
        <v>6</v>
      </c>
      <c r="F8" s="215" t="e">
        <f>'fak-odhad'!O8</f>
        <v>#DIV/0!</v>
      </c>
      <c r="G8" s="209" t="e">
        <f>ostatni_odhad!P8</f>
        <v>#DIV/0!</v>
      </c>
      <c r="H8" s="225" t="e">
        <f t="shared" si="1"/>
        <v>#DIV/0!</v>
      </c>
      <c r="I8" s="83"/>
      <c r="J8" s="164">
        <f>MU_plan!H8</f>
        <v>164838</v>
      </c>
      <c r="K8" s="164">
        <f>MU_plan!Q8</f>
        <v>134982.64689</v>
      </c>
      <c r="L8" s="401"/>
    </row>
    <row r="9" spans="1:12" s="25" customFormat="1" ht="12">
      <c r="A9" s="21"/>
      <c r="B9" s="26"/>
      <c r="C9" s="26"/>
      <c r="D9" s="27" t="s">
        <v>21</v>
      </c>
      <c r="E9" s="168">
        <v>7</v>
      </c>
      <c r="F9" s="215" t="e">
        <f>'fak-odhad'!O9</f>
        <v>#DIV/0!</v>
      </c>
      <c r="G9" s="209" t="e">
        <f>ostatni_odhad!P9</f>
        <v>#DIV/0!</v>
      </c>
      <c r="H9" s="225" t="e">
        <f t="shared" si="1"/>
        <v>#DIV/0!</v>
      </c>
      <c r="I9" s="83"/>
      <c r="J9" s="164">
        <f>MU_plan!H9</f>
        <v>72983</v>
      </c>
      <c r="K9" s="164">
        <f>MU_plan!Q9</f>
        <v>70992.73300000001</v>
      </c>
      <c r="L9" s="401"/>
    </row>
    <row r="10" spans="1:12" s="25" customFormat="1" ht="12">
      <c r="A10" s="21"/>
      <c r="B10" s="26"/>
      <c r="C10" s="26"/>
      <c r="D10" s="27" t="s">
        <v>22</v>
      </c>
      <c r="E10" s="168">
        <v>8</v>
      </c>
      <c r="F10" s="215" t="e">
        <f>'fak-odhad'!O10</f>
        <v>#DIV/0!</v>
      </c>
      <c r="G10" s="209" t="e">
        <f>ostatni_odhad!P10</f>
        <v>#DIV/0!</v>
      </c>
      <c r="H10" s="225" t="e">
        <f t="shared" si="1"/>
        <v>#DIV/0!</v>
      </c>
      <c r="I10" s="83"/>
      <c r="J10" s="164">
        <f>MU_plan!H10</f>
        <v>133259</v>
      </c>
      <c r="K10" s="164">
        <f>MU_plan!Q10</f>
        <v>175523.56855999999</v>
      </c>
      <c r="L10" s="401"/>
    </row>
    <row r="11" spans="1:12" s="25" customFormat="1" ht="12">
      <c r="A11" s="21"/>
      <c r="B11" s="26"/>
      <c r="C11" s="26"/>
      <c r="D11" s="27" t="s">
        <v>23</v>
      </c>
      <c r="E11" s="168">
        <v>9</v>
      </c>
      <c r="F11" s="215" t="e">
        <f>'fak-odhad'!O11</f>
        <v>#DIV/0!</v>
      </c>
      <c r="G11" s="209" t="e">
        <f>ostatni_odhad!P11</f>
        <v>#DIV/0!</v>
      </c>
      <c r="H11" s="225" t="e">
        <f t="shared" si="1"/>
        <v>#DIV/0!</v>
      </c>
      <c r="I11" s="83"/>
      <c r="J11" s="164">
        <f>MU_plan!H11</f>
        <v>232648</v>
      </c>
      <c r="K11" s="164">
        <f>MU_plan!Q11</f>
        <v>224902.33318</v>
      </c>
      <c r="L11" s="401"/>
    </row>
    <row r="12" spans="1:12" s="25" customFormat="1" ht="12">
      <c r="A12" s="21"/>
      <c r="B12" s="26"/>
      <c r="C12" s="26"/>
      <c r="D12" s="27" t="s">
        <v>24</v>
      </c>
      <c r="E12" s="168">
        <v>10</v>
      </c>
      <c r="F12" s="215" t="e">
        <f>'fak-odhad'!O12</f>
        <v>#DIV/0!</v>
      </c>
      <c r="G12" s="209" t="e">
        <f>ostatni_odhad!P12</f>
        <v>#DIV/0!</v>
      </c>
      <c r="H12" s="225" t="e">
        <f t="shared" si="1"/>
        <v>#DIV/0!</v>
      </c>
      <c r="I12" s="83"/>
      <c r="J12" s="164">
        <f>MU_plan!H12</f>
        <v>15530</v>
      </c>
      <c r="K12" s="164">
        <f>MU_plan!Q12</f>
        <v>13991.73557</v>
      </c>
      <c r="L12" s="401"/>
    </row>
    <row r="13" spans="1:12" s="25" customFormat="1" ht="12">
      <c r="A13" s="21"/>
      <c r="B13" s="26"/>
      <c r="C13" s="26"/>
      <c r="D13" s="27" t="s">
        <v>25</v>
      </c>
      <c r="E13" s="168">
        <v>11</v>
      </c>
      <c r="F13" s="215">
        <f>'fak-odhad'!O13</f>
        <v>0</v>
      </c>
      <c r="G13" s="209">
        <f>ostatni_odhad!P13</f>
        <v>0</v>
      </c>
      <c r="H13" s="225">
        <f t="shared" si="1"/>
        <v>0</v>
      </c>
      <c r="I13" s="83"/>
      <c r="J13" s="164">
        <f>MU_plan!H13</f>
        <v>390795</v>
      </c>
      <c r="K13" s="164">
        <f>MU_plan!Q13</f>
        <v>350379.74141</v>
      </c>
      <c r="L13" s="401"/>
    </row>
    <row r="14" spans="1:12" s="25" customFormat="1" ht="12">
      <c r="A14" s="21"/>
      <c r="B14" s="26"/>
      <c r="C14" s="26"/>
      <c r="D14" s="27" t="s">
        <v>26</v>
      </c>
      <c r="E14" s="168">
        <v>12</v>
      </c>
      <c r="F14" s="215" t="e">
        <f>'fak-odhad'!O14</f>
        <v>#DIV/0!</v>
      </c>
      <c r="G14" s="209" t="e">
        <f>ostatni_odhad!P14</f>
        <v>#DIV/0!</v>
      </c>
      <c r="H14" s="225" t="e">
        <f t="shared" si="1"/>
        <v>#DIV/0!</v>
      </c>
      <c r="I14" s="83"/>
      <c r="J14" s="164">
        <f>MU_plan!H14</f>
        <v>166306</v>
      </c>
      <c r="K14" s="164">
        <f>MU_plan!Q14</f>
        <v>165059</v>
      </c>
      <c r="L14" s="401"/>
    </row>
    <row r="15" spans="1:12" s="25" customFormat="1" ht="12">
      <c r="A15" s="21"/>
      <c r="B15" s="26"/>
      <c r="C15" s="27"/>
      <c r="D15" s="27" t="s">
        <v>27</v>
      </c>
      <c r="E15" s="168">
        <v>13</v>
      </c>
      <c r="F15" s="215" t="e">
        <f>'fak-odhad'!O15</f>
        <v>#DIV/0!</v>
      </c>
      <c r="G15" s="209" t="e">
        <f>ostatni_odhad!P15</f>
        <v>#DIV/0!</v>
      </c>
      <c r="H15" s="225" t="e">
        <f t="shared" si="1"/>
        <v>#DIV/0!</v>
      </c>
      <c r="I15" s="83"/>
      <c r="J15" s="164">
        <f>MU_plan!H15</f>
        <v>268488</v>
      </c>
      <c r="K15" s="164">
        <f>MU_plan!Q15</f>
        <v>364005.91961</v>
      </c>
      <c r="L15" s="401"/>
    </row>
    <row r="16" spans="1:12" s="25" customFormat="1" ht="12">
      <c r="A16" s="21"/>
      <c r="B16" s="30" t="s">
        <v>28</v>
      </c>
      <c r="C16" s="27"/>
      <c r="D16" s="27"/>
      <c r="E16" s="168">
        <v>14</v>
      </c>
      <c r="F16" s="215">
        <f>'fak-odhad'!O16</f>
        <v>0</v>
      </c>
      <c r="G16" s="209">
        <f>ostatni_odhad!P16</f>
        <v>0</v>
      </c>
      <c r="H16" s="225">
        <f t="shared" si="1"/>
        <v>0</v>
      </c>
      <c r="I16" s="88"/>
      <c r="J16" s="164">
        <f>MU_plan!H16</f>
        <v>152087</v>
      </c>
      <c r="K16" s="164">
        <f>MU_plan!Q16</f>
        <v>146629</v>
      </c>
      <c r="L16" s="401"/>
    </row>
    <row r="17" spans="1:12" s="25" customFormat="1" ht="12">
      <c r="A17" s="21"/>
      <c r="B17" s="30" t="s">
        <v>30</v>
      </c>
      <c r="C17" s="27"/>
      <c r="D17" s="27"/>
      <c r="E17" s="168">
        <v>15</v>
      </c>
      <c r="F17" s="215">
        <f>'fak-odhad'!O17</f>
        <v>0</v>
      </c>
      <c r="G17" s="209">
        <f>ostatni_odhad!P17</f>
        <v>0</v>
      </c>
      <c r="H17" s="225">
        <f t="shared" si="1"/>
        <v>0</v>
      </c>
      <c r="I17" s="88"/>
      <c r="J17" s="164">
        <f>MU_plan!H17</f>
        <v>44925</v>
      </c>
      <c r="K17" s="164">
        <f>MU_plan!Q17</f>
        <v>48317.036</v>
      </c>
      <c r="L17" s="401"/>
    </row>
    <row r="18" spans="1:12" s="25" customFormat="1" ht="12">
      <c r="A18" s="21"/>
      <c r="B18" s="31" t="s">
        <v>32</v>
      </c>
      <c r="C18" s="32"/>
      <c r="D18" s="32"/>
      <c r="E18" s="169">
        <v>16</v>
      </c>
      <c r="F18" s="215">
        <f>'fak-odhad'!O18</f>
        <v>0</v>
      </c>
      <c r="G18" s="209">
        <f>ostatni_odhad!P18</f>
        <v>0.324</v>
      </c>
      <c r="H18" s="225">
        <f t="shared" si="1"/>
        <v>0.324</v>
      </c>
      <c r="I18" s="88"/>
      <c r="J18" s="164">
        <f>MU_plan!H18</f>
        <v>113173</v>
      </c>
      <c r="K18" s="164">
        <f>MU_plan!Q18</f>
        <v>114953</v>
      </c>
      <c r="L18" s="401"/>
    </row>
    <row r="19" spans="1:12" s="25" customFormat="1" ht="12">
      <c r="A19" s="21"/>
      <c r="B19" s="31" t="s">
        <v>34</v>
      </c>
      <c r="C19" s="32"/>
      <c r="D19" s="32"/>
      <c r="E19" s="169">
        <v>17</v>
      </c>
      <c r="F19" s="215">
        <f>'fak-odhad'!O19</f>
        <v>0</v>
      </c>
      <c r="G19" s="209">
        <f>ostatni_odhad!P19</f>
        <v>0</v>
      </c>
      <c r="H19" s="225">
        <f t="shared" si="1"/>
        <v>0</v>
      </c>
      <c r="I19" s="88"/>
      <c r="J19" s="164">
        <f>MU_plan!H19</f>
        <v>7314</v>
      </c>
      <c r="K19" s="164">
        <f>MU_plan!Q19</f>
        <v>7303</v>
      </c>
      <c r="L19" s="401"/>
    </row>
    <row r="20" spans="1:12" s="25" customFormat="1" ht="12">
      <c r="A20" s="21"/>
      <c r="B20" s="31" t="s">
        <v>36</v>
      </c>
      <c r="C20" s="31"/>
      <c r="D20" s="31"/>
      <c r="E20" s="169">
        <v>18</v>
      </c>
      <c r="F20" s="215">
        <f>'fak-odhad'!O20</f>
        <v>3</v>
      </c>
      <c r="G20" s="209">
        <f>ostatni_odhad!P20</f>
        <v>5.8</v>
      </c>
      <c r="H20" s="225">
        <f t="shared" si="1"/>
        <v>8.8</v>
      </c>
      <c r="I20" s="88"/>
      <c r="J20" s="164">
        <f>MU_plan!H20</f>
        <v>29430</v>
      </c>
      <c r="K20" s="164">
        <f>MU_plan!Q20</f>
        <v>30021.25454</v>
      </c>
      <c r="L20" s="401"/>
    </row>
    <row r="21" spans="1:12" s="25" customFormat="1" ht="12">
      <c r="A21" s="21"/>
      <c r="B21" s="31" t="s">
        <v>38</v>
      </c>
      <c r="C21" s="31"/>
      <c r="D21" s="31"/>
      <c r="E21" s="169">
        <v>19</v>
      </c>
      <c r="F21" s="215">
        <f>'fak-odhad'!O21</f>
        <v>0</v>
      </c>
      <c r="G21" s="209">
        <f>ostatni_odhad!P21</f>
        <v>0</v>
      </c>
      <c r="H21" s="225">
        <f t="shared" si="1"/>
        <v>0</v>
      </c>
      <c r="I21" s="88"/>
      <c r="J21" s="164">
        <f>MU_plan!H21</f>
        <v>283406</v>
      </c>
      <c r="K21" s="164">
        <f>MU_plan!Q21</f>
        <v>164800.73845</v>
      </c>
      <c r="L21" s="401"/>
    </row>
    <row r="22" spans="1:12" s="25" customFormat="1" ht="12">
      <c r="A22" s="21"/>
      <c r="B22" s="31" t="s">
        <v>40</v>
      </c>
      <c r="C22" s="31"/>
      <c r="D22" s="31"/>
      <c r="E22" s="169">
        <v>20</v>
      </c>
      <c r="F22" s="215">
        <f>'fak-odhad'!O22</f>
        <v>0</v>
      </c>
      <c r="G22" s="209">
        <f>ostatni_odhad!P22</f>
        <v>0</v>
      </c>
      <c r="H22" s="225">
        <f t="shared" si="1"/>
        <v>0</v>
      </c>
      <c r="I22" s="88"/>
      <c r="J22" s="164">
        <f>MU_plan!H22</f>
        <v>77273</v>
      </c>
      <c r="K22" s="164">
        <f>MU_plan!Q22</f>
        <v>92735.174</v>
      </c>
      <c r="L22" s="401"/>
    </row>
    <row r="23" spans="1:12" s="25" customFormat="1" ht="12">
      <c r="A23" s="21"/>
      <c r="B23" s="31" t="s">
        <v>42</v>
      </c>
      <c r="C23" s="31"/>
      <c r="D23" s="31"/>
      <c r="E23" s="169">
        <v>21</v>
      </c>
      <c r="F23" s="215">
        <f>'fak-odhad'!O23</f>
        <v>0</v>
      </c>
      <c r="G23" s="209">
        <f>ostatni_odhad!P23</f>
        <v>0</v>
      </c>
      <c r="H23" s="225">
        <f t="shared" si="1"/>
        <v>0</v>
      </c>
      <c r="I23" s="88"/>
      <c r="J23" s="164">
        <f>MU_plan!H23</f>
        <v>159423</v>
      </c>
      <c r="K23" s="164">
        <f>MU_plan!Q23</f>
        <v>243456.95</v>
      </c>
      <c r="L23" s="401"/>
    </row>
    <row r="24" spans="1:12" s="25" customFormat="1" ht="12">
      <c r="A24" s="21"/>
      <c r="B24" s="31" t="s">
        <v>43</v>
      </c>
      <c r="C24" s="31"/>
      <c r="D24" s="31"/>
      <c r="E24" s="169">
        <v>22</v>
      </c>
      <c r="F24" s="215">
        <f>'fak-odhad'!O24</f>
        <v>0</v>
      </c>
      <c r="G24" s="209">
        <f>ostatni_odhad!P24</f>
        <v>0</v>
      </c>
      <c r="H24" s="225">
        <f t="shared" si="1"/>
        <v>0</v>
      </c>
      <c r="I24" s="88"/>
      <c r="J24" s="164">
        <f>MU_plan!H24</f>
        <v>549480</v>
      </c>
      <c r="K24" s="164">
        <f>MU_plan!Q24</f>
        <v>472285</v>
      </c>
      <c r="L24" s="401"/>
    </row>
    <row r="25" spans="1:12" s="25" customFormat="1" ht="12">
      <c r="A25" s="21"/>
      <c r="B25" s="31" t="s">
        <v>186</v>
      </c>
      <c r="C25" s="31"/>
      <c r="D25" s="31"/>
      <c r="E25" s="169">
        <v>23</v>
      </c>
      <c r="F25" s="215">
        <f>'fak-odhad'!O25</f>
        <v>6.162</v>
      </c>
      <c r="G25" s="209">
        <f>ostatni_odhad!P25</f>
        <v>3.0469999999999997</v>
      </c>
      <c r="H25" s="225">
        <f t="shared" si="1"/>
        <v>9.209</v>
      </c>
      <c r="I25" s="88"/>
      <c r="J25" s="164">
        <f>MU_plan!H25</f>
        <v>180864</v>
      </c>
      <c r="K25" s="164">
        <f>MU_plan!Q25</f>
        <v>78784</v>
      </c>
      <c r="L25" s="401"/>
    </row>
    <row r="26" spans="1:12" s="25" customFormat="1" ht="12">
      <c r="A26" s="21"/>
      <c r="B26" s="31" t="s">
        <v>45</v>
      </c>
      <c r="C26" s="31"/>
      <c r="D26" s="31"/>
      <c r="E26" s="169">
        <v>24</v>
      </c>
      <c r="F26" s="215">
        <f>'fak-odhad'!O26</f>
        <v>0.069</v>
      </c>
      <c r="G26" s="209">
        <f>ostatni_odhad!P26</f>
        <v>0</v>
      </c>
      <c r="H26" s="225">
        <f t="shared" si="1"/>
        <v>0.069</v>
      </c>
      <c r="I26" s="88"/>
      <c r="J26" s="164">
        <f>MU_plan!H26</f>
        <v>62586</v>
      </c>
      <c r="K26" s="164">
        <f>MU_plan!Q26</f>
        <v>62510</v>
      </c>
      <c r="L26" s="401"/>
    </row>
    <row r="27" spans="1:12" s="25" customFormat="1" ht="12.75" thickBot="1">
      <c r="A27" s="21"/>
      <c r="B27" s="30" t="s">
        <v>47</v>
      </c>
      <c r="C27" s="30"/>
      <c r="D27" s="30"/>
      <c r="E27" s="168">
        <v>25</v>
      </c>
      <c r="F27" s="215" t="e">
        <f>'fak-odhad'!O27</f>
        <v>#DIV/0!</v>
      </c>
      <c r="G27" s="209" t="e">
        <f>ostatni_odhad!P27</f>
        <v>#DIV/0!</v>
      </c>
      <c r="H27" s="225" t="e">
        <f t="shared" si="1"/>
        <v>#DIV/0!</v>
      </c>
      <c r="I27" s="88"/>
      <c r="J27" s="164">
        <f>MU_plan!H27</f>
        <v>108662</v>
      </c>
      <c r="K27" s="164">
        <f>MU_plan!Q27</f>
        <v>121007.68289</v>
      </c>
      <c r="L27" s="401"/>
    </row>
    <row r="28" spans="1:11" ht="13.5" thickBot="1">
      <c r="A28" s="37" t="s">
        <v>49</v>
      </c>
      <c r="B28" s="38"/>
      <c r="C28" s="38"/>
      <c r="D28" s="38"/>
      <c r="E28" s="171">
        <v>26</v>
      </c>
      <c r="F28" s="212" t="e">
        <f aca="true" t="shared" si="2" ref="F28:K28">SUM(F29:F45)</f>
        <v>#DIV/0!</v>
      </c>
      <c r="G28" s="207" t="e">
        <f t="shared" si="2"/>
        <v>#DIV/0!</v>
      </c>
      <c r="H28" s="172" t="e">
        <f t="shared" si="2"/>
        <v>#DIV/0!</v>
      </c>
      <c r="I28" s="110">
        <f t="shared" si="2"/>
        <v>0</v>
      </c>
      <c r="J28" s="78">
        <f t="shared" si="2"/>
        <v>4881666</v>
      </c>
      <c r="K28" s="78">
        <f t="shared" si="2"/>
        <v>4640794.62989</v>
      </c>
    </row>
    <row r="29" spans="1:12" s="25" customFormat="1" ht="12">
      <c r="A29" s="21" t="s">
        <v>14</v>
      </c>
      <c r="B29" s="27" t="s">
        <v>50</v>
      </c>
      <c r="C29" s="27"/>
      <c r="D29" s="27"/>
      <c r="E29" s="168">
        <v>27</v>
      </c>
      <c r="F29" s="215">
        <f>'fak-odhad'!O29</f>
        <v>0</v>
      </c>
      <c r="G29" s="209">
        <f>ostatni_odhad!P29</f>
        <v>36.558</v>
      </c>
      <c r="H29" s="225">
        <f aca="true" t="shared" si="3" ref="H29:H45">SUM(F29:G29)</f>
        <v>36.558</v>
      </c>
      <c r="I29" s="79"/>
      <c r="J29" s="164">
        <f>MU_plan!H29</f>
        <v>1613457</v>
      </c>
      <c r="K29" s="164">
        <f>MU_plan!Q29</f>
        <v>1783707</v>
      </c>
      <c r="L29" s="401" t="e">
        <f>#REF!-K29</f>
        <v>#REF!</v>
      </c>
    </row>
    <row r="30" spans="1:12" s="25" customFormat="1" ht="12">
      <c r="A30" s="21"/>
      <c r="B30" s="30" t="s">
        <v>28</v>
      </c>
      <c r="C30" s="30"/>
      <c r="D30" s="30"/>
      <c r="E30" s="168">
        <v>28</v>
      </c>
      <c r="F30" s="215">
        <f>'fak-odhad'!O30</f>
        <v>0</v>
      </c>
      <c r="G30" s="209">
        <f>ostatni_odhad!P30</f>
        <v>0</v>
      </c>
      <c r="H30" s="225">
        <f t="shared" si="3"/>
        <v>0</v>
      </c>
      <c r="I30" s="93"/>
      <c r="J30" s="164">
        <f>MU_plan!H30</f>
        <v>151646</v>
      </c>
      <c r="K30" s="164">
        <f>MU_plan!Q30</f>
        <v>146629</v>
      </c>
      <c r="L30" s="401"/>
    </row>
    <row r="31" spans="1:12" s="25" customFormat="1" ht="12">
      <c r="A31" s="21"/>
      <c r="B31" s="30" t="s">
        <v>30</v>
      </c>
      <c r="C31" s="30"/>
      <c r="D31" s="30"/>
      <c r="E31" s="168">
        <v>29</v>
      </c>
      <c r="F31" s="215">
        <f>'fak-odhad'!O31</f>
        <v>0</v>
      </c>
      <c r="G31" s="209">
        <f>ostatni_odhad!P31</f>
        <v>0</v>
      </c>
      <c r="H31" s="225">
        <f t="shared" si="3"/>
        <v>0</v>
      </c>
      <c r="I31" s="93"/>
      <c r="J31" s="164">
        <f>MU_plan!H31</f>
        <v>44925</v>
      </c>
      <c r="K31" s="164">
        <f>MU_plan!Q31</f>
        <v>48317.036</v>
      </c>
      <c r="L31" s="401"/>
    </row>
    <row r="32" spans="1:12" s="25" customFormat="1" ht="12">
      <c r="A32" s="21"/>
      <c r="B32" s="31" t="s">
        <v>32</v>
      </c>
      <c r="C32" s="32"/>
      <c r="D32" s="32"/>
      <c r="E32" s="169">
        <v>30</v>
      </c>
      <c r="F32" s="215">
        <f>'fak-odhad'!O32</f>
        <v>0</v>
      </c>
      <c r="G32" s="209">
        <f>ostatni_odhad!P32</f>
        <v>0.324</v>
      </c>
      <c r="H32" s="225">
        <f t="shared" si="3"/>
        <v>0.324</v>
      </c>
      <c r="I32" s="93"/>
      <c r="J32" s="164">
        <f>MU_plan!H32</f>
        <v>113173</v>
      </c>
      <c r="K32" s="164">
        <f>MU_plan!Q32</f>
        <v>114953</v>
      </c>
      <c r="L32" s="401" t="e">
        <f>#REF!-K32</f>
        <v>#REF!</v>
      </c>
    </row>
    <row r="33" spans="1:12" s="25" customFormat="1" ht="12">
      <c r="A33" s="21"/>
      <c r="B33" s="31" t="s">
        <v>34</v>
      </c>
      <c r="C33" s="31"/>
      <c r="D33" s="31"/>
      <c r="E33" s="169">
        <v>31</v>
      </c>
      <c r="F33" s="215">
        <f>'fak-odhad'!O33</f>
        <v>0</v>
      </c>
      <c r="G33" s="209">
        <f>ostatni_odhad!P33</f>
        <v>0</v>
      </c>
      <c r="H33" s="225">
        <f t="shared" si="3"/>
        <v>0</v>
      </c>
      <c r="I33" s="93"/>
      <c r="J33" s="164">
        <f>MU_plan!H33</f>
        <v>7314</v>
      </c>
      <c r="K33" s="164">
        <f>MU_plan!Q33</f>
        <v>7303</v>
      </c>
      <c r="L33" s="401" t="e">
        <f>#REF!-K33</f>
        <v>#REF!</v>
      </c>
    </row>
    <row r="34" spans="1:12" s="25" customFormat="1" ht="12">
      <c r="A34" s="21"/>
      <c r="B34" s="31" t="s">
        <v>52</v>
      </c>
      <c r="C34" s="31"/>
      <c r="D34" s="31"/>
      <c r="E34" s="169">
        <v>32</v>
      </c>
      <c r="F34" s="215">
        <f>'fak-odhad'!O34</f>
        <v>0</v>
      </c>
      <c r="G34" s="209">
        <f>ostatni_odhad!P34</f>
        <v>0</v>
      </c>
      <c r="H34" s="225">
        <f t="shared" si="3"/>
        <v>0</v>
      </c>
      <c r="I34" s="93"/>
      <c r="J34" s="164">
        <f>MU_plan!H34</f>
        <v>140467</v>
      </c>
      <c r="K34" s="164">
        <f>MU_plan!Q34</f>
        <v>152660.173</v>
      </c>
      <c r="L34" s="401"/>
    </row>
    <row r="35" spans="1:12" s="25" customFormat="1" ht="12">
      <c r="A35" s="21"/>
      <c r="B35" s="31" t="s">
        <v>36</v>
      </c>
      <c r="C35" s="31"/>
      <c r="D35" s="31"/>
      <c r="E35" s="169">
        <v>33</v>
      </c>
      <c r="F35" s="215">
        <f>'fak-odhad'!O35</f>
        <v>3</v>
      </c>
      <c r="G35" s="209">
        <f>ostatni_odhad!P35</f>
        <v>5.8</v>
      </c>
      <c r="H35" s="225">
        <f t="shared" si="3"/>
        <v>8.8</v>
      </c>
      <c r="I35" s="93"/>
      <c r="J35" s="164">
        <f>MU_plan!H35</f>
        <v>29430</v>
      </c>
      <c r="K35" s="164">
        <f>MU_plan!Q35</f>
        <v>30021.25454</v>
      </c>
      <c r="L35" s="401"/>
    </row>
    <row r="36" spans="1:12" s="25" customFormat="1" ht="12">
      <c r="A36" s="21"/>
      <c r="B36" s="31" t="s">
        <v>38</v>
      </c>
      <c r="C36" s="31"/>
      <c r="D36" s="31"/>
      <c r="E36" s="169">
        <v>34</v>
      </c>
      <c r="F36" s="215">
        <f>'fak-odhad'!O36</f>
        <v>0</v>
      </c>
      <c r="G36" s="209">
        <f>ostatni_odhad!P36</f>
        <v>0</v>
      </c>
      <c r="H36" s="225">
        <f t="shared" si="3"/>
        <v>0</v>
      </c>
      <c r="I36" s="93"/>
      <c r="J36" s="164">
        <f>MU_plan!H36</f>
        <v>283406</v>
      </c>
      <c r="K36" s="164">
        <f>MU_plan!Q36</f>
        <v>164800.73845</v>
      </c>
      <c r="L36" s="401"/>
    </row>
    <row r="37" spans="1:12" s="25" customFormat="1" ht="12">
      <c r="A37" s="21"/>
      <c r="B37" s="31" t="s">
        <v>54</v>
      </c>
      <c r="C37" s="31"/>
      <c r="D37" s="31"/>
      <c r="E37" s="169">
        <v>35</v>
      </c>
      <c r="F37" s="215">
        <f>'fak-odhad'!O37</f>
        <v>0.152</v>
      </c>
      <c r="G37" s="209">
        <f>ostatni_odhad!P37</f>
        <v>0</v>
      </c>
      <c r="H37" s="225">
        <f t="shared" si="3"/>
        <v>0.152</v>
      </c>
      <c r="I37" s="93"/>
      <c r="J37" s="164">
        <f>MU_plan!H37</f>
        <v>77273</v>
      </c>
      <c r="K37" s="164">
        <f>MU_plan!Q37</f>
        <v>92644.174</v>
      </c>
      <c r="L37" s="401"/>
    </row>
    <row r="38" spans="1:12" s="25" customFormat="1" ht="12">
      <c r="A38" s="21"/>
      <c r="B38" s="31" t="s">
        <v>170</v>
      </c>
      <c r="C38" s="31"/>
      <c r="D38" s="31"/>
      <c r="E38" s="169">
        <v>36</v>
      </c>
      <c r="F38" s="215">
        <f>'fak-odhad'!O38</f>
        <v>0</v>
      </c>
      <c r="G38" s="209">
        <f>ostatni_odhad!P38</f>
        <v>0</v>
      </c>
      <c r="H38" s="225">
        <f t="shared" si="3"/>
        <v>0</v>
      </c>
      <c r="I38" s="93"/>
      <c r="J38" s="164">
        <f>MU_plan!H38</f>
        <v>285179</v>
      </c>
      <c r="K38" s="164">
        <f>MU_plan!Q38</f>
        <v>139352</v>
      </c>
      <c r="L38" s="401"/>
    </row>
    <row r="39" spans="1:12" s="25" customFormat="1" ht="12">
      <c r="A39" s="21"/>
      <c r="B39" s="31" t="s">
        <v>56</v>
      </c>
      <c r="C39" s="31"/>
      <c r="D39" s="31"/>
      <c r="E39" s="169">
        <v>37</v>
      </c>
      <c r="F39" s="215">
        <f>'fak-odhad'!O39</f>
        <v>0</v>
      </c>
      <c r="G39" s="209">
        <f>ostatni_odhad!P39</f>
        <v>0</v>
      </c>
      <c r="H39" s="225">
        <f t="shared" si="3"/>
        <v>0</v>
      </c>
      <c r="I39" s="93"/>
      <c r="J39" s="164">
        <f>MU_plan!H39</f>
        <v>159380</v>
      </c>
      <c r="K39" s="164">
        <f>MU_plan!Q39</f>
        <v>243456.95</v>
      </c>
      <c r="L39" s="401"/>
    </row>
    <row r="40" spans="1:12" s="25" customFormat="1" ht="12">
      <c r="A40" s="21"/>
      <c r="B40" s="31" t="s">
        <v>57</v>
      </c>
      <c r="C40" s="31"/>
      <c r="D40" s="31"/>
      <c r="E40" s="169">
        <v>38</v>
      </c>
      <c r="F40" s="215">
        <f>'fak-odhad'!O40</f>
        <v>0</v>
      </c>
      <c r="G40" s="209">
        <f>ostatni_odhad!P40</f>
        <v>0</v>
      </c>
      <c r="H40" s="225">
        <f t="shared" si="3"/>
        <v>0</v>
      </c>
      <c r="I40" s="93"/>
      <c r="J40" s="164">
        <f>MU_plan!H40</f>
        <v>549480</v>
      </c>
      <c r="K40" s="164">
        <f>MU_plan!Q40</f>
        <v>472285</v>
      </c>
      <c r="L40" s="401"/>
    </row>
    <row r="41" spans="1:12" s="25" customFormat="1" ht="12">
      <c r="A41" s="21"/>
      <c r="B41" s="31" t="s">
        <v>186</v>
      </c>
      <c r="C41" s="31"/>
      <c r="D41" s="31"/>
      <c r="E41" s="169">
        <v>39</v>
      </c>
      <c r="F41" s="215">
        <f>'fak-odhad'!O41</f>
        <v>6.162</v>
      </c>
      <c r="G41" s="209" t="e">
        <f>ostatni_odhad!P41</f>
        <v>#DIV/0!</v>
      </c>
      <c r="H41" s="225" t="e">
        <f t="shared" si="3"/>
        <v>#DIV/0!</v>
      </c>
      <c r="I41" s="93"/>
      <c r="J41" s="164">
        <f>MU_plan!H41</f>
        <v>180864</v>
      </c>
      <c r="K41" s="164">
        <f>MU_plan!Q41</f>
        <v>78784</v>
      </c>
      <c r="L41" s="401"/>
    </row>
    <row r="42" spans="1:12" s="25" customFormat="1" ht="12">
      <c r="A42" s="21"/>
      <c r="B42" s="31" t="s">
        <v>58</v>
      </c>
      <c r="C42" s="31"/>
      <c r="D42" s="31"/>
      <c r="E42" s="169">
        <v>40</v>
      </c>
      <c r="F42" s="215">
        <f>'fak-odhad'!O42</f>
        <v>0.069</v>
      </c>
      <c r="G42" s="209">
        <f>ostatni_odhad!P42</f>
        <v>0</v>
      </c>
      <c r="H42" s="225">
        <f t="shared" si="3"/>
        <v>0.069</v>
      </c>
      <c r="I42" s="93"/>
      <c r="J42" s="164">
        <f>MU_plan!H42</f>
        <v>62586</v>
      </c>
      <c r="K42" s="164">
        <f>MU_plan!Q42</f>
        <v>62510</v>
      </c>
      <c r="L42" s="401"/>
    </row>
    <row r="43" spans="1:12" s="25" customFormat="1" ht="12">
      <c r="A43" s="21"/>
      <c r="B43" s="31" t="s">
        <v>59</v>
      </c>
      <c r="C43" s="31"/>
      <c r="D43" s="31"/>
      <c r="E43" s="169">
        <v>41</v>
      </c>
      <c r="F43" s="215" t="e">
        <f>'fak-odhad'!O43</f>
        <v>#DIV/0!</v>
      </c>
      <c r="G43" s="209" t="e">
        <f>ostatni_odhad!P43</f>
        <v>#DIV/0!</v>
      </c>
      <c r="H43" s="225" t="e">
        <f t="shared" si="3"/>
        <v>#DIV/0!</v>
      </c>
      <c r="I43" s="93"/>
      <c r="J43" s="164">
        <f>MU_plan!H43</f>
        <v>758419</v>
      </c>
      <c r="K43" s="164">
        <f>MU_plan!Q43</f>
        <v>787175.28283</v>
      </c>
      <c r="L43" s="401"/>
    </row>
    <row r="44" spans="1:12" s="25" customFormat="1" ht="12">
      <c r="A44" s="21"/>
      <c r="B44" s="31" t="s">
        <v>60</v>
      </c>
      <c r="C44" s="31"/>
      <c r="D44" s="31"/>
      <c r="E44" s="169">
        <v>42</v>
      </c>
      <c r="F44" s="215">
        <f>'fak-odhad'!O44</f>
        <v>0</v>
      </c>
      <c r="G44" s="209">
        <f>ostatni_odhad!P44</f>
        <v>0</v>
      </c>
      <c r="H44" s="225">
        <f t="shared" si="3"/>
        <v>0</v>
      </c>
      <c r="I44" s="93"/>
      <c r="J44" s="164">
        <f>MU_plan!H44</f>
        <v>301259</v>
      </c>
      <c r="K44" s="164">
        <f>MU_plan!Q44</f>
        <v>173949.89611</v>
      </c>
      <c r="L44" s="401"/>
    </row>
    <row r="45" spans="1:12" s="25" customFormat="1" ht="12">
      <c r="A45" s="40"/>
      <c r="B45" s="41" t="s">
        <v>47</v>
      </c>
      <c r="C45" s="41"/>
      <c r="D45" s="41"/>
      <c r="E45" s="170">
        <v>43</v>
      </c>
      <c r="F45" s="216" t="e">
        <f>'fak-odhad'!O45</f>
        <v>#DIV/0!</v>
      </c>
      <c r="G45" s="210" t="e">
        <f>ostatni_odhad!P45</f>
        <v>#DIV/0!</v>
      </c>
      <c r="H45" s="226" t="e">
        <f t="shared" si="3"/>
        <v>#DIV/0!</v>
      </c>
      <c r="I45" s="97"/>
      <c r="J45" s="330">
        <f>MU_plan!H45</f>
        <v>123408</v>
      </c>
      <c r="K45" s="330">
        <f>MU_plan!Q45</f>
        <v>142246.12496</v>
      </c>
      <c r="L45" s="401"/>
    </row>
    <row r="46" spans="1:12" s="25" customFormat="1" ht="12.75" thickBot="1">
      <c r="A46" s="44" t="s">
        <v>61</v>
      </c>
      <c r="B46" s="45"/>
      <c r="C46" s="45"/>
      <c r="D46" s="45"/>
      <c r="E46" s="168">
        <v>44</v>
      </c>
      <c r="F46" s="219" t="e">
        <f>F29+F34+F38+F43+F44+F45-F4-F27</f>
        <v>#DIV/0!</v>
      </c>
      <c r="G46" s="101" t="e">
        <f>G29+G34+G38+G43+G44+G45-G4-G27</f>
        <v>#DIV/0!</v>
      </c>
      <c r="H46" s="227" t="e">
        <f>H29+H34+H38+H43+H44+H45-H4-H27</f>
        <v>#DIV/0!</v>
      </c>
      <c r="I46" s="227">
        <f>I29+I34+I38+I43+I44+I45-I4-I27</f>
        <v>0</v>
      </c>
      <c r="J46" s="330">
        <f>MU_plan!H46</f>
        <v>31933</v>
      </c>
      <c r="K46" s="330" t="e">
        <f>MU_plan!Q46</f>
        <v>#DIV/0!</v>
      </c>
      <c r="L46" s="401"/>
    </row>
    <row r="47" spans="1:11" ht="13.5" thickBot="1">
      <c r="A47" s="37" t="s">
        <v>62</v>
      </c>
      <c r="B47" s="38"/>
      <c r="C47" s="38"/>
      <c r="D47" s="38"/>
      <c r="E47" s="171">
        <v>45</v>
      </c>
      <c r="F47" s="212" t="e">
        <f aca="true" t="shared" si="4" ref="F47:K47">F28-F3</f>
        <v>#DIV/0!</v>
      </c>
      <c r="G47" s="207" t="e">
        <f t="shared" si="4"/>
        <v>#DIV/0!</v>
      </c>
      <c r="H47" s="172" t="e">
        <f t="shared" si="4"/>
        <v>#DIV/0!</v>
      </c>
      <c r="I47" s="75">
        <f t="shared" si="4"/>
        <v>0</v>
      </c>
      <c r="J47" s="78">
        <f t="shared" si="4"/>
        <v>31449</v>
      </c>
      <c r="K47" s="78">
        <f t="shared" si="4"/>
        <v>71121.65306000039</v>
      </c>
    </row>
    <row r="48" spans="5:12" s="47" customFormat="1" ht="9" customHeight="1">
      <c r="E48" s="48"/>
      <c r="F48" s="25"/>
      <c r="G48" s="25"/>
      <c r="H48" s="228"/>
      <c r="J48" s="59"/>
      <c r="K48" s="59"/>
      <c r="L48" s="401"/>
    </row>
    <row r="49" spans="1:16" s="47" customFormat="1" ht="11.25">
      <c r="A49" s="51" t="s">
        <v>90</v>
      </c>
      <c r="E49" s="48"/>
      <c r="F49" s="59"/>
      <c r="G49" s="59"/>
      <c r="H49" s="155">
        <f>'fak-odhad'!O49+ostatni_odhad!P49</f>
        <v>4.833</v>
      </c>
      <c r="I49" s="59"/>
      <c r="J49" s="233"/>
      <c r="K49" s="233"/>
      <c r="L49" s="401"/>
      <c r="N49" s="59"/>
      <c r="P49" s="59"/>
    </row>
  </sheetData>
  <mergeCells count="2">
    <mergeCell ref="A1:D1"/>
    <mergeCell ref="C2:D2"/>
  </mergeCells>
  <printOptions horizontalCentered="1" verticalCentered="1"/>
  <pageMargins left="0.6692913385826772" right="0.4724409448818898" top="0.4330708661417323" bottom="0.35433070866141736" header="0.1968503937007874" footer="0.2755905511811024"/>
  <pageSetup horizontalDpi="600" verticalDpi="600" orientation="landscape" paperSize="9" scale="8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34"/>
  </sheetPr>
  <dimension ref="A1:Y49"/>
  <sheetViews>
    <sheetView workbookViewId="0" topLeftCell="A1">
      <pane ySplit="3" topLeftCell="BM34" activePane="bottomLeft" state="frozen"/>
      <selection pane="topLeft" activeCell="J50" sqref="J50"/>
      <selection pane="bottomLeft" activeCell="J50" sqref="J50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60" bestFit="1" customWidth="1"/>
    <col min="6" max="7" width="7.25390625" style="59" customWidth="1"/>
    <col min="8" max="9" width="9.125" style="59" customWidth="1"/>
    <col min="10" max="10" width="9.00390625" style="59" customWidth="1"/>
    <col min="11" max="14" width="7.25390625" style="59" customWidth="1"/>
    <col min="15" max="15" width="8.875" style="493" customWidth="1"/>
    <col min="16" max="16" width="5.125" style="0" hidden="1" customWidth="1"/>
    <col min="17" max="17" width="9.125" style="59" customWidth="1"/>
    <col min="18" max="18" width="9.125" style="402" customWidth="1"/>
    <col min="19" max="19" width="7.00390625" style="402" customWidth="1"/>
    <col min="20" max="20" width="6.625" style="402" customWidth="1"/>
  </cols>
  <sheetData>
    <row r="1" spans="1:18" ht="15.75" customHeight="1">
      <c r="A1" s="1046" t="s">
        <v>201</v>
      </c>
      <c r="B1" s="1047"/>
      <c r="C1" s="1047"/>
      <c r="D1" s="1048"/>
      <c r="E1" s="270"/>
      <c r="F1" s="244" t="s">
        <v>97</v>
      </c>
      <c r="G1" s="189" t="s">
        <v>109</v>
      </c>
      <c r="H1" s="189" t="s">
        <v>110</v>
      </c>
      <c r="I1" s="189" t="s">
        <v>111</v>
      </c>
      <c r="J1" s="189" t="s">
        <v>98</v>
      </c>
      <c r="K1" s="189" t="s">
        <v>112</v>
      </c>
      <c r="L1" s="189" t="s">
        <v>113</v>
      </c>
      <c r="M1" s="189" t="s">
        <v>114</v>
      </c>
      <c r="N1" s="189" t="s">
        <v>115</v>
      </c>
      <c r="O1" s="487" t="s">
        <v>152</v>
      </c>
      <c r="P1" s="263" t="s">
        <v>1</v>
      </c>
      <c r="Q1" s="67" t="s">
        <v>0</v>
      </c>
      <c r="R1" s="67" t="s">
        <v>147</v>
      </c>
    </row>
    <row r="2" spans="1:20" s="16" customFormat="1" ht="13.5" thickBot="1">
      <c r="A2" s="298" t="s">
        <v>127</v>
      </c>
      <c r="B2" s="7"/>
      <c r="C2" s="1052" t="s">
        <v>151</v>
      </c>
      <c r="D2" s="1053"/>
      <c r="E2" s="271" t="s">
        <v>5</v>
      </c>
      <c r="F2" s="69">
        <v>11</v>
      </c>
      <c r="G2" s="190">
        <v>21</v>
      </c>
      <c r="H2" s="190">
        <v>22</v>
      </c>
      <c r="I2" s="190">
        <v>23</v>
      </c>
      <c r="J2" s="190">
        <v>31</v>
      </c>
      <c r="K2" s="190">
        <v>33</v>
      </c>
      <c r="L2" s="190">
        <v>41</v>
      </c>
      <c r="M2" s="190">
        <v>51</v>
      </c>
      <c r="N2" s="190">
        <v>56</v>
      </c>
      <c r="O2" s="488">
        <v>2011</v>
      </c>
      <c r="P2" s="264" t="s">
        <v>7</v>
      </c>
      <c r="Q2" s="71">
        <v>2011</v>
      </c>
      <c r="R2" s="480">
        <v>2010</v>
      </c>
      <c r="S2" s="402"/>
      <c r="T2" s="402"/>
    </row>
    <row r="3" spans="1:18" ht="13.5" thickBot="1">
      <c r="A3" s="17" t="s">
        <v>13</v>
      </c>
      <c r="B3" s="18"/>
      <c r="C3" s="18"/>
      <c r="D3" s="18"/>
      <c r="E3" s="272">
        <v>1</v>
      </c>
      <c r="F3" s="207" t="e">
        <f aca="true" t="shared" si="0" ref="F3:R3">SUM(F5:F27)</f>
        <v>#DIV/0!</v>
      </c>
      <c r="G3" s="191" t="e">
        <f t="shared" si="0"/>
        <v>#DIV/0!</v>
      </c>
      <c r="H3" s="191" t="e">
        <f t="shared" si="0"/>
        <v>#DIV/0!</v>
      </c>
      <c r="I3" s="191" t="e">
        <f t="shared" si="0"/>
        <v>#DIV/0!</v>
      </c>
      <c r="J3" s="191" t="e">
        <f t="shared" si="0"/>
        <v>#DIV/0!</v>
      </c>
      <c r="K3" s="191" t="e">
        <f t="shared" si="0"/>
        <v>#DIV/0!</v>
      </c>
      <c r="L3" s="191" t="e">
        <f t="shared" si="0"/>
        <v>#DIV/0!</v>
      </c>
      <c r="M3" s="191" t="e">
        <f t="shared" si="0"/>
        <v>#DIV/0!</v>
      </c>
      <c r="N3" s="191" t="e">
        <f t="shared" si="0"/>
        <v>#DIV/0!</v>
      </c>
      <c r="O3" s="172" t="e">
        <f t="shared" si="0"/>
        <v>#DIV/0!</v>
      </c>
      <c r="P3" s="265">
        <f t="shared" si="0"/>
        <v>0</v>
      </c>
      <c r="Q3" s="78">
        <f t="shared" si="0"/>
        <v>3199942</v>
      </c>
      <c r="R3" s="78">
        <f t="shared" si="0"/>
        <v>3259.8970000000004</v>
      </c>
    </row>
    <row r="4" spans="1:20" s="25" customFormat="1" ht="12">
      <c r="A4" s="21" t="s">
        <v>14</v>
      </c>
      <c r="B4" s="22" t="s">
        <v>15</v>
      </c>
      <c r="C4" s="22"/>
      <c r="D4" s="22"/>
      <c r="E4" s="273">
        <v>2</v>
      </c>
      <c r="F4" s="79" t="e">
        <f aca="true" t="shared" si="1" ref="F4:R4">SUM(F5:F15)</f>
        <v>#DIV/0!</v>
      </c>
      <c r="G4" s="192" t="e">
        <f t="shared" si="1"/>
        <v>#DIV/0!</v>
      </c>
      <c r="H4" s="192" t="e">
        <f t="shared" si="1"/>
        <v>#DIV/0!</v>
      </c>
      <c r="I4" s="192" t="e">
        <f t="shared" si="1"/>
        <v>#DIV/0!</v>
      </c>
      <c r="J4" s="192" t="e">
        <f t="shared" si="1"/>
        <v>#DIV/0!</v>
      </c>
      <c r="K4" s="192" t="e">
        <f t="shared" si="1"/>
        <v>#DIV/0!</v>
      </c>
      <c r="L4" s="192" t="e">
        <f t="shared" si="1"/>
        <v>#DIV/0!</v>
      </c>
      <c r="M4" s="192" t="e">
        <f t="shared" si="1"/>
        <v>#DIV/0!</v>
      </c>
      <c r="N4" s="192" t="e">
        <f t="shared" si="1"/>
        <v>#DIV/0!</v>
      </c>
      <c r="O4" s="223" t="e">
        <f t="shared" si="1"/>
        <v>#DIV/0!</v>
      </c>
      <c r="P4" s="178">
        <f t="shared" si="1"/>
        <v>0</v>
      </c>
      <c r="Q4" s="82">
        <f t="shared" si="1"/>
        <v>1942959</v>
      </c>
      <c r="R4" s="481">
        <f t="shared" si="1"/>
        <v>1996.131</v>
      </c>
      <c r="S4" s="403"/>
      <c r="T4" s="403"/>
    </row>
    <row r="5" spans="1:20" s="65" customFormat="1" ht="12">
      <c r="A5" s="61"/>
      <c r="B5" s="62"/>
      <c r="C5" s="62" t="s">
        <v>16</v>
      </c>
      <c r="D5" s="63" t="s">
        <v>17</v>
      </c>
      <c r="E5" s="274">
        <v>3</v>
      </c>
      <c r="F5" s="497">
        <f>LF!P5/1000</f>
        <v>0</v>
      </c>
      <c r="G5" s="193">
        <f>'FF'!P5/1000</f>
        <v>0</v>
      </c>
      <c r="H5" s="193">
        <f>PrF!P5/1000</f>
        <v>0</v>
      </c>
      <c r="I5" s="193">
        <f>FSS!P5/1000</f>
        <v>0</v>
      </c>
      <c r="J5" s="193">
        <f>PřF!P5/1000</f>
        <v>0</v>
      </c>
      <c r="K5" s="193">
        <f>'FI'!P5/1000</f>
        <v>0</v>
      </c>
      <c r="L5" s="193">
        <f>PdF!P5/1000</f>
        <v>0</v>
      </c>
      <c r="M5" s="193">
        <f>FSpS!P5/1000</f>
        <v>0</v>
      </c>
      <c r="N5" s="498">
        <f>ESF!P5/1000</f>
        <v>0</v>
      </c>
      <c r="O5" s="489">
        <f aca="true" t="shared" si="2" ref="O5:O27">SUM(F5:N5)</f>
        <v>0</v>
      </c>
      <c r="P5" s="266"/>
      <c r="Q5" s="164">
        <f>'fak plan'!Q5</f>
        <v>929258</v>
      </c>
      <c r="R5" s="164">
        <f>'fak-skut.'!R5</f>
        <v>835.9429999999999</v>
      </c>
      <c r="S5" s="404"/>
      <c r="T5" s="404"/>
    </row>
    <row r="6" spans="1:20" s="65" customFormat="1" ht="12">
      <c r="A6" s="61"/>
      <c r="B6" s="62"/>
      <c r="C6" s="62"/>
      <c r="D6" s="63" t="s">
        <v>18</v>
      </c>
      <c r="E6" s="274">
        <v>4</v>
      </c>
      <c r="F6" s="497">
        <f>LF!P6/1000</f>
        <v>0</v>
      </c>
      <c r="G6" s="193">
        <f>'FF'!P6/1000</f>
        <v>0</v>
      </c>
      <c r="H6" s="193">
        <f>PrF!P6/1000</f>
        <v>0</v>
      </c>
      <c r="I6" s="193">
        <f>FSS!P6/1000</f>
        <v>0</v>
      </c>
      <c r="J6" s="193">
        <f>PřF!P6/1000</f>
        <v>0</v>
      </c>
      <c r="K6" s="193">
        <f>'FI'!P6/1000</f>
        <v>0</v>
      </c>
      <c r="L6" s="193">
        <f>PdF!P6/1000</f>
        <v>0</v>
      </c>
      <c r="M6" s="193">
        <f>FSpS!P6/1000</f>
        <v>0</v>
      </c>
      <c r="N6" s="498">
        <f>ESF!P6/1000</f>
        <v>0</v>
      </c>
      <c r="O6" s="489">
        <f t="shared" si="2"/>
        <v>0</v>
      </c>
      <c r="P6" s="266"/>
      <c r="Q6" s="164">
        <f>'fak plan'!Q6</f>
        <v>33109</v>
      </c>
      <c r="R6" s="164">
        <f>'fak-skut.'!R6</f>
        <v>32.249</v>
      </c>
      <c r="S6" s="404"/>
      <c r="T6" s="404"/>
    </row>
    <row r="7" spans="1:20" s="65" customFormat="1" ht="12">
      <c r="A7" s="61"/>
      <c r="B7" s="62"/>
      <c r="C7" s="62"/>
      <c r="D7" s="63" t="s">
        <v>19</v>
      </c>
      <c r="E7" s="274">
        <v>5</v>
      </c>
      <c r="F7" s="497">
        <f>LF!P7/1000</f>
        <v>0</v>
      </c>
      <c r="G7" s="193">
        <f>'FF'!P7/1000</f>
        <v>0</v>
      </c>
      <c r="H7" s="193">
        <f>PrF!P7/1000</f>
        <v>0</v>
      </c>
      <c r="I7" s="193">
        <f>FSS!P7/1000</f>
        <v>0</v>
      </c>
      <c r="J7" s="193">
        <f>PřF!P7/1000</f>
        <v>0</v>
      </c>
      <c r="K7" s="193">
        <f>'FI'!P7/1000</f>
        <v>0</v>
      </c>
      <c r="L7" s="193">
        <f>PdF!P7/1000</f>
        <v>0</v>
      </c>
      <c r="M7" s="193">
        <f>FSpS!P7/1000</f>
        <v>0</v>
      </c>
      <c r="N7" s="498">
        <f>ESF!P7/1000</f>
        <v>0</v>
      </c>
      <c r="O7" s="489">
        <f t="shared" si="2"/>
        <v>0</v>
      </c>
      <c r="P7" s="266"/>
      <c r="Q7" s="164">
        <f>'fak plan'!Q7</f>
        <v>332746</v>
      </c>
      <c r="R7" s="164">
        <f>'fak-skut.'!R7</f>
        <v>300.357</v>
      </c>
      <c r="S7" s="404"/>
      <c r="T7" s="404"/>
    </row>
    <row r="8" spans="1:20" s="65" customFormat="1" ht="12">
      <c r="A8" s="61"/>
      <c r="B8" s="62"/>
      <c r="C8" s="62"/>
      <c r="D8" s="63" t="s">
        <v>20</v>
      </c>
      <c r="E8" s="274">
        <v>6</v>
      </c>
      <c r="F8" s="497" t="e">
        <f>LF!P8/1000</f>
        <v>#DIV/0!</v>
      </c>
      <c r="G8" s="193" t="e">
        <f>'FF'!P8/1000</f>
        <v>#DIV/0!</v>
      </c>
      <c r="H8" s="193" t="e">
        <f>PrF!P8/1000</f>
        <v>#DIV/0!</v>
      </c>
      <c r="I8" s="193" t="e">
        <f>FSS!P8/1000</f>
        <v>#DIV/0!</v>
      </c>
      <c r="J8" s="193" t="e">
        <f>PřF!P8/1000</f>
        <v>#DIV/0!</v>
      </c>
      <c r="K8" s="193" t="e">
        <f>'FI'!P8/1000</f>
        <v>#DIV/0!</v>
      </c>
      <c r="L8" s="193" t="e">
        <f>PdF!P8/1000</f>
        <v>#DIV/0!</v>
      </c>
      <c r="M8" s="193" t="e">
        <f>FSpS!P8/1000</f>
        <v>#DIV/0!</v>
      </c>
      <c r="N8" s="498" t="e">
        <f>ESF!P8/1000</f>
        <v>#DIV/0!</v>
      </c>
      <c r="O8" s="489" t="e">
        <f t="shared" si="2"/>
        <v>#DIV/0!</v>
      </c>
      <c r="P8" s="266"/>
      <c r="Q8" s="164">
        <f>'fak plan'!Q8</f>
        <v>63512</v>
      </c>
      <c r="R8" s="164">
        <f>'fak-skut.'!R8</f>
        <v>88.23700000000001</v>
      </c>
      <c r="S8" s="404"/>
      <c r="T8" s="404"/>
    </row>
    <row r="9" spans="1:20" s="65" customFormat="1" ht="12">
      <c r="A9" s="61"/>
      <c r="B9" s="62"/>
      <c r="C9" s="62"/>
      <c r="D9" s="63" t="s">
        <v>21</v>
      </c>
      <c r="E9" s="274">
        <v>7</v>
      </c>
      <c r="F9" s="497" t="e">
        <f>LF!P9/1000</f>
        <v>#DIV/0!</v>
      </c>
      <c r="G9" s="193" t="e">
        <f>'FF'!P9/1000</f>
        <v>#DIV/0!</v>
      </c>
      <c r="H9" s="193" t="e">
        <f>PrF!P9/1000</f>
        <v>#DIV/0!</v>
      </c>
      <c r="I9" s="193" t="e">
        <f>FSS!P9/1000</f>
        <v>#DIV/0!</v>
      </c>
      <c r="J9" s="193" t="e">
        <f>PřF!P9/1000</f>
        <v>#DIV/0!</v>
      </c>
      <c r="K9" s="193" t="e">
        <f>'FI'!P9/1000</f>
        <v>#DIV/0!</v>
      </c>
      <c r="L9" s="193" t="e">
        <f>PdF!P9/1000</f>
        <v>#DIV/0!</v>
      </c>
      <c r="M9" s="193" t="e">
        <f>FSpS!P9/1000</f>
        <v>#DIV/0!</v>
      </c>
      <c r="N9" s="498" t="e">
        <f>ESF!P9/1000</f>
        <v>#DIV/0!</v>
      </c>
      <c r="O9" s="489" t="e">
        <f t="shared" si="2"/>
        <v>#DIV/0!</v>
      </c>
      <c r="P9" s="266"/>
      <c r="Q9" s="164">
        <f>'fak plan'!Q9</f>
        <v>26583</v>
      </c>
      <c r="R9" s="164">
        <f>'fak-skut.'!R9</f>
        <v>29.346</v>
      </c>
      <c r="S9" s="404"/>
      <c r="T9" s="404"/>
    </row>
    <row r="10" spans="1:20" s="65" customFormat="1" ht="12">
      <c r="A10" s="61"/>
      <c r="B10" s="62"/>
      <c r="C10" s="62"/>
      <c r="D10" s="63" t="s">
        <v>22</v>
      </c>
      <c r="E10" s="274">
        <v>8</v>
      </c>
      <c r="F10" s="497" t="e">
        <f>LF!P10/1000</f>
        <v>#DIV/0!</v>
      </c>
      <c r="G10" s="193" t="e">
        <f>'FF'!P10/1000</f>
        <v>#DIV/0!</v>
      </c>
      <c r="H10" s="193" t="e">
        <f>PrF!P10/1000</f>
        <v>#DIV/0!</v>
      </c>
      <c r="I10" s="193" t="e">
        <f>FSS!P10/1000</f>
        <v>#DIV/0!</v>
      </c>
      <c r="J10" s="193" t="e">
        <f>PřF!P10/1000</f>
        <v>#DIV/0!</v>
      </c>
      <c r="K10" s="193" t="e">
        <f>'FI'!P10/1000</f>
        <v>#DIV/0!</v>
      </c>
      <c r="L10" s="193" t="e">
        <f>PdF!P10/1000</f>
        <v>#DIV/0!</v>
      </c>
      <c r="M10" s="193" t="e">
        <f>FSpS!P10/1000</f>
        <v>#DIV/0!</v>
      </c>
      <c r="N10" s="498" t="e">
        <f>ESF!P10/1000</f>
        <v>#DIV/0!</v>
      </c>
      <c r="O10" s="489" t="e">
        <f t="shared" si="2"/>
        <v>#DIV/0!</v>
      </c>
      <c r="P10" s="266"/>
      <c r="Q10" s="164">
        <f>'fak plan'!Q10</f>
        <v>67691</v>
      </c>
      <c r="R10" s="164">
        <f>'fak-skut.'!R10</f>
        <v>68.40399999999998</v>
      </c>
      <c r="S10" s="404"/>
      <c r="T10" s="404"/>
    </row>
    <row r="11" spans="1:20" s="65" customFormat="1" ht="12">
      <c r="A11" s="61"/>
      <c r="B11" s="62"/>
      <c r="C11" s="62"/>
      <c r="D11" s="63" t="s">
        <v>23</v>
      </c>
      <c r="E11" s="274">
        <v>9</v>
      </c>
      <c r="F11" s="497" t="e">
        <f>LF!P11/1000</f>
        <v>#DIV/0!</v>
      </c>
      <c r="G11" s="193" t="e">
        <f>'FF'!P11/1000</f>
        <v>#DIV/0!</v>
      </c>
      <c r="H11" s="193" t="e">
        <f>PrF!P11/1000</f>
        <v>#DIV/0!</v>
      </c>
      <c r="I11" s="193" t="e">
        <f>FSS!P11/1000</f>
        <v>#DIV/0!</v>
      </c>
      <c r="J11" s="193" t="e">
        <f>PřF!P11/1000</f>
        <v>#DIV/0!</v>
      </c>
      <c r="K11" s="193" t="e">
        <f>'FI'!P11/1000</f>
        <v>#DIV/0!</v>
      </c>
      <c r="L11" s="193" t="e">
        <f>PdF!P11/1000</f>
        <v>#DIV/0!</v>
      </c>
      <c r="M11" s="193" t="e">
        <f>FSpS!P11/1000</f>
        <v>#DIV/0!</v>
      </c>
      <c r="N11" s="498" t="e">
        <f>ESF!P11/1000</f>
        <v>#DIV/0!</v>
      </c>
      <c r="O11" s="489" t="e">
        <f t="shared" si="2"/>
        <v>#DIV/0!</v>
      </c>
      <c r="P11" s="266"/>
      <c r="Q11" s="164">
        <f>'fak plan'!Q11</f>
        <v>96816</v>
      </c>
      <c r="R11" s="164">
        <f>'fak-skut.'!R11</f>
        <v>111.068</v>
      </c>
      <c r="S11" s="404"/>
      <c r="T11" s="404"/>
    </row>
    <row r="12" spans="1:20" s="65" customFormat="1" ht="12">
      <c r="A12" s="61"/>
      <c r="B12" s="62"/>
      <c r="C12" s="62"/>
      <c r="D12" s="63" t="s">
        <v>24</v>
      </c>
      <c r="E12" s="274">
        <v>10</v>
      </c>
      <c r="F12" s="497" t="e">
        <f>LF!P12/1000</f>
        <v>#DIV/0!</v>
      </c>
      <c r="G12" s="193" t="e">
        <f>'FF'!P12/1000</f>
        <v>#DIV/0!</v>
      </c>
      <c r="H12" s="193" t="e">
        <f>PrF!P12/1000</f>
        <v>#DIV/0!</v>
      </c>
      <c r="I12" s="193" t="e">
        <f>FSS!P12/1000</f>
        <v>#DIV/0!</v>
      </c>
      <c r="J12" s="193" t="e">
        <f>PřF!P12/1000</f>
        <v>#DIV/0!</v>
      </c>
      <c r="K12" s="193" t="e">
        <f>'FI'!P12/1000</f>
        <v>#DIV/0!</v>
      </c>
      <c r="L12" s="193" t="e">
        <f>PdF!P12/1000</f>
        <v>#DIV/0!</v>
      </c>
      <c r="M12" s="193" t="e">
        <f>FSpS!P12/1000</f>
        <v>#DIV/0!</v>
      </c>
      <c r="N12" s="498" t="e">
        <f>ESF!P12/1000</f>
        <v>#DIV/0!</v>
      </c>
      <c r="O12" s="489" t="e">
        <f t="shared" si="2"/>
        <v>#DIV/0!</v>
      </c>
      <c r="P12" s="266"/>
      <c r="Q12" s="164">
        <f>'fak plan'!Q12</f>
        <v>11041</v>
      </c>
      <c r="R12" s="164">
        <f>'fak-skut.'!R12</f>
        <v>9.826</v>
      </c>
      <c r="S12" s="404"/>
      <c r="T12" s="404"/>
    </row>
    <row r="13" spans="1:20" s="65" customFormat="1" ht="12">
      <c r="A13" s="61"/>
      <c r="B13" s="62"/>
      <c r="C13" s="62"/>
      <c r="D13" s="63" t="s">
        <v>25</v>
      </c>
      <c r="E13" s="274">
        <v>11</v>
      </c>
      <c r="F13" s="497">
        <f>LF!P13/1000</f>
        <v>0</v>
      </c>
      <c r="G13" s="193">
        <f>'FF'!P13/1000</f>
        <v>0</v>
      </c>
      <c r="H13" s="193">
        <f>PrF!P13/1000</f>
        <v>0</v>
      </c>
      <c r="I13" s="193">
        <f>FSS!P13/1000</f>
        <v>0</v>
      </c>
      <c r="J13" s="193">
        <f>PřF!P13/1000</f>
        <v>0</v>
      </c>
      <c r="K13" s="193">
        <f>'FI'!P13/1000</f>
        <v>0</v>
      </c>
      <c r="L13" s="193">
        <f>PdF!P13/1000</f>
        <v>0</v>
      </c>
      <c r="M13" s="193">
        <f>FSpS!P13/1000</f>
        <v>0</v>
      </c>
      <c r="N13" s="498">
        <f>ESF!P13/1000</f>
        <v>0</v>
      </c>
      <c r="O13" s="489">
        <f t="shared" si="2"/>
        <v>0</v>
      </c>
      <c r="P13" s="266"/>
      <c r="Q13" s="164">
        <f>'fak plan'!Q13</f>
        <v>203159</v>
      </c>
      <c r="R13" s="164">
        <f>'fak-skut.'!R13</f>
        <v>205.78400000000002</v>
      </c>
      <c r="S13" s="404"/>
      <c r="T13" s="404"/>
    </row>
    <row r="14" spans="1:20" s="65" customFormat="1" ht="12">
      <c r="A14" s="61"/>
      <c r="B14" s="62"/>
      <c r="C14" s="62"/>
      <c r="D14" s="63" t="s">
        <v>26</v>
      </c>
      <c r="E14" s="274">
        <v>12</v>
      </c>
      <c r="F14" s="497" t="e">
        <f>LF!P14/1000</f>
        <v>#DIV/0!</v>
      </c>
      <c r="G14" s="193" t="e">
        <f>'FF'!P14/1000</f>
        <v>#DIV/0!</v>
      </c>
      <c r="H14" s="193" t="e">
        <f>PrF!P14/1000</f>
        <v>#DIV/0!</v>
      </c>
      <c r="I14" s="193" t="e">
        <f>FSS!P14/1000</f>
        <v>#DIV/0!</v>
      </c>
      <c r="J14" s="193" t="e">
        <f>PřF!P14/1000</f>
        <v>#DIV/0!</v>
      </c>
      <c r="K14" s="193" t="e">
        <f>'FI'!P14/1000</f>
        <v>#DIV/0!</v>
      </c>
      <c r="L14" s="193" t="e">
        <f>PdF!P14/1000</f>
        <v>#DIV/0!</v>
      </c>
      <c r="M14" s="193" t="e">
        <f>FSpS!P14/1000</f>
        <v>#DIV/0!</v>
      </c>
      <c r="N14" s="498" t="e">
        <f>ESF!P14/1000</f>
        <v>#DIV/0!</v>
      </c>
      <c r="O14" s="489" t="e">
        <f t="shared" si="2"/>
        <v>#DIV/0!</v>
      </c>
      <c r="P14" s="266"/>
      <c r="Q14" s="164">
        <f>'fak plan'!Q14</f>
        <v>4426</v>
      </c>
      <c r="R14" s="164">
        <f>'fak-skut.'!R14</f>
        <v>48.567</v>
      </c>
      <c r="S14" s="404"/>
      <c r="T14" s="404"/>
    </row>
    <row r="15" spans="1:20" s="65" customFormat="1" ht="12">
      <c r="A15" s="61"/>
      <c r="B15" s="62"/>
      <c r="C15" s="63"/>
      <c r="D15" s="63" t="s">
        <v>27</v>
      </c>
      <c r="E15" s="274">
        <v>13</v>
      </c>
      <c r="F15" s="497" t="e">
        <f>LF!P15/1000</f>
        <v>#DIV/0!</v>
      </c>
      <c r="G15" s="193" t="e">
        <f>'FF'!P15/1000</f>
        <v>#DIV/0!</v>
      </c>
      <c r="H15" s="193" t="e">
        <f>PrF!P15/1000</f>
        <v>#DIV/0!</v>
      </c>
      <c r="I15" s="193" t="e">
        <f>FSS!P15/1000</f>
        <v>#DIV/0!</v>
      </c>
      <c r="J15" s="193" t="e">
        <f>PřF!P15/1000</f>
        <v>#DIV/0!</v>
      </c>
      <c r="K15" s="193" t="e">
        <f>'FI'!P15/1000</f>
        <v>#DIV/0!</v>
      </c>
      <c r="L15" s="193" t="e">
        <f>PdF!P15/1000</f>
        <v>#DIV/0!</v>
      </c>
      <c r="M15" s="193" t="e">
        <f>FSpS!P15/1000</f>
        <v>#DIV/0!</v>
      </c>
      <c r="N15" s="498" t="e">
        <f>ESF!P15/1000</f>
        <v>#DIV/0!</v>
      </c>
      <c r="O15" s="489" t="e">
        <f t="shared" si="2"/>
        <v>#DIV/0!</v>
      </c>
      <c r="P15" s="266"/>
      <c r="Q15" s="164">
        <f>'fak plan'!Q15</f>
        <v>174618</v>
      </c>
      <c r="R15" s="164">
        <f>'fak-skut.'!R15</f>
        <v>266.34999999999997</v>
      </c>
      <c r="S15" s="404"/>
      <c r="T15" s="404"/>
    </row>
    <row r="16" spans="1:20" s="25" customFormat="1" ht="12">
      <c r="A16" s="21"/>
      <c r="B16" s="30" t="s">
        <v>28</v>
      </c>
      <c r="C16" s="27"/>
      <c r="D16" s="27"/>
      <c r="E16" s="275">
        <v>14</v>
      </c>
      <c r="F16" s="499">
        <f>LF!P16/1000</f>
        <v>0</v>
      </c>
      <c r="G16" s="151">
        <f>'FF'!P16/1000</f>
        <v>0</v>
      </c>
      <c r="H16" s="151">
        <f>PrF!P16/1000</f>
        <v>0</v>
      </c>
      <c r="I16" s="151">
        <f>FSS!P16/1000</f>
        <v>0</v>
      </c>
      <c r="J16" s="151">
        <f>PřF!P16/1000</f>
        <v>0</v>
      </c>
      <c r="K16" s="151">
        <f>'FI'!P16/1000</f>
        <v>0</v>
      </c>
      <c r="L16" s="151">
        <f>PdF!P16/1000</f>
        <v>0</v>
      </c>
      <c r="M16" s="151">
        <f>FSpS!P16/1000</f>
        <v>0</v>
      </c>
      <c r="N16" s="501">
        <f>ESF!P16/1000</f>
        <v>0</v>
      </c>
      <c r="O16" s="490">
        <f t="shared" si="2"/>
        <v>0</v>
      </c>
      <c r="P16" s="502"/>
      <c r="Q16" s="164">
        <f>'fak plan'!Q16</f>
        <v>151646</v>
      </c>
      <c r="R16" s="164">
        <f>'fak-skut.'!R16</f>
        <v>146.629</v>
      </c>
      <c r="S16" s="403"/>
      <c r="T16" s="403"/>
    </row>
    <row r="17" spans="1:20" s="25" customFormat="1" ht="12">
      <c r="A17" s="21"/>
      <c r="B17" s="30" t="s">
        <v>30</v>
      </c>
      <c r="C17" s="27"/>
      <c r="D17" s="27"/>
      <c r="E17" s="275">
        <v>15</v>
      </c>
      <c r="F17" s="499">
        <f>LF!P17/1000</f>
        <v>0</v>
      </c>
      <c r="G17" s="151">
        <f>'FF'!P17/1000</f>
        <v>0</v>
      </c>
      <c r="H17" s="151">
        <f>PrF!P17/1000</f>
        <v>0</v>
      </c>
      <c r="I17" s="151">
        <f>FSS!P17/1000</f>
        <v>0</v>
      </c>
      <c r="J17" s="151">
        <f>PřF!P17/1000</f>
        <v>0</v>
      </c>
      <c r="K17" s="151">
        <f>'FI'!P17/1000</f>
        <v>0</v>
      </c>
      <c r="L17" s="151">
        <f>PdF!P17/1000</f>
        <v>0</v>
      </c>
      <c r="M17" s="151">
        <f>FSpS!P17/1000</f>
        <v>0</v>
      </c>
      <c r="N17" s="501">
        <f>ESF!P17/1000</f>
        <v>0</v>
      </c>
      <c r="O17" s="490">
        <f t="shared" si="2"/>
        <v>0</v>
      </c>
      <c r="P17" s="502"/>
      <c r="Q17" s="164">
        <f>'fak plan'!Q17</f>
        <v>7925</v>
      </c>
      <c r="R17" s="164">
        <f>'fak-skut.'!R17</f>
        <v>9.345</v>
      </c>
      <c r="S17" s="403"/>
      <c r="T17" s="403"/>
    </row>
    <row r="18" spans="1:20" s="25" customFormat="1" ht="12">
      <c r="A18" s="21"/>
      <c r="B18" s="31" t="s">
        <v>32</v>
      </c>
      <c r="C18" s="32"/>
      <c r="D18" s="32"/>
      <c r="E18" s="276">
        <v>16</v>
      </c>
      <c r="F18" s="499">
        <f>LF!P18/1000</f>
        <v>0</v>
      </c>
      <c r="G18" s="151">
        <f>'FF'!P18/1000</f>
        <v>0</v>
      </c>
      <c r="H18" s="151">
        <f>PrF!P18/1000</f>
        <v>0</v>
      </c>
      <c r="I18" s="151">
        <f>FSS!P18/1000</f>
        <v>0</v>
      </c>
      <c r="J18" s="151">
        <f>PřF!P18/1000</f>
        <v>0</v>
      </c>
      <c r="K18" s="151">
        <f>'FI'!P18/1000</f>
        <v>0</v>
      </c>
      <c r="L18" s="151">
        <f>PdF!P18/1000</f>
        <v>0</v>
      </c>
      <c r="M18" s="151">
        <f>FSpS!P18/1000</f>
        <v>0</v>
      </c>
      <c r="N18" s="501">
        <f>ESF!P18/1000</f>
        <v>0</v>
      </c>
      <c r="O18" s="490">
        <f t="shared" si="2"/>
        <v>0</v>
      </c>
      <c r="P18" s="502"/>
      <c r="Q18" s="164">
        <f>'fak plan'!Q18</f>
        <v>22219</v>
      </c>
      <c r="R18" s="164">
        <f>'fak-skut.'!R18</f>
        <v>52.00300000000001</v>
      </c>
      <c r="S18" s="403"/>
      <c r="T18" s="403"/>
    </row>
    <row r="19" spans="1:20" s="25" customFormat="1" ht="12">
      <c r="A19" s="21"/>
      <c r="B19" s="31" t="s">
        <v>34</v>
      </c>
      <c r="C19" s="32"/>
      <c r="D19" s="32"/>
      <c r="E19" s="276">
        <v>17</v>
      </c>
      <c r="F19" s="499">
        <f>LF!P19/1000</f>
        <v>0</v>
      </c>
      <c r="G19" s="151">
        <f>'FF'!P19/1000</f>
        <v>0</v>
      </c>
      <c r="H19" s="151">
        <f>PrF!P19/1000</f>
        <v>0</v>
      </c>
      <c r="I19" s="151">
        <f>FSS!P19/1000</f>
        <v>0</v>
      </c>
      <c r="J19" s="151">
        <f>PřF!P19/1000</f>
        <v>0</v>
      </c>
      <c r="K19" s="151">
        <f>'FI'!P19/1000</f>
        <v>0</v>
      </c>
      <c r="L19" s="151">
        <f>PdF!P19/1000</f>
        <v>0</v>
      </c>
      <c r="M19" s="151">
        <f>FSpS!P19/1000</f>
        <v>0</v>
      </c>
      <c r="N19" s="501">
        <f>ESF!P19/1000</f>
        <v>0</v>
      </c>
      <c r="O19" s="490">
        <f t="shared" si="2"/>
        <v>0</v>
      </c>
      <c r="P19" s="502"/>
      <c r="Q19" s="164">
        <f>'fak plan'!Q19</f>
        <v>7314</v>
      </c>
      <c r="R19" s="164">
        <f>'fak-skut.'!R19</f>
        <v>6.818</v>
      </c>
      <c r="S19" s="403"/>
      <c r="T19" s="403"/>
    </row>
    <row r="20" spans="1:20" s="25" customFormat="1" ht="12">
      <c r="A20" s="21"/>
      <c r="B20" s="31" t="s">
        <v>36</v>
      </c>
      <c r="C20" s="31"/>
      <c r="D20" s="31"/>
      <c r="E20" s="276">
        <v>18</v>
      </c>
      <c r="F20" s="499">
        <f>LF!P20/1000</f>
        <v>0</v>
      </c>
      <c r="G20" s="151">
        <f>'FF'!P20/1000</f>
        <v>0</v>
      </c>
      <c r="H20" s="151">
        <f>PrF!P20/1000</f>
        <v>0</v>
      </c>
      <c r="I20" s="151">
        <f>FSS!P20/1000</f>
        <v>0</v>
      </c>
      <c r="J20" s="151">
        <f>PřF!P20/1000</f>
        <v>0</v>
      </c>
      <c r="K20" s="151">
        <f>'FI'!P20/1000</f>
        <v>0</v>
      </c>
      <c r="L20" s="151">
        <f>PdF!P20/1000</f>
        <v>3</v>
      </c>
      <c r="M20" s="151">
        <f>FSpS!P20/1000</f>
        <v>0</v>
      </c>
      <c r="N20" s="501">
        <f>ESF!P20/1000</f>
        <v>0</v>
      </c>
      <c r="O20" s="490">
        <f t="shared" si="2"/>
        <v>3</v>
      </c>
      <c r="P20" s="502"/>
      <c r="Q20" s="164">
        <f>'fak plan'!Q20</f>
        <v>19350</v>
      </c>
      <c r="R20" s="164">
        <f>'fak-skut.'!R20</f>
        <v>20.332</v>
      </c>
      <c r="S20" s="403"/>
      <c r="T20" s="403"/>
    </row>
    <row r="21" spans="1:20" s="25" customFormat="1" ht="12">
      <c r="A21" s="21"/>
      <c r="B21" s="31" t="s">
        <v>38</v>
      </c>
      <c r="C21" s="31"/>
      <c r="D21" s="31"/>
      <c r="E21" s="276">
        <v>19</v>
      </c>
      <c r="F21" s="499">
        <f>LF!P21/1000</f>
        <v>0</v>
      </c>
      <c r="G21" s="151">
        <f>'FF'!P21/1000</f>
        <v>0</v>
      </c>
      <c r="H21" s="151">
        <f>PrF!P21/1000</f>
        <v>0</v>
      </c>
      <c r="I21" s="151">
        <f>FSS!P21/1000</f>
        <v>0</v>
      </c>
      <c r="J21" s="151">
        <f>PřF!P21/1000</f>
        <v>0</v>
      </c>
      <c r="K21" s="151">
        <f>'FI'!P21/1000</f>
        <v>0</v>
      </c>
      <c r="L21" s="151">
        <f>PdF!P21/1000</f>
        <v>0</v>
      </c>
      <c r="M21" s="151">
        <f>FSpS!P21/1000</f>
        <v>0</v>
      </c>
      <c r="N21" s="501">
        <f>ESF!P21/1000</f>
        <v>0</v>
      </c>
      <c r="O21" s="490">
        <f t="shared" si="2"/>
        <v>0</v>
      </c>
      <c r="P21" s="502"/>
      <c r="Q21" s="164">
        <f>'fak plan'!Q21</f>
        <v>230157</v>
      </c>
      <c r="R21" s="164">
        <f>'fak-skut.'!R21</f>
        <v>126.43900000000001</v>
      </c>
      <c r="S21" s="403"/>
      <c r="T21" s="403"/>
    </row>
    <row r="22" spans="1:20" s="25" customFormat="1" ht="12">
      <c r="A22" s="21"/>
      <c r="B22" s="31" t="s">
        <v>40</v>
      </c>
      <c r="C22" s="31"/>
      <c r="D22" s="31"/>
      <c r="E22" s="276">
        <v>20</v>
      </c>
      <c r="F22" s="499">
        <f>LF!P22/1000</f>
        <v>0</v>
      </c>
      <c r="G22" s="151">
        <f>'FF'!P22/1000</f>
        <v>0</v>
      </c>
      <c r="H22" s="151">
        <f>PrF!P22/1000</f>
        <v>0</v>
      </c>
      <c r="I22" s="151">
        <f>FSS!P22/1000</f>
        <v>0</v>
      </c>
      <c r="J22" s="151">
        <f>PřF!P22/1000</f>
        <v>0</v>
      </c>
      <c r="K22" s="151">
        <f>'FI'!P22/1000</f>
        <v>0</v>
      </c>
      <c r="L22" s="151">
        <f>PdF!P22/1000</f>
        <v>0</v>
      </c>
      <c r="M22" s="151">
        <f>FSpS!P22/1000</f>
        <v>0</v>
      </c>
      <c r="N22" s="501">
        <f>ESF!P22/1000</f>
        <v>0</v>
      </c>
      <c r="O22" s="490">
        <f t="shared" si="2"/>
        <v>0</v>
      </c>
      <c r="P22" s="502"/>
      <c r="Q22" s="164">
        <f>'fak plan'!Q22</f>
        <v>20875</v>
      </c>
      <c r="R22" s="164">
        <f>'fak-skut.'!R22</f>
        <v>34.26</v>
      </c>
      <c r="S22" s="403"/>
      <c r="T22" s="403"/>
    </row>
    <row r="23" spans="1:20" s="25" customFormat="1" ht="12">
      <c r="A23" s="21"/>
      <c r="B23" s="31" t="s">
        <v>42</v>
      </c>
      <c r="C23" s="31"/>
      <c r="D23" s="31"/>
      <c r="E23" s="276">
        <v>21</v>
      </c>
      <c r="F23" s="499">
        <f>LF!P23/1000</f>
        <v>0</v>
      </c>
      <c r="G23" s="151">
        <f>'FF'!P23/1000</f>
        <v>0</v>
      </c>
      <c r="H23" s="151">
        <f>PrF!P23/1000</f>
        <v>0</v>
      </c>
      <c r="I23" s="151">
        <f>FSS!P23/1000</f>
        <v>0</v>
      </c>
      <c r="J23" s="151">
        <f>PřF!P23/1000</f>
        <v>0</v>
      </c>
      <c r="K23" s="151">
        <f>'FI'!P23/1000</f>
        <v>0</v>
      </c>
      <c r="L23" s="151">
        <f>PdF!P23/1000</f>
        <v>0</v>
      </c>
      <c r="M23" s="151">
        <f>FSpS!P23/1000</f>
        <v>0</v>
      </c>
      <c r="N23" s="501">
        <f>ESF!P23/1000</f>
        <v>0</v>
      </c>
      <c r="O23" s="490">
        <f t="shared" si="2"/>
        <v>0</v>
      </c>
      <c r="P23" s="502"/>
      <c r="Q23" s="164">
        <f>'fak plan'!Q23</f>
        <v>127272</v>
      </c>
      <c r="R23" s="164">
        <f>'fak-skut.'!R23</f>
        <v>242.52599999999998</v>
      </c>
      <c r="S23" s="403"/>
      <c r="T23" s="403"/>
    </row>
    <row r="24" spans="1:20" s="25" customFormat="1" ht="12">
      <c r="A24" s="21"/>
      <c r="B24" s="31" t="s">
        <v>43</v>
      </c>
      <c r="C24" s="31"/>
      <c r="D24" s="31"/>
      <c r="E24" s="276">
        <v>22</v>
      </c>
      <c r="F24" s="499">
        <f>LF!P24/1000</f>
        <v>0</v>
      </c>
      <c r="G24" s="151">
        <f>'FF'!P24/1000</f>
        <v>0</v>
      </c>
      <c r="H24" s="151">
        <f>PrF!P24/1000</f>
        <v>0</v>
      </c>
      <c r="I24" s="151">
        <f>FSS!P24/1000</f>
        <v>0</v>
      </c>
      <c r="J24" s="151">
        <f>PřF!P24/1000</f>
        <v>0</v>
      </c>
      <c r="K24" s="151">
        <f>'FI'!P24/1000</f>
        <v>0</v>
      </c>
      <c r="L24" s="151">
        <f>PdF!P24/1000</f>
        <v>0</v>
      </c>
      <c r="M24" s="151">
        <f>FSpS!P24/1000</f>
        <v>0</v>
      </c>
      <c r="N24" s="501">
        <f>ESF!P24/1000</f>
        <v>0</v>
      </c>
      <c r="O24" s="490">
        <f t="shared" si="2"/>
        <v>0</v>
      </c>
      <c r="P24" s="502"/>
      <c r="Q24" s="164">
        <f>'fak plan'!Q24</f>
        <v>494902</v>
      </c>
      <c r="R24" s="164">
        <f>'fak-skut.'!R24</f>
        <v>466.03200000000004</v>
      </c>
      <c r="S24" s="403"/>
      <c r="T24" s="403"/>
    </row>
    <row r="25" spans="1:20" s="25" customFormat="1" ht="12">
      <c r="A25" s="21"/>
      <c r="B25" s="31" t="s">
        <v>186</v>
      </c>
      <c r="C25" s="31"/>
      <c r="D25" s="31"/>
      <c r="E25" s="276">
        <v>23</v>
      </c>
      <c r="F25" s="499">
        <f>LF!P25/1000</f>
        <v>0.772</v>
      </c>
      <c r="G25" s="151">
        <f>'FF'!P25/1000</f>
        <v>0</v>
      </c>
      <c r="H25" s="151">
        <f>PrF!P25/1000</f>
        <v>0</v>
      </c>
      <c r="I25" s="151">
        <f>FSS!P25/1000</f>
        <v>0</v>
      </c>
      <c r="J25" s="151">
        <f>PřF!P25/1000</f>
        <v>0</v>
      </c>
      <c r="K25" s="151">
        <f>'FI'!P25/1000</f>
        <v>0.749</v>
      </c>
      <c r="L25" s="151">
        <f>PdF!P25/1000</f>
        <v>2</v>
      </c>
      <c r="M25" s="151">
        <f>FSpS!P25/1000</f>
        <v>2.641</v>
      </c>
      <c r="N25" s="501">
        <f>ESF!P25/1000</f>
        <v>0</v>
      </c>
      <c r="O25" s="490">
        <f t="shared" si="2"/>
        <v>6.162</v>
      </c>
      <c r="P25" s="502"/>
      <c r="Q25" s="164">
        <f>'fak plan'!Q25</f>
        <v>83226</v>
      </c>
      <c r="R25" s="164">
        <f>'fak-skut.'!R25</f>
        <v>62.079</v>
      </c>
      <c r="S25" s="403"/>
      <c r="T25" s="403"/>
    </row>
    <row r="26" spans="1:20" s="25" customFormat="1" ht="12">
      <c r="A26" s="21"/>
      <c r="B26" s="31" t="s">
        <v>45</v>
      </c>
      <c r="C26" s="31"/>
      <c r="D26" s="31"/>
      <c r="E26" s="276">
        <v>24</v>
      </c>
      <c r="F26" s="499">
        <f>LF!P26/1000</f>
        <v>0</v>
      </c>
      <c r="G26" s="151">
        <f>'FF'!P26/1000</f>
        <v>0</v>
      </c>
      <c r="H26" s="151">
        <f>PrF!P26/1000</f>
        <v>0</v>
      </c>
      <c r="I26" s="151">
        <f>FSS!P26/1000</f>
        <v>0</v>
      </c>
      <c r="J26" s="151">
        <f>PřF!P26/1000</f>
        <v>0</v>
      </c>
      <c r="K26" s="151">
        <f>'FI'!P26/1000</f>
        <v>0</v>
      </c>
      <c r="L26" s="151">
        <f>PdF!P26/1000</f>
        <v>0</v>
      </c>
      <c r="M26" s="151">
        <f>FSpS!P26/1000</f>
        <v>0</v>
      </c>
      <c r="N26" s="501">
        <f>ESF!P26/1000</f>
        <v>0.069</v>
      </c>
      <c r="O26" s="490">
        <f t="shared" si="2"/>
        <v>0.069</v>
      </c>
      <c r="P26" s="502"/>
      <c r="Q26" s="164">
        <f>'fak plan'!Q26</f>
        <v>56286</v>
      </c>
      <c r="R26" s="164">
        <f>'fak-skut.'!R26</f>
        <v>59.477000000000004</v>
      </c>
      <c r="S26" s="403"/>
      <c r="T26" s="403"/>
    </row>
    <row r="27" spans="1:20" s="25" customFormat="1" ht="12.75" thickBot="1">
      <c r="A27" s="21"/>
      <c r="B27" s="30" t="s">
        <v>47</v>
      </c>
      <c r="C27" s="30"/>
      <c r="D27" s="30"/>
      <c r="E27" s="275">
        <v>25</v>
      </c>
      <c r="F27" s="499" t="e">
        <f>LF!P27/1000</f>
        <v>#DIV/0!</v>
      </c>
      <c r="G27" s="151" t="e">
        <f>'FF'!P27/1000</f>
        <v>#DIV/0!</v>
      </c>
      <c r="H27" s="151" t="e">
        <f>PrF!P27/1000</f>
        <v>#DIV/0!</v>
      </c>
      <c r="I27" s="151" t="e">
        <f>FSS!P27/1000</f>
        <v>#DIV/0!</v>
      </c>
      <c r="J27" s="151" t="e">
        <f>PřF!P27/1000</f>
        <v>#DIV/0!</v>
      </c>
      <c r="K27" s="151" t="e">
        <f>'FI'!P27/1000</f>
        <v>#DIV/0!</v>
      </c>
      <c r="L27" s="151" t="e">
        <f>PdF!P27/1000</f>
        <v>#DIV/0!</v>
      </c>
      <c r="M27" s="151" t="e">
        <f>FSpS!P27/1000</f>
        <v>#DIV/0!</v>
      </c>
      <c r="N27" s="501" t="e">
        <f>ESF!P27/1000</f>
        <v>#DIV/0!</v>
      </c>
      <c r="O27" s="490" t="e">
        <f t="shared" si="2"/>
        <v>#DIV/0!</v>
      </c>
      <c r="P27" s="502"/>
      <c r="Q27" s="164">
        <f>'fak plan'!Q27</f>
        <v>35811</v>
      </c>
      <c r="R27" s="164">
        <f>'fak-skut.'!R27</f>
        <v>37.826</v>
      </c>
      <c r="S27" s="403"/>
      <c r="T27" s="403"/>
    </row>
    <row r="28" spans="1:25" ht="13.5" thickBot="1">
      <c r="A28" s="37" t="s">
        <v>49</v>
      </c>
      <c r="B28" s="38"/>
      <c r="C28" s="38"/>
      <c r="D28" s="38"/>
      <c r="E28" s="272">
        <v>26</v>
      </c>
      <c r="F28" s="194" t="e">
        <f aca="true" t="shared" si="3" ref="F28:R28">SUM(F29:F45)</f>
        <v>#DIV/0!</v>
      </c>
      <c r="G28" s="194" t="e">
        <f t="shared" si="3"/>
        <v>#DIV/0!</v>
      </c>
      <c r="H28" s="194" t="e">
        <f t="shared" si="3"/>
        <v>#DIV/0!</v>
      </c>
      <c r="I28" s="194" t="e">
        <f t="shared" si="3"/>
        <v>#DIV/0!</v>
      </c>
      <c r="J28" s="194" t="e">
        <f t="shared" si="3"/>
        <v>#DIV/0!</v>
      </c>
      <c r="K28" s="194" t="e">
        <f t="shared" si="3"/>
        <v>#DIV/0!</v>
      </c>
      <c r="L28" s="194" t="e">
        <f t="shared" si="3"/>
        <v>#DIV/0!</v>
      </c>
      <c r="M28" s="194" t="e">
        <f t="shared" si="3"/>
        <v>#DIV/0!</v>
      </c>
      <c r="N28" s="194" t="e">
        <f t="shared" si="3"/>
        <v>#DIV/0!</v>
      </c>
      <c r="O28" s="172" t="e">
        <f t="shared" si="3"/>
        <v>#DIV/0!</v>
      </c>
      <c r="P28" s="179">
        <f t="shared" si="3"/>
        <v>0</v>
      </c>
      <c r="Q28" s="78">
        <f t="shared" si="3"/>
        <v>3216648</v>
      </c>
      <c r="R28" s="78">
        <f t="shared" si="3"/>
        <v>3308.884</v>
      </c>
      <c r="V28" s="25"/>
      <c r="W28" s="25"/>
      <c r="X28" s="25"/>
      <c r="Y28" s="25"/>
    </row>
    <row r="29" spans="1:20" s="25" customFormat="1" ht="12">
      <c r="A29" s="21" t="s">
        <v>14</v>
      </c>
      <c r="B29" s="27" t="s">
        <v>50</v>
      </c>
      <c r="C29" s="27"/>
      <c r="D29" s="27"/>
      <c r="E29" s="275">
        <v>27</v>
      </c>
      <c r="F29" s="499">
        <f>LF!P29/1000</f>
        <v>0</v>
      </c>
      <c r="G29" s="151">
        <f>'FF'!P29/1000</f>
        <v>0</v>
      </c>
      <c r="H29" s="151">
        <f>PrF!P29/1000</f>
        <v>0</v>
      </c>
      <c r="I29" s="151">
        <f>FSS!P29/1000</f>
        <v>0</v>
      </c>
      <c r="J29" s="151">
        <f>PřF!P29/1000</f>
        <v>0</v>
      </c>
      <c r="K29" s="151">
        <f>'FI'!P29/1000</f>
        <v>0</v>
      </c>
      <c r="L29" s="151">
        <f>PdF!P29/1000</f>
        <v>0</v>
      </c>
      <c r="M29" s="151">
        <f>FSpS!P29/1000</f>
        <v>0</v>
      </c>
      <c r="N29" s="501">
        <f>ESF!P29/1000</f>
        <v>0</v>
      </c>
      <c r="O29" s="490">
        <f aca="true" t="shared" si="4" ref="O29:O45">SUM(F29:N29)</f>
        <v>0</v>
      </c>
      <c r="P29" s="503"/>
      <c r="Q29" s="96">
        <f>'fak plan'!Q29</f>
        <v>1253473</v>
      </c>
      <c r="R29" s="96">
        <f>'fak-skut.'!R29</f>
        <v>1322.3039999999999</v>
      </c>
      <c r="S29" s="407" t="e">
        <f>R29-#REF!</f>
        <v>#REF!</v>
      </c>
      <c r="T29" s="403">
        <v>1287059</v>
      </c>
    </row>
    <row r="30" spans="1:20" s="25" customFormat="1" ht="12">
      <c r="A30" s="21"/>
      <c r="B30" s="30" t="s">
        <v>28</v>
      </c>
      <c r="C30" s="30"/>
      <c r="D30" s="30"/>
      <c r="E30" s="275">
        <v>28</v>
      </c>
      <c r="F30" s="499">
        <f>LF!P30/1000</f>
        <v>0</v>
      </c>
      <c r="G30" s="151">
        <f>'FF'!P30/1000</f>
        <v>0</v>
      </c>
      <c r="H30" s="151">
        <f>PrF!P30/1000</f>
        <v>0</v>
      </c>
      <c r="I30" s="151">
        <f>FSS!P30/1000</f>
        <v>0</v>
      </c>
      <c r="J30" s="151">
        <f>PřF!P30/1000</f>
        <v>0</v>
      </c>
      <c r="K30" s="151">
        <f>'FI'!P30/1000</f>
        <v>0</v>
      </c>
      <c r="L30" s="151">
        <f>PdF!P30/1000</f>
        <v>0</v>
      </c>
      <c r="M30" s="151">
        <f>FSpS!P30/1000</f>
        <v>0</v>
      </c>
      <c r="N30" s="501">
        <f>ESF!P30/1000</f>
        <v>0</v>
      </c>
      <c r="O30" s="490">
        <f t="shared" si="4"/>
        <v>0</v>
      </c>
      <c r="P30" s="504"/>
      <c r="Q30" s="96">
        <f>'fak plan'!Q30</f>
        <v>151646</v>
      </c>
      <c r="R30" s="96">
        <f>'fak-skut.'!R30</f>
        <v>146.629</v>
      </c>
      <c r="S30" s="403"/>
      <c r="T30" s="403">
        <v>132210.25</v>
      </c>
    </row>
    <row r="31" spans="1:20" s="25" customFormat="1" ht="12">
      <c r="A31" s="21"/>
      <c r="B31" s="30" t="s">
        <v>30</v>
      </c>
      <c r="C31" s="30"/>
      <c r="D31" s="30"/>
      <c r="E31" s="275">
        <v>29</v>
      </c>
      <c r="F31" s="499">
        <f>LF!P31/1000</f>
        <v>0</v>
      </c>
      <c r="G31" s="151">
        <f>'FF'!P31/1000</f>
        <v>0</v>
      </c>
      <c r="H31" s="151">
        <f>PrF!P31/1000</f>
        <v>0</v>
      </c>
      <c r="I31" s="151">
        <f>FSS!P31/1000</f>
        <v>0</v>
      </c>
      <c r="J31" s="151">
        <f>PřF!P31/1000</f>
        <v>0</v>
      </c>
      <c r="K31" s="151">
        <f>'FI'!P31/1000</f>
        <v>0</v>
      </c>
      <c r="L31" s="151">
        <f>PdF!P31/1000</f>
        <v>0</v>
      </c>
      <c r="M31" s="151">
        <f>FSpS!P31/1000</f>
        <v>0</v>
      </c>
      <c r="N31" s="501">
        <f>ESF!P31/1000</f>
        <v>0</v>
      </c>
      <c r="O31" s="490">
        <f t="shared" si="4"/>
        <v>0</v>
      </c>
      <c r="P31" s="504"/>
      <c r="Q31" s="96">
        <f>'fak plan'!Q31</f>
        <v>7925</v>
      </c>
      <c r="R31" s="96">
        <f>'fak-skut.'!R31</f>
        <v>9.345</v>
      </c>
      <c r="S31" s="403"/>
      <c r="T31" s="403">
        <v>9145.394</v>
      </c>
    </row>
    <row r="32" spans="1:20" s="25" customFormat="1" ht="12">
      <c r="A32" s="21"/>
      <c r="B32" s="31" t="s">
        <v>32</v>
      </c>
      <c r="C32" s="32"/>
      <c r="D32" s="32"/>
      <c r="E32" s="276">
        <v>30</v>
      </c>
      <c r="F32" s="499">
        <f>LF!P32/1000</f>
        <v>0</v>
      </c>
      <c r="G32" s="151">
        <f>'FF'!P32/1000</f>
        <v>0</v>
      </c>
      <c r="H32" s="151">
        <f>PrF!P32/1000</f>
        <v>0</v>
      </c>
      <c r="I32" s="151">
        <f>FSS!P32/1000</f>
        <v>0</v>
      </c>
      <c r="J32" s="151">
        <f>PřF!P32/1000</f>
        <v>0</v>
      </c>
      <c r="K32" s="151">
        <f>'FI'!P32/1000</f>
        <v>0</v>
      </c>
      <c r="L32" s="151">
        <f>PdF!P32/1000</f>
        <v>0</v>
      </c>
      <c r="M32" s="151">
        <f>FSpS!P32/1000</f>
        <v>0</v>
      </c>
      <c r="N32" s="501">
        <f>ESF!P32/1000</f>
        <v>0</v>
      </c>
      <c r="O32" s="490">
        <f t="shared" si="4"/>
        <v>0</v>
      </c>
      <c r="P32" s="504"/>
      <c r="Q32" s="96">
        <f>'fak plan'!Q32</f>
        <v>22219</v>
      </c>
      <c r="R32" s="96">
        <f>'fak-skut.'!R32</f>
        <v>52.00300000000001</v>
      </c>
      <c r="S32" s="401">
        <f>fak!P32/1000</f>
        <v>0</v>
      </c>
      <c r="T32" s="401">
        <v>40739</v>
      </c>
    </row>
    <row r="33" spans="1:20" s="25" customFormat="1" ht="12">
      <c r="A33" s="21"/>
      <c r="B33" s="31" t="s">
        <v>34</v>
      </c>
      <c r="C33" s="31"/>
      <c r="D33" s="31"/>
      <c r="E33" s="276">
        <v>31</v>
      </c>
      <c r="F33" s="499">
        <f>LF!P33/1000</f>
        <v>0</v>
      </c>
      <c r="G33" s="151">
        <f>'FF'!P33/1000</f>
        <v>0</v>
      </c>
      <c r="H33" s="151">
        <f>PrF!P33/1000</f>
        <v>0</v>
      </c>
      <c r="I33" s="151">
        <f>FSS!P33/1000</f>
        <v>0</v>
      </c>
      <c r="J33" s="151">
        <f>PřF!P33/1000</f>
        <v>0</v>
      </c>
      <c r="K33" s="151">
        <f>'FI'!P33/1000</f>
        <v>0</v>
      </c>
      <c r="L33" s="151">
        <f>PdF!P33/1000</f>
        <v>0</v>
      </c>
      <c r="M33" s="151">
        <f>FSpS!P33/1000</f>
        <v>0</v>
      </c>
      <c r="N33" s="501">
        <f>ESF!P33/1000</f>
        <v>0</v>
      </c>
      <c r="O33" s="490">
        <f t="shared" si="4"/>
        <v>0</v>
      </c>
      <c r="P33" s="504"/>
      <c r="Q33" s="96">
        <f>'fak plan'!Q33</f>
        <v>7314</v>
      </c>
      <c r="R33" s="96">
        <f>'fak-skut.'!R33</f>
        <v>6.818</v>
      </c>
      <c r="S33" s="403"/>
      <c r="T33" s="403">
        <v>6919</v>
      </c>
    </row>
    <row r="34" spans="1:20" s="25" customFormat="1" ht="12">
      <c r="A34" s="21"/>
      <c r="B34" s="31" t="s">
        <v>52</v>
      </c>
      <c r="C34" s="31"/>
      <c r="D34" s="31"/>
      <c r="E34" s="276">
        <v>32</v>
      </c>
      <c r="F34" s="499">
        <f>LF!P34/1000</f>
        <v>0</v>
      </c>
      <c r="G34" s="151">
        <f>'FF'!P34/1000</f>
        <v>0</v>
      </c>
      <c r="H34" s="151">
        <f>PrF!P34/1000</f>
        <v>0</v>
      </c>
      <c r="I34" s="151">
        <f>FSS!P34/1000</f>
        <v>0</v>
      </c>
      <c r="J34" s="151">
        <f>PřF!P34/1000</f>
        <v>0</v>
      </c>
      <c r="K34" s="151">
        <f>'FI'!P34/1000</f>
        <v>0</v>
      </c>
      <c r="L34" s="151">
        <f>PdF!P34/1000</f>
        <v>0</v>
      </c>
      <c r="M34" s="151">
        <f>FSpS!P34/1000</f>
        <v>0</v>
      </c>
      <c r="N34" s="501">
        <f>ESF!P34/1000</f>
        <v>0</v>
      </c>
      <c r="O34" s="490">
        <f t="shared" si="4"/>
        <v>0</v>
      </c>
      <c r="P34" s="504"/>
      <c r="Q34" s="96">
        <f>'fak plan'!Q34</f>
        <v>0</v>
      </c>
      <c r="R34" s="96">
        <f>'fak-skut.'!R34</f>
        <v>0</v>
      </c>
      <c r="S34" s="403"/>
      <c r="T34" s="403">
        <v>0</v>
      </c>
    </row>
    <row r="35" spans="1:20" s="25" customFormat="1" ht="12">
      <c r="A35" s="21"/>
      <c r="B35" s="31" t="s">
        <v>36</v>
      </c>
      <c r="C35" s="31"/>
      <c r="D35" s="31"/>
      <c r="E35" s="276">
        <v>33</v>
      </c>
      <c r="F35" s="499">
        <f>LF!P35/1000</f>
        <v>0</v>
      </c>
      <c r="G35" s="151">
        <f>'FF'!P35/1000</f>
        <v>0</v>
      </c>
      <c r="H35" s="151">
        <f>PrF!P35/1000</f>
        <v>0</v>
      </c>
      <c r="I35" s="151">
        <f>FSS!P35/1000</f>
        <v>0</v>
      </c>
      <c r="J35" s="151">
        <f>PřF!P35/1000</f>
        <v>0</v>
      </c>
      <c r="K35" s="151">
        <f>'FI'!P35/1000</f>
        <v>0</v>
      </c>
      <c r="L35" s="151">
        <f>PdF!P35/1000</f>
        <v>3</v>
      </c>
      <c r="M35" s="151">
        <f>FSpS!P35/1000</f>
        <v>0</v>
      </c>
      <c r="N35" s="501">
        <f>ESF!P35/1000</f>
        <v>0</v>
      </c>
      <c r="O35" s="490">
        <f t="shared" si="4"/>
        <v>3</v>
      </c>
      <c r="P35" s="504"/>
      <c r="Q35" s="96">
        <f>'fak plan'!Q35</f>
        <v>19350</v>
      </c>
      <c r="R35" s="96">
        <f>'fak-skut.'!R35</f>
        <v>20.332</v>
      </c>
      <c r="S35" s="403"/>
      <c r="T35" s="403">
        <v>5550</v>
      </c>
    </row>
    <row r="36" spans="1:20" s="25" customFormat="1" ht="12">
      <c r="A36" s="21"/>
      <c r="B36" s="31" t="s">
        <v>38</v>
      </c>
      <c r="C36" s="31"/>
      <c r="D36" s="31"/>
      <c r="E36" s="276">
        <v>34</v>
      </c>
      <c r="F36" s="499">
        <f>LF!P36/1000</f>
        <v>0</v>
      </c>
      <c r="G36" s="151">
        <f>'FF'!P36/1000</f>
        <v>0</v>
      </c>
      <c r="H36" s="151">
        <f>PrF!P36/1000</f>
        <v>0</v>
      </c>
      <c r="I36" s="151">
        <f>FSS!P36/1000</f>
        <v>0</v>
      </c>
      <c r="J36" s="151">
        <f>PřF!P36/1000</f>
        <v>0</v>
      </c>
      <c r="K36" s="151">
        <f>'FI'!P36/1000</f>
        <v>0</v>
      </c>
      <c r="L36" s="151">
        <f>PdF!P36/1000</f>
        <v>0</v>
      </c>
      <c r="M36" s="151">
        <f>FSpS!P36/1000</f>
        <v>0</v>
      </c>
      <c r="N36" s="501">
        <f>ESF!P36/1000</f>
        <v>0</v>
      </c>
      <c r="O36" s="490">
        <f t="shared" si="4"/>
        <v>0</v>
      </c>
      <c r="P36" s="504"/>
      <c r="Q36" s="96">
        <f>'fak plan'!Q36</f>
        <v>230157</v>
      </c>
      <c r="R36" s="96">
        <f>'fak-skut.'!R36</f>
        <v>126.43900000000001</v>
      </c>
      <c r="S36" s="403"/>
      <c r="T36" s="403">
        <v>109728</v>
      </c>
    </row>
    <row r="37" spans="1:20" s="25" customFormat="1" ht="12">
      <c r="A37" s="21"/>
      <c r="B37" s="31" t="s">
        <v>54</v>
      </c>
      <c r="C37" s="31"/>
      <c r="D37" s="31"/>
      <c r="E37" s="276">
        <v>35</v>
      </c>
      <c r="F37" s="499">
        <f>LF!P37/1000</f>
        <v>0.152</v>
      </c>
      <c r="G37" s="151">
        <f>'FF'!P37/1000</f>
        <v>0</v>
      </c>
      <c r="H37" s="151">
        <f>PrF!P37/1000</f>
        <v>0</v>
      </c>
      <c r="I37" s="151">
        <f>FSS!P37/1000</f>
        <v>0</v>
      </c>
      <c r="J37" s="151">
        <f>PřF!P37/1000</f>
        <v>0</v>
      </c>
      <c r="K37" s="151">
        <f>'FI'!P37/1000</f>
        <v>0</v>
      </c>
      <c r="L37" s="151">
        <f>PdF!P37/1000</f>
        <v>0</v>
      </c>
      <c r="M37" s="151">
        <f>FSpS!P37/1000</f>
        <v>0</v>
      </c>
      <c r="N37" s="501">
        <f>ESF!P37/1000</f>
        <v>0</v>
      </c>
      <c r="O37" s="490">
        <f t="shared" si="4"/>
        <v>0.152</v>
      </c>
      <c r="P37" s="504"/>
      <c r="Q37" s="96">
        <f>'fak plan'!Q37</f>
        <v>20875</v>
      </c>
      <c r="R37" s="96">
        <f>'fak-skut.'!R37</f>
        <v>34.119</v>
      </c>
      <c r="S37" s="403"/>
      <c r="T37" s="403">
        <v>23999.177</v>
      </c>
    </row>
    <row r="38" spans="1:20" s="25" customFormat="1" ht="12">
      <c r="A38" s="21"/>
      <c r="B38" s="31" t="s">
        <v>170</v>
      </c>
      <c r="C38" s="31"/>
      <c r="D38" s="31"/>
      <c r="E38" s="276">
        <v>36</v>
      </c>
      <c r="F38" s="499">
        <f>LF!P38/1000</f>
        <v>0</v>
      </c>
      <c r="G38" s="151">
        <f>'FF'!P38/1000</f>
        <v>0</v>
      </c>
      <c r="H38" s="151">
        <f>PrF!P38/1000</f>
        <v>0</v>
      </c>
      <c r="I38" s="151">
        <f>FSS!P38/1000</f>
        <v>0</v>
      </c>
      <c r="J38" s="151">
        <f>PřF!P38/1000</f>
        <v>0</v>
      </c>
      <c r="K38" s="151">
        <f>'FI'!P38/1000</f>
        <v>0</v>
      </c>
      <c r="L38" s="151">
        <f>PdF!P38/1000</f>
        <v>0</v>
      </c>
      <c r="M38" s="151">
        <f>FSpS!P38/1000</f>
        <v>0</v>
      </c>
      <c r="N38" s="501">
        <f>ESF!P38/1000</f>
        <v>0</v>
      </c>
      <c r="O38" s="490">
        <f t="shared" si="4"/>
        <v>0</v>
      </c>
      <c r="P38" s="504"/>
      <c r="Q38" s="96">
        <f>'fak plan'!Q38</f>
        <v>284305</v>
      </c>
      <c r="R38" s="96">
        <f>'fak-skut.'!R38</f>
        <v>138.60600000000002</v>
      </c>
      <c r="S38" s="403"/>
      <c r="T38" s="403">
        <v>149307</v>
      </c>
    </row>
    <row r="39" spans="1:20" s="25" customFormat="1" ht="12">
      <c r="A39" s="21"/>
      <c r="B39" s="31" t="s">
        <v>56</v>
      </c>
      <c r="C39" s="31"/>
      <c r="D39" s="31"/>
      <c r="E39" s="276">
        <v>37</v>
      </c>
      <c r="F39" s="499">
        <f>LF!P39/1000</f>
        <v>0</v>
      </c>
      <c r="G39" s="151">
        <f>'FF'!P39/1000</f>
        <v>0</v>
      </c>
      <c r="H39" s="151">
        <f>PrF!P39/1000</f>
        <v>0</v>
      </c>
      <c r="I39" s="151">
        <f>FSS!P39/1000</f>
        <v>0</v>
      </c>
      <c r="J39" s="151">
        <f>PřF!P39/1000</f>
        <v>0</v>
      </c>
      <c r="K39" s="151">
        <f>'FI'!P39/1000</f>
        <v>0</v>
      </c>
      <c r="L39" s="151">
        <f>PdF!P39/1000</f>
        <v>0</v>
      </c>
      <c r="M39" s="151">
        <f>FSpS!P39/1000</f>
        <v>0</v>
      </c>
      <c r="N39" s="501">
        <f>ESF!P39/1000</f>
        <v>0</v>
      </c>
      <c r="O39" s="490">
        <f t="shared" si="4"/>
        <v>0</v>
      </c>
      <c r="P39" s="504"/>
      <c r="Q39" s="96">
        <f>'fak plan'!Q39</f>
        <v>127272</v>
      </c>
      <c r="R39" s="96">
        <f>'fak-skut.'!R39</f>
        <v>242.52599999999998</v>
      </c>
      <c r="S39" s="403"/>
      <c r="T39" s="403">
        <v>246032.962</v>
      </c>
    </row>
    <row r="40" spans="1:20" s="25" customFormat="1" ht="12">
      <c r="A40" s="21"/>
      <c r="B40" s="31" t="s">
        <v>57</v>
      </c>
      <c r="C40" s="31"/>
      <c r="D40" s="31"/>
      <c r="E40" s="276">
        <v>38</v>
      </c>
      <c r="F40" s="499">
        <f>LF!P40/1000</f>
        <v>0</v>
      </c>
      <c r="G40" s="151">
        <f>'FF'!P40/1000</f>
        <v>0</v>
      </c>
      <c r="H40" s="151">
        <f>PrF!P40/1000</f>
        <v>0</v>
      </c>
      <c r="I40" s="151">
        <f>FSS!P40/1000</f>
        <v>0</v>
      </c>
      <c r="J40" s="151">
        <f>PřF!P40/1000</f>
        <v>0</v>
      </c>
      <c r="K40" s="151">
        <f>'FI'!P40/1000</f>
        <v>0</v>
      </c>
      <c r="L40" s="151">
        <f>PdF!P40/1000</f>
        <v>0</v>
      </c>
      <c r="M40" s="151">
        <f>FSpS!P40/1000</f>
        <v>0</v>
      </c>
      <c r="N40" s="501">
        <f>ESF!P40/1000</f>
        <v>0</v>
      </c>
      <c r="O40" s="490">
        <f t="shared" si="4"/>
        <v>0</v>
      </c>
      <c r="P40" s="504"/>
      <c r="Q40" s="96">
        <f>'fak plan'!Q40</f>
        <v>494902</v>
      </c>
      <c r="R40" s="96">
        <f>'fak-skut.'!R40</f>
        <v>466.03200000000004</v>
      </c>
      <c r="S40" s="403"/>
      <c r="T40" s="403">
        <v>456042.422</v>
      </c>
    </row>
    <row r="41" spans="1:20" s="25" customFormat="1" ht="12">
      <c r="A41" s="21"/>
      <c r="B41" s="31" t="s">
        <v>186</v>
      </c>
      <c r="C41" s="31"/>
      <c r="D41" s="31"/>
      <c r="E41" s="276">
        <v>39</v>
      </c>
      <c r="F41" s="499">
        <f>LF!P41/1000</f>
        <v>0.772</v>
      </c>
      <c r="G41" s="151">
        <f>'FF'!P41/1000</f>
        <v>0</v>
      </c>
      <c r="H41" s="151">
        <f>PrF!P41/1000</f>
        <v>0</v>
      </c>
      <c r="I41" s="151">
        <f>FSS!P41/1000</f>
        <v>0</v>
      </c>
      <c r="J41" s="151">
        <f>PřF!P41/1000</f>
        <v>0</v>
      </c>
      <c r="K41" s="151">
        <f>'FI'!P41/1000</f>
        <v>0.749</v>
      </c>
      <c r="L41" s="151">
        <f>PdF!P41/1000</f>
        <v>2</v>
      </c>
      <c r="M41" s="151">
        <f>FSpS!P41/1000</f>
        <v>2.641</v>
      </c>
      <c r="N41" s="501">
        <f>ESF!P41/1000</f>
        <v>0</v>
      </c>
      <c r="O41" s="490">
        <f t="shared" si="4"/>
        <v>6.162</v>
      </c>
      <c r="P41" s="504"/>
      <c r="Q41" s="96">
        <f>'fak plan'!Q41</f>
        <v>83226</v>
      </c>
      <c r="R41" s="96">
        <f>'fak-skut.'!R41</f>
        <v>62.079</v>
      </c>
      <c r="S41" s="403"/>
      <c r="T41" s="403">
        <v>84505.832</v>
      </c>
    </row>
    <row r="42" spans="1:20" s="25" customFormat="1" ht="12">
      <c r="A42" s="21"/>
      <c r="B42" s="31" t="s">
        <v>58</v>
      </c>
      <c r="C42" s="31"/>
      <c r="D42" s="31"/>
      <c r="E42" s="276">
        <v>40</v>
      </c>
      <c r="F42" s="499">
        <f>LF!P42/1000</f>
        <v>0</v>
      </c>
      <c r="G42" s="151">
        <f>'FF'!P42/1000</f>
        <v>0</v>
      </c>
      <c r="H42" s="151">
        <f>PrF!P42/1000</f>
        <v>0</v>
      </c>
      <c r="I42" s="151">
        <f>FSS!P42/1000</f>
        <v>0</v>
      </c>
      <c r="J42" s="151">
        <f>PřF!P42/1000</f>
        <v>0</v>
      </c>
      <c r="K42" s="151">
        <f>'FI'!P42/1000</f>
        <v>0</v>
      </c>
      <c r="L42" s="151">
        <f>PdF!P42/1000</f>
        <v>0</v>
      </c>
      <c r="M42" s="151">
        <f>FSpS!P42/1000</f>
        <v>0</v>
      </c>
      <c r="N42" s="501">
        <f>ESF!P42/1000</f>
        <v>0.069</v>
      </c>
      <c r="O42" s="490">
        <f t="shared" si="4"/>
        <v>0.069</v>
      </c>
      <c r="P42" s="504"/>
      <c r="Q42" s="96">
        <f>'fak plan'!Q42</f>
        <v>56286</v>
      </c>
      <c r="R42" s="96">
        <f>'fak-skut.'!R42</f>
        <v>59.477000000000004</v>
      </c>
      <c r="S42" s="403"/>
      <c r="T42" s="403">
        <v>49723.734</v>
      </c>
    </row>
    <row r="43" spans="1:20" s="25" customFormat="1" ht="12">
      <c r="A43" s="21"/>
      <c r="B43" s="31" t="s">
        <v>59</v>
      </c>
      <c r="C43" s="31"/>
      <c r="D43" s="31"/>
      <c r="E43" s="276">
        <v>41</v>
      </c>
      <c r="F43" s="499" t="e">
        <f>LF!P43/1000</f>
        <v>#DIV/0!</v>
      </c>
      <c r="G43" s="151" t="e">
        <f>'FF'!P43/1000</f>
        <v>#DIV/0!</v>
      </c>
      <c r="H43" s="151" t="e">
        <f>PrF!P43/1000</f>
        <v>#DIV/0!</v>
      </c>
      <c r="I43" s="151" t="e">
        <f>FSS!P43/1000</f>
        <v>#DIV/0!</v>
      </c>
      <c r="J43" s="151" t="e">
        <f>PřF!P43/1000</f>
        <v>#DIV/0!</v>
      </c>
      <c r="K43" s="151" t="e">
        <f>'FI'!P43/1000</f>
        <v>#DIV/0!</v>
      </c>
      <c r="L43" s="151" t="e">
        <f>PdF!P43/1000</f>
        <v>#DIV/0!</v>
      </c>
      <c r="M43" s="151" t="e">
        <f>FSpS!P43/1000</f>
        <v>#DIV/0!</v>
      </c>
      <c r="N43" s="501" t="e">
        <f>ESF!P43/1000</f>
        <v>#DIV/0!</v>
      </c>
      <c r="O43" s="490" t="e">
        <f t="shared" si="4"/>
        <v>#DIV/0!</v>
      </c>
      <c r="P43" s="504"/>
      <c r="Q43" s="96">
        <f>'fak plan'!Q43</f>
        <v>419275</v>
      </c>
      <c r="R43" s="96">
        <f>'fak-skut.'!R43</f>
        <v>424.86400000000003</v>
      </c>
      <c r="S43" s="403"/>
      <c r="T43" s="403">
        <v>419200</v>
      </c>
    </row>
    <row r="44" spans="1:20" s="25" customFormat="1" ht="12">
      <c r="A44" s="21"/>
      <c r="B44" s="31" t="s">
        <v>60</v>
      </c>
      <c r="C44" s="31"/>
      <c r="D44" s="31"/>
      <c r="E44" s="276">
        <v>42</v>
      </c>
      <c r="F44" s="499">
        <f>LF!P44/1000</f>
        <v>0</v>
      </c>
      <c r="G44" s="151">
        <f>'FF'!P44/1000</f>
        <v>0</v>
      </c>
      <c r="H44" s="151">
        <f>PrF!P44/1000</f>
        <v>0</v>
      </c>
      <c r="I44" s="151">
        <f>FSS!P44/1000</f>
        <v>0</v>
      </c>
      <c r="J44" s="151">
        <f>PřF!P44/1000</f>
        <v>0</v>
      </c>
      <c r="K44" s="151">
        <f>'FI'!P44/1000</f>
        <v>0</v>
      </c>
      <c r="L44" s="151">
        <f>PdF!P44/1000</f>
        <v>0</v>
      </c>
      <c r="M44" s="151">
        <f>FSpS!P44/1000</f>
        <v>0</v>
      </c>
      <c r="N44" s="501">
        <f>ESF!P44/1000</f>
        <v>0</v>
      </c>
      <c r="O44" s="490">
        <f t="shared" si="4"/>
        <v>0</v>
      </c>
      <c r="P44" s="504"/>
      <c r="Q44" s="96">
        <f>'fak plan'!Q44</f>
        <v>0</v>
      </c>
      <c r="R44" s="96">
        <f>'fak-skut.'!R44</f>
        <v>154.023</v>
      </c>
      <c r="S44" s="403"/>
      <c r="T44" s="403">
        <v>160598.556</v>
      </c>
    </row>
    <row r="45" spans="1:20" s="25" customFormat="1" ht="12">
      <c r="A45" s="40"/>
      <c r="B45" s="41" t="s">
        <v>47</v>
      </c>
      <c r="C45" s="41"/>
      <c r="D45" s="41"/>
      <c r="E45" s="277">
        <v>43</v>
      </c>
      <c r="F45" s="500">
        <f>LF!P45/1000</f>
        <v>0</v>
      </c>
      <c r="G45" s="195" t="e">
        <f>'FF'!P45/1000</f>
        <v>#DIV/0!</v>
      </c>
      <c r="H45" s="195" t="e">
        <f>PrF!P45/1000</f>
        <v>#DIV/0!</v>
      </c>
      <c r="I45" s="195" t="e">
        <f>FSS!P45/1000</f>
        <v>#DIV/0!</v>
      </c>
      <c r="J45" s="195" t="e">
        <f>PřF!P45/1000</f>
        <v>#DIV/0!</v>
      </c>
      <c r="K45" s="195" t="e">
        <f>'FI'!P45/1000</f>
        <v>#DIV/0!</v>
      </c>
      <c r="L45" s="195" t="e">
        <f>PdF!P45/1000</f>
        <v>#DIV/0!</v>
      </c>
      <c r="M45" s="195" t="e">
        <f>FSpS!P45/1000</f>
        <v>#DIV/0!</v>
      </c>
      <c r="N45" s="505" t="e">
        <f>ESF!P45/1000</f>
        <v>#DIV/0!</v>
      </c>
      <c r="O45" s="491" t="e">
        <f t="shared" si="4"/>
        <v>#DIV/0!</v>
      </c>
      <c r="P45" s="506"/>
      <c r="Q45" s="100">
        <f>'fak plan'!O45</f>
        <v>38423</v>
      </c>
      <c r="R45" s="100">
        <f>'fak-skut.'!R45</f>
        <v>43.288000000000004</v>
      </c>
      <c r="S45" s="403"/>
      <c r="T45" s="403">
        <v>33329</v>
      </c>
    </row>
    <row r="46" spans="1:20" s="25" customFormat="1" ht="12.75" thickBot="1">
      <c r="A46" s="44" t="s">
        <v>61</v>
      </c>
      <c r="B46" s="45"/>
      <c r="C46" s="45"/>
      <c r="D46" s="45"/>
      <c r="E46" s="275">
        <v>44</v>
      </c>
      <c r="F46" s="102" t="e">
        <f aca="true" t="shared" si="5" ref="F46:O46">F29+F34+F38+F43+F44+F45-F4-F27</f>
        <v>#DIV/0!</v>
      </c>
      <c r="G46" s="196" t="e">
        <f t="shared" si="5"/>
        <v>#DIV/0!</v>
      </c>
      <c r="H46" s="196" t="e">
        <f t="shared" si="5"/>
        <v>#DIV/0!</v>
      </c>
      <c r="I46" s="196" t="e">
        <f t="shared" si="5"/>
        <v>#DIV/0!</v>
      </c>
      <c r="J46" s="196" t="e">
        <f t="shared" si="5"/>
        <v>#DIV/0!</v>
      </c>
      <c r="K46" s="196" t="e">
        <f t="shared" si="5"/>
        <v>#DIV/0!</v>
      </c>
      <c r="L46" s="196" t="e">
        <f t="shared" si="5"/>
        <v>#DIV/0!</v>
      </c>
      <c r="M46" s="196" t="e">
        <f t="shared" si="5"/>
        <v>#DIV/0!</v>
      </c>
      <c r="N46" s="196" t="e">
        <f t="shared" si="5"/>
        <v>#DIV/0!</v>
      </c>
      <c r="O46" s="492" t="e">
        <f t="shared" si="5"/>
        <v>#DIV/0!</v>
      </c>
      <c r="P46" s="180">
        <f>P29+P34+P38+P43+P44+P45+-P4-P27</f>
        <v>0</v>
      </c>
      <c r="Q46" s="92">
        <f>(LF!N46+'FF'!N46+PrF!N46+FSS!N46+PřF!N46+'FI'!N46+PdF!N46+FSpS!N46+ESF!N46)/1000</f>
        <v>0</v>
      </c>
      <c r="R46" s="486" t="e">
        <f>(LF!P46+'FF'!P46+PrF!P46+FSS!P46+PřF!P46+'FI'!P46+PdF!P46+FSpS!P46+ESF!P46)/1000</f>
        <v>#DIV/0!</v>
      </c>
      <c r="S46" s="403"/>
      <c r="T46" s="403">
        <v>150971.10923000006</v>
      </c>
    </row>
    <row r="47" spans="1:18" ht="13.5" thickBot="1">
      <c r="A47" s="37" t="s">
        <v>62</v>
      </c>
      <c r="B47" s="38"/>
      <c r="C47" s="38"/>
      <c r="D47" s="38"/>
      <c r="E47" s="272">
        <v>45</v>
      </c>
      <c r="F47" s="207" t="e">
        <f aca="true" t="shared" si="6" ref="F47:R47">F28-F3</f>
        <v>#DIV/0!</v>
      </c>
      <c r="G47" s="191" t="e">
        <f t="shared" si="6"/>
        <v>#DIV/0!</v>
      </c>
      <c r="H47" s="191" t="e">
        <f t="shared" si="6"/>
        <v>#DIV/0!</v>
      </c>
      <c r="I47" s="191" t="e">
        <f t="shared" si="6"/>
        <v>#DIV/0!</v>
      </c>
      <c r="J47" s="191" t="e">
        <f t="shared" si="6"/>
        <v>#DIV/0!</v>
      </c>
      <c r="K47" s="191" t="e">
        <f t="shared" si="6"/>
        <v>#DIV/0!</v>
      </c>
      <c r="L47" s="191" t="e">
        <f t="shared" si="6"/>
        <v>#DIV/0!</v>
      </c>
      <c r="M47" s="191" t="e">
        <f t="shared" si="6"/>
        <v>#DIV/0!</v>
      </c>
      <c r="N47" s="191" t="e">
        <f t="shared" si="6"/>
        <v>#DIV/0!</v>
      </c>
      <c r="O47" s="172" t="e">
        <f t="shared" si="6"/>
        <v>#DIV/0!</v>
      </c>
      <c r="P47" s="265">
        <f t="shared" si="6"/>
        <v>0</v>
      </c>
      <c r="Q47" s="78">
        <f t="shared" si="6"/>
        <v>16706</v>
      </c>
      <c r="R47" s="78">
        <f t="shared" si="6"/>
        <v>48.986999999999625</v>
      </c>
    </row>
    <row r="48" spans="1:5" ht="7.5" customHeight="1">
      <c r="A48" s="47"/>
      <c r="B48" s="47"/>
      <c r="C48" s="47"/>
      <c r="D48" s="47"/>
      <c r="E48" s="48"/>
    </row>
    <row r="49" spans="1:20" s="47" customFormat="1" ht="23.25" customHeight="1">
      <c r="A49" s="1054" t="s">
        <v>90</v>
      </c>
      <c r="B49" s="1055"/>
      <c r="C49" s="1055"/>
      <c r="D49" s="1055"/>
      <c r="E49" s="48"/>
      <c r="F49" s="338">
        <f>LF!I52/1000</f>
        <v>0</v>
      </c>
      <c r="G49" s="338">
        <f>'FF'!I50/1000</f>
        <v>0</v>
      </c>
      <c r="H49" s="338">
        <f>PrF!I50/1000</f>
        <v>0</v>
      </c>
      <c r="I49" s="338">
        <f>FSS!I50/1000</f>
        <v>0</v>
      </c>
      <c r="J49" s="339">
        <f>PřF!I50/1000</f>
        <v>1</v>
      </c>
      <c r="K49" s="339">
        <f>'FI'!I50/1000</f>
        <v>3.833</v>
      </c>
      <c r="L49" s="339">
        <f>PdF!I50/1000</f>
        <v>0</v>
      </c>
      <c r="M49" s="339">
        <f>FSpS!I50/1000</f>
        <v>0</v>
      </c>
      <c r="N49" s="339">
        <f>ESF!I50/1000</f>
        <v>0</v>
      </c>
      <c r="O49" s="494">
        <f>fak!I50/1000</f>
        <v>4.833</v>
      </c>
      <c r="Q49" s="234"/>
      <c r="R49" s="405"/>
      <c r="S49" s="405"/>
      <c r="T49" s="405"/>
    </row>
  </sheetData>
  <mergeCells count="3">
    <mergeCell ref="A1:D1"/>
    <mergeCell ref="C2:D2"/>
    <mergeCell ref="A49:D49"/>
  </mergeCells>
  <conditionalFormatting sqref="F47:R47">
    <cfRule type="cellIs" priority="1" dxfId="0" operator="lessThan" stopIfTrue="1">
      <formula>0</formula>
    </cfRule>
  </conditionalFormatting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34"/>
  </sheetPr>
  <dimension ref="A1:V65"/>
  <sheetViews>
    <sheetView workbookViewId="0" topLeftCell="A1">
      <pane ySplit="3" topLeftCell="BM34" activePane="bottomLeft" state="frozen"/>
      <selection pane="topLeft" activeCell="J50" sqref="J50"/>
      <selection pane="bottomLeft" activeCell="J50" sqref="J50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60" bestFit="1" customWidth="1"/>
    <col min="6" max="10" width="7.25390625" style="59" customWidth="1"/>
    <col min="11" max="11" width="7.25390625" style="59" hidden="1" customWidth="1"/>
    <col min="12" max="12" width="8.125" style="59" customWidth="1"/>
    <col min="13" max="15" width="7.25390625" style="59" customWidth="1"/>
    <col min="16" max="16" width="8.875" style="493" customWidth="1"/>
    <col min="17" max="17" width="5.125" style="0" hidden="1" customWidth="1"/>
    <col min="18" max="19" width="8.875" style="59" customWidth="1"/>
    <col min="20" max="20" width="7.00390625" style="402" customWidth="1"/>
    <col min="21" max="21" width="7.875" style="402" customWidth="1"/>
  </cols>
  <sheetData>
    <row r="1" spans="1:19" ht="15.75" customHeight="1">
      <c r="A1" s="1046" t="s">
        <v>201</v>
      </c>
      <c r="B1" s="1047"/>
      <c r="C1" s="1047"/>
      <c r="D1" s="1048"/>
      <c r="E1" s="1"/>
      <c r="F1" s="175" t="s">
        <v>99</v>
      </c>
      <c r="G1" s="189" t="s">
        <v>100</v>
      </c>
      <c r="H1" s="189" t="s">
        <v>101</v>
      </c>
      <c r="I1" s="189" t="s">
        <v>102</v>
      </c>
      <c r="J1" s="189" t="s">
        <v>103</v>
      </c>
      <c r="K1" s="189" t="s">
        <v>124</v>
      </c>
      <c r="L1" s="189" t="s">
        <v>104</v>
      </c>
      <c r="M1" s="189" t="s">
        <v>105</v>
      </c>
      <c r="N1" s="189" t="s">
        <v>106</v>
      </c>
      <c r="O1" s="181" t="s">
        <v>107</v>
      </c>
      <c r="P1" s="487" t="s">
        <v>152</v>
      </c>
      <c r="Q1" s="263" t="s">
        <v>1</v>
      </c>
      <c r="R1" s="67" t="s">
        <v>0</v>
      </c>
      <c r="S1" s="67" t="s">
        <v>147</v>
      </c>
    </row>
    <row r="2" spans="1:21" s="16" customFormat="1" ht="13.5" thickBot="1">
      <c r="A2" s="298" t="s">
        <v>127</v>
      </c>
      <c r="B2" s="7"/>
      <c r="C2" s="1052" t="s">
        <v>153</v>
      </c>
      <c r="D2" s="1053"/>
      <c r="E2" s="9" t="s">
        <v>5</v>
      </c>
      <c r="F2" s="176">
        <v>81</v>
      </c>
      <c r="G2" s="190">
        <v>82</v>
      </c>
      <c r="H2" s="190">
        <v>83</v>
      </c>
      <c r="I2" s="190">
        <v>84</v>
      </c>
      <c r="J2" s="190">
        <v>85</v>
      </c>
      <c r="K2" s="190">
        <v>87</v>
      </c>
      <c r="L2" s="190">
        <v>92</v>
      </c>
      <c r="M2" s="190">
        <v>96</v>
      </c>
      <c r="N2" s="190">
        <v>97</v>
      </c>
      <c r="O2" s="182">
        <v>99</v>
      </c>
      <c r="P2" s="488">
        <v>2011</v>
      </c>
      <c r="Q2" s="264" t="s">
        <v>7</v>
      </c>
      <c r="R2" s="71">
        <v>2011</v>
      </c>
      <c r="S2" s="480">
        <v>2010</v>
      </c>
      <c r="T2" s="402"/>
      <c r="U2" s="402"/>
    </row>
    <row r="3" spans="1:19" ht="13.5" thickBot="1">
      <c r="A3" s="17" t="s">
        <v>13</v>
      </c>
      <c r="B3" s="18"/>
      <c r="C3" s="18"/>
      <c r="D3" s="18"/>
      <c r="E3" s="19">
        <v>1</v>
      </c>
      <c r="F3" s="177" t="e">
        <f aca="true" t="shared" si="0" ref="F3:S3">SUM(F5:F27)</f>
        <v>#DIV/0!</v>
      </c>
      <c r="G3" s="191" t="e">
        <f t="shared" si="0"/>
        <v>#DIV/0!</v>
      </c>
      <c r="H3" s="191" t="e">
        <f t="shared" si="0"/>
        <v>#DIV/0!</v>
      </c>
      <c r="I3" s="191" t="e">
        <f t="shared" si="0"/>
        <v>#DIV/0!</v>
      </c>
      <c r="J3" s="191" t="e">
        <f t="shared" si="0"/>
        <v>#DIV/0!</v>
      </c>
      <c r="K3" s="191">
        <f t="shared" si="0"/>
        <v>0</v>
      </c>
      <c r="L3" s="191" t="e">
        <f t="shared" si="0"/>
        <v>#DIV/0!</v>
      </c>
      <c r="M3" s="191" t="e">
        <f t="shared" si="0"/>
        <v>#DIV/0!</v>
      </c>
      <c r="N3" s="191" t="e">
        <f t="shared" si="0"/>
        <v>#DIV/0!</v>
      </c>
      <c r="O3" s="183" t="e">
        <f t="shared" si="0"/>
        <v>#DIV/0!</v>
      </c>
      <c r="P3" s="172" t="e">
        <f t="shared" si="0"/>
        <v>#DIV/0!</v>
      </c>
      <c r="Q3" s="75">
        <f t="shared" si="0"/>
        <v>0</v>
      </c>
      <c r="R3" s="78">
        <f t="shared" si="0"/>
        <v>1283182</v>
      </c>
      <c r="S3" s="78">
        <f t="shared" si="0"/>
        <v>1309775.97683</v>
      </c>
    </row>
    <row r="4" spans="1:21" s="25" customFormat="1" ht="12">
      <c r="A4" s="21" t="s">
        <v>14</v>
      </c>
      <c r="B4" s="22" t="s">
        <v>15</v>
      </c>
      <c r="C4" s="22"/>
      <c r="D4" s="22"/>
      <c r="E4" s="23">
        <v>2</v>
      </c>
      <c r="F4" s="178" t="e">
        <f aca="true" t="shared" si="1" ref="F4:S4">SUM(F5:F15)</f>
        <v>#DIV/0!</v>
      </c>
      <c r="G4" s="192" t="e">
        <f t="shared" si="1"/>
        <v>#DIV/0!</v>
      </c>
      <c r="H4" s="192" t="e">
        <f t="shared" si="1"/>
        <v>#DIV/0!</v>
      </c>
      <c r="I4" s="192" t="e">
        <f t="shared" si="1"/>
        <v>#DIV/0!</v>
      </c>
      <c r="J4" s="192" t="e">
        <f t="shared" si="1"/>
        <v>#DIV/0!</v>
      </c>
      <c r="K4" s="192"/>
      <c r="L4" s="192" t="e">
        <f t="shared" si="1"/>
        <v>#DIV/0!</v>
      </c>
      <c r="M4" s="192" t="e">
        <f t="shared" si="1"/>
        <v>#DIV/0!</v>
      </c>
      <c r="N4" s="192" t="e">
        <f t="shared" si="1"/>
        <v>#DIV/0!</v>
      </c>
      <c r="O4" s="184" t="e">
        <f t="shared" si="1"/>
        <v>#DIV/0!</v>
      </c>
      <c r="P4" s="223" t="e">
        <f t="shared" si="1"/>
        <v>#DIV/0!</v>
      </c>
      <c r="Q4" s="79">
        <f t="shared" si="1"/>
        <v>0</v>
      </c>
      <c r="R4" s="82">
        <f t="shared" si="1"/>
        <v>834732</v>
      </c>
      <c r="S4" s="82">
        <f t="shared" si="1"/>
        <v>990739.14095</v>
      </c>
      <c r="T4" s="403"/>
      <c r="U4" s="403"/>
    </row>
    <row r="5" spans="1:21" s="65" customFormat="1" ht="12">
      <c r="A5" s="61"/>
      <c r="B5" s="62"/>
      <c r="C5" s="62" t="s">
        <v>16</v>
      </c>
      <c r="D5" s="63" t="s">
        <v>17</v>
      </c>
      <c r="E5" s="64">
        <v>3</v>
      </c>
      <c r="F5" s="497">
        <f>SKM!P5/1000</f>
        <v>0</v>
      </c>
      <c r="G5" s="193">
        <f>SUKB!P7/1000</f>
        <v>0</v>
      </c>
      <c r="H5" s="193">
        <f>UCT!P5/1000</f>
        <v>0</v>
      </c>
      <c r="I5" s="193">
        <f>SPSSN!P5/1000</f>
        <v>0</v>
      </c>
      <c r="J5" s="193">
        <f>IBA!P5/1000</f>
        <v>0</v>
      </c>
      <c r="K5" s="193"/>
      <c r="L5" s="193">
        <f>ÚVT!P5/1000</f>
        <v>0</v>
      </c>
      <c r="M5" s="193">
        <f>CJV!P5/1000</f>
        <v>0</v>
      </c>
      <c r="N5" s="193">
        <f>CZS!P5/1000</f>
        <v>0</v>
      </c>
      <c r="O5" s="185">
        <f>RMU!P5/1000</f>
        <v>0</v>
      </c>
      <c r="P5" s="489">
        <f aca="true" t="shared" si="2" ref="P5:P27">SUM(F5:O5)</f>
        <v>0</v>
      </c>
      <c r="Q5" s="83"/>
      <c r="R5" s="164">
        <f>'ostatni plan'!T5</f>
        <v>193001</v>
      </c>
      <c r="S5" s="164">
        <f>ostatni_skut!S5</f>
        <v>218808.7979</v>
      </c>
      <c r="T5" s="404"/>
      <c r="U5" s="404"/>
    </row>
    <row r="6" spans="1:21" s="65" customFormat="1" ht="12">
      <c r="A6" s="61"/>
      <c r="B6" s="62"/>
      <c r="C6" s="62"/>
      <c r="D6" s="63" t="s">
        <v>18</v>
      </c>
      <c r="E6" s="64">
        <v>4</v>
      </c>
      <c r="F6" s="497">
        <f>SKM!P6/1000</f>
        <v>0</v>
      </c>
      <c r="G6" s="193">
        <f>SUKB!P8/1000</f>
        <v>0</v>
      </c>
      <c r="H6" s="193">
        <f>UCT!P6/1000</f>
        <v>0</v>
      </c>
      <c r="I6" s="193">
        <f>SPSSN!P6/1000</f>
        <v>0</v>
      </c>
      <c r="J6" s="193">
        <f>IBA!P6/1000</f>
        <v>0</v>
      </c>
      <c r="K6" s="193"/>
      <c r="L6" s="193">
        <f>ÚVT!P6/1000</f>
        <v>0</v>
      </c>
      <c r="M6" s="193">
        <f>CJV!P6/1000</f>
        <v>0</v>
      </c>
      <c r="N6" s="193">
        <f>CZS!P6/1000</f>
        <v>0</v>
      </c>
      <c r="O6" s="185">
        <f>RMU!P6/1000</f>
        <v>0</v>
      </c>
      <c r="P6" s="489">
        <f t="shared" si="2"/>
        <v>0</v>
      </c>
      <c r="Q6" s="83"/>
      <c r="R6" s="164">
        <f>'ostatni plan'!T6</f>
        <v>10554</v>
      </c>
      <c r="S6" s="164">
        <f>ostatni_skut!S6</f>
        <v>20342.3815</v>
      </c>
      <c r="T6" s="404"/>
      <c r="U6" s="404"/>
    </row>
    <row r="7" spans="1:21" s="65" customFormat="1" ht="12">
      <c r="A7" s="61"/>
      <c r="B7" s="62"/>
      <c r="C7" s="62"/>
      <c r="D7" s="63" t="s">
        <v>19</v>
      </c>
      <c r="E7" s="64">
        <v>5</v>
      </c>
      <c r="F7" s="497">
        <f>SKM!P7/1000</f>
        <v>0</v>
      </c>
      <c r="G7" s="193">
        <f>SUKB!P9/1000</f>
        <v>0</v>
      </c>
      <c r="H7" s="193">
        <f>UCT!P7/1000</f>
        <v>0</v>
      </c>
      <c r="I7" s="193">
        <f>SPSSN!P7/1000</f>
        <v>0</v>
      </c>
      <c r="J7" s="193">
        <f>IBA!P7/1000</f>
        <v>0</v>
      </c>
      <c r="K7" s="193"/>
      <c r="L7" s="193">
        <f>ÚVT!P7/1000</f>
        <v>0</v>
      </c>
      <c r="M7" s="193">
        <f>CJV!P7/1000</f>
        <v>0</v>
      </c>
      <c r="N7" s="193">
        <f>CZS!P7/1000</f>
        <v>0</v>
      </c>
      <c r="O7" s="185">
        <f>RMU!P7/1000</f>
        <v>0</v>
      </c>
      <c r="P7" s="489">
        <f t="shared" si="2"/>
        <v>0</v>
      </c>
      <c r="Q7" s="83"/>
      <c r="R7" s="164">
        <f>'ostatni plan'!T7</f>
        <v>68884</v>
      </c>
      <c r="S7" s="164">
        <f>ostatni_skut!S7</f>
        <v>79332.28333</v>
      </c>
      <c r="T7" s="404"/>
      <c r="U7" s="404"/>
    </row>
    <row r="8" spans="1:21" s="65" customFormat="1" ht="12">
      <c r="A8" s="61"/>
      <c r="B8" s="62"/>
      <c r="C8" s="62"/>
      <c r="D8" s="63" t="s">
        <v>20</v>
      </c>
      <c r="E8" s="64">
        <v>6</v>
      </c>
      <c r="F8" s="497" t="e">
        <f>SKM!P8/1000</f>
        <v>#DIV/0!</v>
      </c>
      <c r="G8" s="193">
        <f>SUKB!P10/1000</f>
        <v>0</v>
      </c>
      <c r="H8" s="193" t="e">
        <f>UCT!P8/1000</f>
        <v>#DIV/0!</v>
      </c>
      <c r="I8" s="193" t="e">
        <f>SPSSN!P8/1000</f>
        <v>#DIV/0!</v>
      </c>
      <c r="J8" s="193" t="e">
        <f>IBA!P8/1000</f>
        <v>#DIV/0!</v>
      </c>
      <c r="K8" s="193"/>
      <c r="L8" s="193" t="e">
        <f>ÚVT!P8/1000</f>
        <v>#DIV/0!</v>
      </c>
      <c r="M8" s="193" t="e">
        <f>CJV!P8/1000</f>
        <v>#DIV/0!</v>
      </c>
      <c r="N8" s="193" t="e">
        <f>CZS!P8/1000</f>
        <v>#DIV/0!</v>
      </c>
      <c r="O8" s="185" t="e">
        <f>RMU!P8/1000</f>
        <v>#DIV/0!</v>
      </c>
      <c r="P8" s="489" t="e">
        <f t="shared" si="2"/>
        <v>#DIV/0!</v>
      </c>
      <c r="Q8" s="83"/>
      <c r="R8" s="164">
        <f>'ostatni plan'!T8</f>
        <v>50254</v>
      </c>
      <c r="S8" s="164">
        <f>ostatni_skut!S8</f>
        <v>46745.646889999996</v>
      </c>
      <c r="T8" s="404"/>
      <c r="U8" s="404"/>
    </row>
    <row r="9" spans="1:21" s="65" customFormat="1" ht="12">
      <c r="A9" s="61"/>
      <c r="B9" s="62"/>
      <c r="C9" s="62"/>
      <c r="D9" s="63" t="s">
        <v>21</v>
      </c>
      <c r="E9" s="64">
        <v>7</v>
      </c>
      <c r="F9" s="497" t="e">
        <f>SKM!P9/1000</f>
        <v>#DIV/0!</v>
      </c>
      <c r="G9" s="193" t="e">
        <f>SUKB!P11/1000</f>
        <v>#DIV/0!</v>
      </c>
      <c r="H9" s="193" t="e">
        <f>UCT!P9/1000</f>
        <v>#DIV/0!</v>
      </c>
      <c r="I9" s="193" t="e">
        <f>SPSSN!P9/1000</f>
        <v>#DIV/0!</v>
      </c>
      <c r="J9" s="193" t="e">
        <f>IBA!P9/1000</f>
        <v>#DIV/0!</v>
      </c>
      <c r="K9" s="193"/>
      <c r="L9" s="193" t="e">
        <f>ÚVT!P9/1000</f>
        <v>#DIV/0!</v>
      </c>
      <c r="M9" s="193" t="e">
        <f>CJV!P9/1000</f>
        <v>#DIV/0!</v>
      </c>
      <c r="N9" s="193" t="e">
        <f>CZS!P9/1000</f>
        <v>#DIV/0!</v>
      </c>
      <c r="O9" s="185" t="e">
        <f>RMU!P9/1000</f>
        <v>#DIV/0!</v>
      </c>
      <c r="P9" s="489" t="e">
        <f t="shared" si="2"/>
        <v>#DIV/0!</v>
      </c>
      <c r="Q9" s="83"/>
      <c r="R9" s="164">
        <f>'ostatni plan'!T9</f>
        <v>34166</v>
      </c>
      <c r="S9" s="164">
        <f>ostatni_skut!S9</f>
        <v>41646.733</v>
      </c>
      <c r="T9" s="404"/>
      <c r="U9" s="404"/>
    </row>
    <row r="10" spans="1:21" s="65" customFormat="1" ht="12">
      <c r="A10" s="61"/>
      <c r="B10" s="62"/>
      <c r="C10" s="62"/>
      <c r="D10" s="63" t="s">
        <v>22</v>
      </c>
      <c r="E10" s="64">
        <v>8</v>
      </c>
      <c r="F10" s="497" t="e">
        <f>SKM!P10/1000</f>
        <v>#DIV/0!</v>
      </c>
      <c r="G10" s="193" t="e">
        <f>SUKB!P12/1000</f>
        <v>#DIV/0!</v>
      </c>
      <c r="H10" s="193" t="e">
        <f>UCT!P10/1000</f>
        <v>#DIV/0!</v>
      </c>
      <c r="I10" s="193" t="e">
        <f>SPSSN!P10/1000</f>
        <v>#DIV/0!</v>
      </c>
      <c r="J10" s="193" t="e">
        <f>IBA!P10/1000</f>
        <v>#DIV/0!</v>
      </c>
      <c r="K10" s="193"/>
      <c r="L10" s="193" t="e">
        <f>ÚVT!P10/1000</f>
        <v>#DIV/0!</v>
      </c>
      <c r="M10" s="193" t="e">
        <f>CJV!P10/1000</f>
        <v>#DIV/0!</v>
      </c>
      <c r="N10" s="193" t="e">
        <f>CZS!P10/1000</f>
        <v>#DIV/0!</v>
      </c>
      <c r="O10" s="185" t="e">
        <f>RMU!P10/1000</f>
        <v>#DIV/0!</v>
      </c>
      <c r="P10" s="489" t="e">
        <f t="shared" si="2"/>
        <v>#DIV/0!</v>
      </c>
      <c r="Q10" s="83"/>
      <c r="R10" s="164">
        <f>'ostatni plan'!T10</f>
        <v>53640</v>
      </c>
      <c r="S10" s="164">
        <f>ostatni_skut!S10</f>
        <v>107119.56856</v>
      </c>
      <c r="T10" s="404"/>
      <c r="U10" s="404"/>
    </row>
    <row r="11" spans="1:21" s="65" customFormat="1" ht="12">
      <c r="A11" s="61"/>
      <c r="B11" s="62"/>
      <c r="C11" s="62"/>
      <c r="D11" s="63" t="s">
        <v>23</v>
      </c>
      <c r="E11" s="64">
        <v>9</v>
      </c>
      <c r="F11" s="497" t="e">
        <f>SKM!P11/1000</f>
        <v>#DIV/0!</v>
      </c>
      <c r="G11" s="193" t="e">
        <f>SUKB!P13/1000</f>
        <v>#DIV/0!</v>
      </c>
      <c r="H11" s="193" t="e">
        <f>UCT!P11/1000</f>
        <v>#DIV/0!</v>
      </c>
      <c r="I11" s="193" t="e">
        <f>SPSSN!P11/1000</f>
        <v>#DIV/0!</v>
      </c>
      <c r="J11" s="193" t="e">
        <f>IBA!P11/1000</f>
        <v>#DIV/0!</v>
      </c>
      <c r="K11" s="193"/>
      <c r="L11" s="193" t="e">
        <f>ÚVT!P11/1000</f>
        <v>#DIV/0!</v>
      </c>
      <c r="M11" s="193" t="e">
        <f>CJV!P11/1000</f>
        <v>#DIV/0!</v>
      </c>
      <c r="N11" s="193" t="e">
        <f>CZS!P11/1000</f>
        <v>#DIV/0!</v>
      </c>
      <c r="O11" s="185" t="e">
        <f>RMU!P11/1000</f>
        <v>#DIV/0!</v>
      </c>
      <c r="P11" s="489" t="e">
        <f t="shared" si="2"/>
        <v>#DIV/0!</v>
      </c>
      <c r="Q11" s="83"/>
      <c r="R11" s="164">
        <f>'ostatni plan'!T11</f>
        <v>88910</v>
      </c>
      <c r="S11" s="164">
        <f>ostatni_skut!S11</f>
        <v>113834.33317999999</v>
      </c>
      <c r="T11" s="404"/>
      <c r="U11" s="404"/>
    </row>
    <row r="12" spans="1:21" s="65" customFormat="1" ht="12">
      <c r="A12" s="61"/>
      <c r="B12" s="62"/>
      <c r="C12" s="62"/>
      <c r="D12" s="63" t="s">
        <v>24</v>
      </c>
      <c r="E12" s="64">
        <v>10</v>
      </c>
      <c r="F12" s="497" t="e">
        <f>SKM!P12/1000</f>
        <v>#DIV/0!</v>
      </c>
      <c r="G12" s="193" t="e">
        <f>SUKB!P14/1000</f>
        <v>#DIV/0!</v>
      </c>
      <c r="H12" s="193" t="e">
        <f>UCT!P12/1000</f>
        <v>#DIV/0!</v>
      </c>
      <c r="I12" s="193" t="e">
        <f>SPSSN!P12/1000</f>
        <v>#DIV/0!</v>
      </c>
      <c r="J12" s="193" t="e">
        <f>IBA!P12/1000</f>
        <v>#DIV/0!</v>
      </c>
      <c r="K12" s="193"/>
      <c r="L12" s="193" t="e">
        <f>ÚVT!P12/1000</f>
        <v>#DIV/0!</v>
      </c>
      <c r="M12" s="193" t="e">
        <f>CJV!P12/1000</f>
        <v>#DIV/0!</v>
      </c>
      <c r="N12" s="193" t="e">
        <f>CZS!P12/1000</f>
        <v>#DIV/0!</v>
      </c>
      <c r="O12" s="185" t="e">
        <f>RMU!P12/1000</f>
        <v>#DIV/0!</v>
      </c>
      <c r="P12" s="489" t="e">
        <f t="shared" si="2"/>
        <v>#DIV/0!</v>
      </c>
      <c r="Q12" s="83"/>
      <c r="R12" s="164">
        <f>'ostatni plan'!T12</f>
        <v>3707</v>
      </c>
      <c r="S12" s="164">
        <f>ostatni_skut!S12</f>
        <v>4165.73557</v>
      </c>
      <c r="T12" s="404"/>
      <c r="U12" s="404"/>
    </row>
    <row r="13" spans="1:21" s="65" customFormat="1" ht="12">
      <c r="A13" s="61"/>
      <c r="B13" s="62"/>
      <c r="C13" s="62"/>
      <c r="D13" s="63" t="s">
        <v>25</v>
      </c>
      <c r="E13" s="64">
        <v>11</v>
      </c>
      <c r="F13" s="497">
        <f>SKM!P13/1000</f>
        <v>0</v>
      </c>
      <c r="G13" s="193">
        <f>SUKB!P15/1000</f>
        <v>0</v>
      </c>
      <c r="H13" s="193">
        <f>UCT!P13/1000</f>
        <v>0</v>
      </c>
      <c r="I13" s="193">
        <f>SPSSN!P13/1000</f>
        <v>0</v>
      </c>
      <c r="J13" s="193">
        <f>IBA!P13/1000</f>
        <v>0</v>
      </c>
      <c r="K13" s="193"/>
      <c r="L13" s="193">
        <f>ÚVT!P13/1000</f>
        <v>0</v>
      </c>
      <c r="M13" s="193">
        <f>CJV!P13/1000</f>
        <v>0</v>
      </c>
      <c r="N13" s="193">
        <f>CZS!P13/1000</f>
        <v>0</v>
      </c>
      <c r="O13" s="185">
        <f>RMU!P13/1000</f>
        <v>0</v>
      </c>
      <c r="P13" s="489">
        <f t="shared" si="2"/>
        <v>0</v>
      </c>
      <c r="Q13" s="83"/>
      <c r="R13" s="164">
        <f>'ostatni plan'!T13</f>
        <v>181153</v>
      </c>
      <c r="S13" s="164">
        <f>ostatni_skut!S13</f>
        <v>144595.74141000002</v>
      </c>
      <c r="T13" s="404"/>
      <c r="U13" s="404"/>
    </row>
    <row r="14" spans="1:21" s="65" customFormat="1" ht="12">
      <c r="A14" s="61"/>
      <c r="B14" s="62"/>
      <c r="C14" s="62"/>
      <c r="D14" s="63" t="s">
        <v>26</v>
      </c>
      <c r="E14" s="64">
        <v>12</v>
      </c>
      <c r="F14" s="497" t="e">
        <f>SKM!P14/1000</f>
        <v>#DIV/0!</v>
      </c>
      <c r="G14" s="193" t="e">
        <f>SUKB!P16/1000</f>
        <v>#DIV/0!</v>
      </c>
      <c r="H14" s="193" t="e">
        <f>UCT!P14/1000</f>
        <v>#DIV/0!</v>
      </c>
      <c r="I14" s="193" t="e">
        <f>SPSSN!P14/1000</f>
        <v>#DIV/0!</v>
      </c>
      <c r="J14" s="193" t="e">
        <f>IBA!P14/1000</f>
        <v>#DIV/0!</v>
      </c>
      <c r="K14" s="193"/>
      <c r="L14" s="193" t="e">
        <f>ÚVT!P14/1000</f>
        <v>#DIV/0!</v>
      </c>
      <c r="M14" s="193" t="e">
        <f>CJV!P14/1000</f>
        <v>#DIV/0!</v>
      </c>
      <c r="N14" s="193" t="e">
        <f>CZS!P14/1000</f>
        <v>#DIV/0!</v>
      </c>
      <c r="O14" s="185" t="e">
        <f>RMU!P14/1000</f>
        <v>#DIV/0!</v>
      </c>
      <c r="P14" s="489" t="e">
        <f t="shared" si="2"/>
        <v>#DIV/0!</v>
      </c>
      <c r="Q14" s="83"/>
      <c r="R14" s="164">
        <f>'ostatni plan'!T14</f>
        <v>114329</v>
      </c>
      <c r="S14" s="164">
        <f>ostatni_skut!S14</f>
        <v>116492</v>
      </c>
      <c r="T14" s="404"/>
      <c r="U14" s="404"/>
    </row>
    <row r="15" spans="1:21" s="65" customFormat="1" ht="12">
      <c r="A15" s="61"/>
      <c r="B15" s="62"/>
      <c r="C15" s="63"/>
      <c r="D15" s="63" t="s">
        <v>27</v>
      </c>
      <c r="E15" s="64">
        <v>13</v>
      </c>
      <c r="F15" s="497" t="e">
        <f>SKM!P15/1000</f>
        <v>#DIV/0!</v>
      </c>
      <c r="G15" s="193">
        <f>SUKB!P17/1000</f>
        <v>0</v>
      </c>
      <c r="H15" s="193" t="e">
        <f>UCT!P15/1000</f>
        <v>#DIV/0!</v>
      </c>
      <c r="I15" s="193" t="e">
        <f>SPSSN!P15/1000</f>
        <v>#DIV/0!</v>
      </c>
      <c r="J15" s="193" t="e">
        <f>IBA!P15/1000</f>
        <v>#DIV/0!</v>
      </c>
      <c r="K15" s="193"/>
      <c r="L15" s="193" t="e">
        <f>ÚVT!P15/1000</f>
        <v>#DIV/0!</v>
      </c>
      <c r="M15" s="193" t="e">
        <f>CJV!P15/1000</f>
        <v>#DIV/0!</v>
      </c>
      <c r="N15" s="193" t="e">
        <f>CZS!P15/1000</f>
        <v>#DIV/0!</v>
      </c>
      <c r="O15" s="185" t="e">
        <f>RMU!P15/1000</f>
        <v>#DIV/0!</v>
      </c>
      <c r="P15" s="489" t="e">
        <f t="shared" si="2"/>
        <v>#DIV/0!</v>
      </c>
      <c r="Q15" s="83"/>
      <c r="R15" s="164">
        <f>'ostatni plan'!T15</f>
        <v>36134</v>
      </c>
      <c r="S15" s="164">
        <f>ostatni_skut!S15</f>
        <v>97655.91961</v>
      </c>
      <c r="T15" s="404"/>
      <c r="U15" s="404"/>
    </row>
    <row r="16" spans="1:21" s="25" customFormat="1" ht="12">
      <c r="A16" s="21"/>
      <c r="B16" s="30" t="s">
        <v>28</v>
      </c>
      <c r="C16" s="27"/>
      <c r="D16" s="27"/>
      <c r="E16" s="28">
        <v>14</v>
      </c>
      <c r="F16" s="499">
        <f>SKM!P16/1000</f>
        <v>0</v>
      </c>
      <c r="G16" s="151">
        <f>SUKB!P18/1000</f>
        <v>0</v>
      </c>
      <c r="H16" s="151">
        <f>UCT!P16/1000</f>
        <v>0</v>
      </c>
      <c r="I16" s="151">
        <f>SPSSN!P16/1000</f>
        <v>0</v>
      </c>
      <c r="J16" s="151">
        <f>IBA!P16/1000</f>
        <v>0</v>
      </c>
      <c r="K16" s="151"/>
      <c r="L16" s="151">
        <f>ÚVT!P16/1000</f>
        <v>0</v>
      </c>
      <c r="M16" s="151">
        <f>CJV!P16/1000</f>
        <v>0</v>
      </c>
      <c r="N16" s="151">
        <f>CZS!P16/1000</f>
        <v>0</v>
      </c>
      <c r="O16" s="186">
        <f>RMU!P16/1000</f>
        <v>0</v>
      </c>
      <c r="P16" s="490">
        <f t="shared" si="2"/>
        <v>0</v>
      </c>
      <c r="Q16" s="139"/>
      <c r="R16" s="164">
        <f>'ostatni plan'!T16</f>
        <v>0</v>
      </c>
      <c r="S16" s="164">
        <f>ostatni_skut!S16</f>
        <v>0</v>
      </c>
      <c r="T16" s="403"/>
      <c r="U16" s="403"/>
    </row>
    <row r="17" spans="1:21" s="25" customFormat="1" ht="12">
      <c r="A17" s="21"/>
      <c r="B17" s="30" t="s">
        <v>30</v>
      </c>
      <c r="C17" s="27"/>
      <c r="D17" s="27"/>
      <c r="E17" s="28">
        <v>15</v>
      </c>
      <c r="F17" s="499">
        <f>SKM!P17/1000</f>
        <v>0</v>
      </c>
      <c r="G17" s="151">
        <f>SUKB!P19/1000</f>
        <v>0</v>
      </c>
      <c r="H17" s="151">
        <f>UCT!P17/1000</f>
        <v>0</v>
      </c>
      <c r="I17" s="151">
        <f>SPSSN!P17/1000</f>
        <v>0</v>
      </c>
      <c r="J17" s="151">
        <f>IBA!P17/1000</f>
        <v>0</v>
      </c>
      <c r="K17" s="151"/>
      <c r="L17" s="151">
        <f>ÚVT!P17/1000</f>
        <v>0</v>
      </c>
      <c r="M17" s="151">
        <f>CJV!P17/1000</f>
        <v>0</v>
      </c>
      <c r="N17" s="151">
        <f>CZS!P17/1000</f>
        <v>0</v>
      </c>
      <c r="O17" s="186">
        <f>RMU!P17/1000</f>
        <v>0</v>
      </c>
      <c r="P17" s="490">
        <f t="shared" si="2"/>
        <v>0</v>
      </c>
      <c r="Q17" s="139"/>
      <c r="R17" s="164">
        <f>'ostatni plan'!T17</f>
        <v>35461</v>
      </c>
      <c r="S17" s="164">
        <f>ostatni_skut!S17</f>
        <v>38972.036</v>
      </c>
      <c r="T17" s="403"/>
      <c r="U17" s="403"/>
    </row>
    <row r="18" spans="1:21" s="25" customFormat="1" ht="12">
      <c r="A18" s="21"/>
      <c r="B18" s="31" t="s">
        <v>32</v>
      </c>
      <c r="C18" s="32"/>
      <c r="D18" s="32"/>
      <c r="E18" s="33">
        <v>16</v>
      </c>
      <c r="F18" s="499">
        <f>SKM!P18/1000</f>
        <v>0</v>
      </c>
      <c r="G18" s="151">
        <f>SUKB!P20/1000</f>
        <v>0</v>
      </c>
      <c r="H18" s="151">
        <f>UCT!P18/1000</f>
        <v>0</v>
      </c>
      <c r="I18" s="151">
        <f>SPSSN!P18/1000</f>
        <v>0</v>
      </c>
      <c r="J18" s="151">
        <f>IBA!P18/1000</f>
        <v>0</v>
      </c>
      <c r="K18" s="151"/>
      <c r="L18" s="151">
        <f>ÚVT!P18/1000</f>
        <v>0</v>
      </c>
      <c r="M18" s="151">
        <f>CJV!P18/1000</f>
        <v>0.324</v>
      </c>
      <c r="N18" s="151">
        <f>CZS!P18/1000</f>
        <v>0</v>
      </c>
      <c r="O18" s="186">
        <f>RMU!P18/1000</f>
        <v>0</v>
      </c>
      <c r="P18" s="490">
        <f t="shared" si="2"/>
        <v>0.324</v>
      </c>
      <c r="Q18" s="139"/>
      <c r="R18" s="164">
        <f>'ostatni plan'!T18</f>
        <v>90954</v>
      </c>
      <c r="S18" s="164">
        <f>ostatni_skut!S18</f>
        <v>62950</v>
      </c>
      <c r="T18" s="403"/>
      <c r="U18" s="403"/>
    </row>
    <row r="19" spans="1:21" s="25" customFormat="1" ht="12">
      <c r="A19" s="21"/>
      <c r="B19" s="31" t="s">
        <v>34</v>
      </c>
      <c r="C19" s="32"/>
      <c r="D19" s="32"/>
      <c r="E19" s="33">
        <v>17</v>
      </c>
      <c r="F19" s="499">
        <f>SKM!P19/1000</f>
        <v>0</v>
      </c>
      <c r="G19" s="151">
        <f>SUKB!P21/1000</f>
        <v>0</v>
      </c>
      <c r="H19" s="151">
        <f>UCT!P19/1000</f>
        <v>0</v>
      </c>
      <c r="I19" s="151">
        <f>SPSSN!P19/1000</f>
        <v>0</v>
      </c>
      <c r="J19" s="151">
        <f>IBA!P19/1000</f>
        <v>0</v>
      </c>
      <c r="K19" s="151"/>
      <c r="L19" s="151">
        <f>ÚVT!P19/1000</f>
        <v>0</v>
      </c>
      <c r="M19" s="151">
        <f>CJV!P19/1000</f>
        <v>0</v>
      </c>
      <c r="N19" s="151">
        <f>CZS!P19/1000</f>
        <v>0</v>
      </c>
      <c r="O19" s="186">
        <f>RMU!P19/1000</f>
        <v>0</v>
      </c>
      <c r="P19" s="490">
        <f t="shared" si="2"/>
        <v>0</v>
      </c>
      <c r="Q19" s="139"/>
      <c r="R19" s="164">
        <f>'ostatni plan'!T19</f>
        <v>0</v>
      </c>
      <c r="S19" s="164">
        <f>ostatni_skut!S19</f>
        <v>485</v>
      </c>
      <c r="T19" s="403"/>
      <c r="U19" s="403"/>
    </row>
    <row r="20" spans="1:21" s="25" customFormat="1" ht="12">
      <c r="A20" s="21"/>
      <c r="B20" s="31" t="s">
        <v>36</v>
      </c>
      <c r="C20" s="31"/>
      <c r="D20" s="31"/>
      <c r="E20" s="33">
        <v>18</v>
      </c>
      <c r="F20" s="499">
        <f>SKM!P20/1000</f>
        <v>0</v>
      </c>
      <c r="G20" s="151">
        <f>SUKB!P22/1000</f>
        <v>0</v>
      </c>
      <c r="H20" s="151">
        <f>UCT!P20/1000</f>
        <v>0</v>
      </c>
      <c r="I20" s="151">
        <f>SPSSN!P20/1000</f>
        <v>0</v>
      </c>
      <c r="J20" s="151">
        <f>IBA!P20/1000</f>
        <v>0</v>
      </c>
      <c r="K20" s="151"/>
      <c r="L20" s="151">
        <f>ÚVT!P20/1000</f>
        <v>5.8</v>
      </c>
      <c r="M20" s="151">
        <f>CJV!P20/1000</f>
        <v>0</v>
      </c>
      <c r="N20" s="151">
        <f>CZS!P20/1000</f>
        <v>0</v>
      </c>
      <c r="O20" s="186">
        <f>RMU!P20/1000</f>
        <v>0</v>
      </c>
      <c r="P20" s="490">
        <f t="shared" si="2"/>
        <v>5.8</v>
      </c>
      <c r="Q20" s="139"/>
      <c r="R20" s="164">
        <f>'ostatni plan'!T20</f>
        <v>10080</v>
      </c>
      <c r="S20" s="164">
        <f>ostatni_skut!S20</f>
        <v>9689.25454</v>
      </c>
      <c r="T20" s="403"/>
      <c r="U20" s="403"/>
    </row>
    <row r="21" spans="1:21" s="25" customFormat="1" ht="12">
      <c r="A21" s="21"/>
      <c r="B21" s="31" t="s">
        <v>38</v>
      </c>
      <c r="C21" s="31"/>
      <c r="D21" s="31"/>
      <c r="E21" s="33">
        <v>19</v>
      </c>
      <c r="F21" s="499">
        <f>SKM!P21/1000</f>
        <v>0</v>
      </c>
      <c r="G21" s="151">
        <f>SUKB!P23/1000</f>
        <v>0</v>
      </c>
      <c r="H21" s="151">
        <f>UCT!P21/1000</f>
        <v>0</v>
      </c>
      <c r="I21" s="151">
        <f>SPSSN!P21/1000</f>
        <v>0</v>
      </c>
      <c r="J21" s="151">
        <f>IBA!P21/1000</f>
        <v>0</v>
      </c>
      <c r="K21" s="151"/>
      <c r="L21" s="151">
        <f>ÚVT!P21/1000</f>
        <v>0</v>
      </c>
      <c r="M21" s="151">
        <f>CJV!P21/1000</f>
        <v>0</v>
      </c>
      <c r="N21" s="151">
        <f>CZS!P21/1000</f>
        <v>0</v>
      </c>
      <c r="O21" s="186">
        <f>RMU!P21/1000</f>
        <v>0</v>
      </c>
      <c r="P21" s="490">
        <f t="shared" si="2"/>
        <v>0</v>
      </c>
      <c r="Q21" s="139"/>
      <c r="R21" s="164">
        <f>'ostatni plan'!T21</f>
        <v>53249</v>
      </c>
      <c r="S21" s="164">
        <f>ostatni_skut!S21</f>
        <v>38361.738450000004</v>
      </c>
      <c r="T21" s="403"/>
      <c r="U21" s="403"/>
    </row>
    <row r="22" spans="1:21" s="25" customFormat="1" ht="12">
      <c r="A22" s="21"/>
      <c r="B22" s="31" t="s">
        <v>40</v>
      </c>
      <c r="C22" s="31"/>
      <c r="D22" s="31"/>
      <c r="E22" s="33">
        <v>20</v>
      </c>
      <c r="F22" s="499">
        <f>SKM!P22/1000</f>
        <v>0</v>
      </c>
      <c r="G22" s="151">
        <f>SUKB!P24/1000</f>
        <v>0</v>
      </c>
      <c r="H22" s="151">
        <f>UCT!P22/1000</f>
        <v>0</v>
      </c>
      <c r="I22" s="151">
        <f>SPSSN!P22/1000</f>
        <v>0</v>
      </c>
      <c r="J22" s="151">
        <f>IBA!P22/1000</f>
        <v>0</v>
      </c>
      <c r="K22" s="151"/>
      <c r="L22" s="151">
        <f>ÚVT!P22/1000</f>
        <v>0</v>
      </c>
      <c r="M22" s="151">
        <f>CJV!P22/1000</f>
        <v>0</v>
      </c>
      <c r="N22" s="151">
        <f>CZS!P22/1000</f>
        <v>0</v>
      </c>
      <c r="O22" s="186">
        <f>RMU!P22/1000</f>
        <v>0</v>
      </c>
      <c r="P22" s="490">
        <f t="shared" si="2"/>
        <v>0</v>
      </c>
      <c r="Q22" s="139"/>
      <c r="R22" s="164">
        <f>'ostatni plan'!T22</f>
        <v>24936</v>
      </c>
      <c r="S22" s="164">
        <f>ostatni_skut!S22</f>
        <v>58475.174</v>
      </c>
      <c r="T22" s="403"/>
      <c r="U22" s="403"/>
    </row>
    <row r="23" spans="1:21" s="25" customFormat="1" ht="12">
      <c r="A23" s="21"/>
      <c r="B23" s="31" t="s">
        <v>42</v>
      </c>
      <c r="C23" s="31"/>
      <c r="D23" s="31"/>
      <c r="E23" s="33">
        <v>21</v>
      </c>
      <c r="F23" s="499">
        <f>SKM!P23/1000</f>
        <v>0</v>
      </c>
      <c r="G23" s="151">
        <f>SUKB!P25/1000</f>
        <v>0</v>
      </c>
      <c r="H23" s="151">
        <f>UCT!P23/1000</f>
        <v>0</v>
      </c>
      <c r="I23" s="151">
        <f>SPSSN!P23/1000</f>
        <v>0</v>
      </c>
      <c r="J23" s="151">
        <f>IBA!P23/1000</f>
        <v>0</v>
      </c>
      <c r="K23" s="151"/>
      <c r="L23" s="151">
        <f>ÚVT!P23/1000</f>
        <v>0</v>
      </c>
      <c r="M23" s="151">
        <f>CJV!P23/1000</f>
        <v>0</v>
      </c>
      <c r="N23" s="151">
        <f>CZS!P23/1000</f>
        <v>0</v>
      </c>
      <c r="O23" s="186">
        <f>RMU!P23/1000</f>
        <v>0</v>
      </c>
      <c r="P23" s="490">
        <f t="shared" si="2"/>
        <v>0</v>
      </c>
      <c r="Q23" s="139"/>
      <c r="R23" s="164">
        <f>'ostatni plan'!T23</f>
        <v>30315</v>
      </c>
      <c r="S23" s="164">
        <f>ostatni_skut!S23</f>
        <v>930.95</v>
      </c>
      <c r="T23" s="403"/>
      <c r="U23" s="403"/>
    </row>
    <row r="24" spans="1:21" s="25" customFormat="1" ht="12">
      <c r="A24" s="21"/>
      <c r="B24" s="31" t="s">
        <v>43</v>
      </c>
      <c r="C24" s="31"/>
      <c r="D24" s="31"/>
      <c r="E24" s="33">
        <v>22</v>
      </c>
      <c r="F24" s="499">
        <f>SKM!P24/1000</f>
        <v>0</v>
      </c>
      <c r="G24" s="151">
        <f>SUKB!P26/1000</f>
        <v>0</v>
      </c>
      <c r="H24" s="151">
        <f>UCT!P24/1000</f>
        <v>0</v>
      </c>
      <c r="I24" s="151">
        <f>SPSSN!P24/1000</f>
        <v>0</v>
      </c>
      <c r="J24" s="151">
        <f>IBA!P24/1000</f>
        <v>0</v>
      </c>
      <c r="K24" s="151"/>
      <c r="L24" s="151">
        <f>ÚVT!P24/1000</f>
        <v>0</v>
      </c>
      <c r="M24" s="151">
        <f>CJV!P24/1000</f>
        <v>0</v>
      </c>
      <c r="N24" s="151">
        <f>CZS!P24/1000</f>
        <v>0</v>
      </c>
      <c r="O24" s="186">
        <f>RMU!P24/1000</f>
        <v>0</v>
      </c>
      <c r="P24" s="490">
        <f t="shared" si="2"/>
        <v>0</v>
      </c>
      <c r="Q24" s="139"/>
      <c r="R24" s="164">
        <f>'ostatni plan'!T24</f>
        <v>42150</v>
      </c>
      <c r="S24" s="164">
        <f>ostatni_skut!S24</f>
        <v>6253</v>
      </c>
      <c r="T24" s="403"/>
      <c r="U24" s="403"/>
    </row>
    <row r="25" spans="1:21" s="25" customFormat="1" ht="12">
      <c r="A25" s="21"/>
      <c r="B25" s="31" t="s">
        <v>186</v>
      </c>
      <c r="C25" s="31"/>
      <c r="D25" s="31"/>
      <c r="E25" s="33">
        <v>23</v>
      </c>
      <c r="F25" s="499">
        <f>SKM!P25/1000</f>
        <v>0</v>
      </c>
      <c r="G25" s="151">
        <f>SUKB!P27/1000</f>
        <v>0</v>
      </c>
      <c r="H25" s="151">
        <f>UCT!P25/1000</f>
        <v>0</v>
      </c>
      <c r="I25" s="151">
        <f>SPSSN!P25/1000</f>
        <v>0</v>
      </c>
      <c r="J25" s="151">
        <f>IBA!P25/1000</f>
        <v>2.59</v>
      </c>
      <c r="K25" s="151"/>
      <c r="L25" s="151">
        <f>ÚVT!P25/1000</f>
        <v>0.457</v>
      </c>
      <c r="M25" s="151">
        <f>CJV!P25/1000</f>
        <v>0</v>
      </c>
      <c r="N25" s="151">
        <f>CZS!P25/1000</f>
        <v>0</v>
      </c>
      <c r="O25" s="186">
        <f>RMU!P25/1000</f>
        <v>0</v>
      </c>
      <c r="P25" s="490">
        <f t="shared" si="2"/>
        <v>3.0469999999999997</v>
      </c>
      <c r="Q25" s="139"/>
      <c r="R25" s="164">
        <f>'ostatni plan'!T25</f>
        <v>82984</v>
      </c>
      <c r="S25" s="164">
        <f>ostatni_skut!S25</f>
        <v>16705</v>
      </c>
      <c r="T25" s="403"/>
      <c r="U25" s="403"/>
    </row>
    <row r="26" spans="1:21" s="25" customFormat="1" ht="12">
      <c r="A26" s="21"/>
      <c r="B26" s="31" t="s">
        <v>45</v>
      </c>
      <c r="C26" s="31"/>
      <c r="D26" s="31"/>
      <c r="E26" s="33">
        <v>24</v>
      </c>
      <c r="F26" s="499">
        <f>SKM!P26/1000</f>
        <v>0</v>
      </c>
      <c r="G26" s="151">
        <f>SUKB!P28/1000</f>
        <v>0</v>
      </c>
      <c r="H26" s="151">
        <f>UCT!P26/1000</f>
        <v>0</v>
      </c>
      <c r="I26" s="151">
        <f>SPSSN!P26/1000</f>
        <v>0</v>
      </c>
      <c r="J26" s="151">
        <f>IBA!P26/1000</f>
        <v>0</v>
      </c>
      <c r="K26" s="151"/>
      <c r="L26" s="151">
        <f>ÚVT!P26/1000</f>
        <v>0</v>
      </c>
      <c r="M26" s="151">
        <f>CJV!P26/1000</f>
        <v>0</v>
      </c>
      <c r="N26" s="151">
        <f>CZS!P26/1000</f>
        <v>0</v>
      </c>
      <c r="O26" s="186">
        <f>RMU!P26/1000</f>
        <v>0</v>
      </c>
      <c r="P26" s="490">
        <f t="shared" si="2"/>
        <v>0</v>
      </c>
      <c r="Q26" s="139"/>
      <c r="R26" s="164">
        <f>'ostatni plan'!T26</f>
        <v>5553</v>
      </c>
      <c r="S26" s="164">
        <f>ostatni_skut!S26</f>
        <v>3033</v>
      </c>
      <c r="T26" s="403"/>
      <c r="U26" s="403"/>
    </row>
    <row r="27" spans="1:21" s="25" customFormat="1" ht="12.75" thickBot="1">
      <c r="A27" s="21"/>
      <c r="B27" s="30" t="s">
        <v>47</v>
      </c>
      <c r="C27" s="30"/>
      <c r="D27" s="30"/>
      <c r="E27" s="28">
        <v>25</v>
      </c>
      <c r="F27" s="499" t="e">
        <f>SKM!P27/1000</f>
        <v>#DIV/0!</v>
      </c>
      <c r="G27" s="151" t="e">
        <f>SUKB!P29/1000</f>
        <v>#DIV/0!</v>
      </c>
      <c r="H27" s="151" t="e">
        <f>UCT!P27/1000</f>
        <v>#DIV/0!</v>
      </c>
      <c r="I27" s="151" t="e">
        <f>SPSSN!P27/1000</f>
        <v>#DIV/0!</v>
      </c>
      <c r="J27" s="151" t="e">
        <f>IBA!P27/1000</f>
        <v>#DIV/0!</v>
      </c>
      <c r="K27" s="151"/>
      <c r="L27" s="151" t="e">
        <f>ÚVT!P27/1000</f>
        <v>#DIV/0!</v>
      </c>
      <c r="M27" s="151" t="e">
        <f>CJV!P27/1000</f>
        <v>#DIV/0!</v>
      </c>
      <c r="N27" s="151" t="e">
        <f>CZS!P27/1000</f>
        <v>#DIV/0!</v>
      </c>
      <c r="O27" s="186" t="e">
        <f>RMU!P27/1000</f>
        <v>#DIV/0!</v>
      </c>
      <c r="P27" s="490" t="e">
        <f t="shared" si="2"/>
        <v>#DIV/0!</v>
      </c>
      <c r="Q27" s="139"/>
      <c r="R27" s="164">
        <f>'ostatni plan'!T27</f>
        <v>72768</v>
      </c>
      <c r="S27" s="164">
        <f>ostatni_skut!S27</f>
        <v>83181.68289</v>
      </c>
      <c r="T27" s="403"/>
      <c r="U27" s="403"/>
    </row>
    <row r="28" spans="1:19" ht="13.5" thickBot="1">
      <c r="A28" s="37" t="s">
        <v>49</v>
      </c>
      <c r="B28" s="38"/>
      <c r="C28" s="38"/>
      <c r="D28" s="38"/>
      <c r="E28" s="19">
        <v>26</v>
      </c>
      <c r="F28" s="194" t="e">
        <f aca="true" t="shared" si="3" ref="F28:S28">SUM(F29:F45)</f>
        <v>#DIV/0!</v>
      </c>
      <c r="G28" s="194" t="e">
        <f t="shared" si="3"/>
        <v>#DIV/0!</v>
      </c>
      <c r="H28" s="194" t="e">
        <f t="shared" si="3"/>
        <v>#DIV/0!</v>
      </c>
      <c r="I28" s="194" t="e">
        <f t="shared" si="3"/>
        <v>#DIV/0!</v>
      </c>
      <c r="J28" s="194" t="e">
        <f t="shared" si="3"/>
        <v>#DIV/0!</v>
      </c>
      <c r="K28" s="194">
        <f t="shared" si="3"/>
        <v>0</v>
      </c>
      <c r="L28" s="194" t="e">
        <f t="shared" si="3"/>
        <v>#DIV/0!</v>
      </c>
      <c r="M28" s="194" t="e">
        <f t="shared" si="3"/>
        <v>#DIV/0!</v>
      </c>
      <c r="N28" s="194" t="e">
        <f t="shared" si="3"/>
        <v>#DIV/0!</v>
      </c>
      <c r="O28" s="194" t="e">
        <f t="shared" si="3"/>
        <v>#DIV/0!</v>
      </c>
      <c r="P28" s="172" t="e">
        <f t="shared" si="3"/>
        <v>#DIV/0!</v>
      </c>
      <c r="Q28" s="172">
        <f t="shared" si="3"/>
        <v>0</v>
      </c>
      <c r="R28" s="78">
        <f t="shared" si="3"/>
        <v>1297925</v>
      </c>
      <c r="S28" s="78">
        <f t="shared" si="3"/>
        <v>1331910.62989</v>
      </c>
    </row>
    <row r="29" spans="1:21" s="25" customFormat="1" ht="12">
      <c r="A29" s="21" t="s">
        <v>14</v>
      </c>
      <c r="B29" s="27" t="s">
        <v>50</v>
      </c>
      <c r="C29" s="27"/>
      <c r="D29" s="27"/>
      <c r="E29" s="168">
        <v>27</v>
      </c>
      <c r="F29" s="499">
        <f>SKM!P29/1000</f>
        <v>0</v>
      </c>
      <c r="G29" s="151">
        <f>SUKB!P31/1000</f>
        <v>0</v>
      </c>
      <c r="H29" s="151">
        <f>UCT!P29/1000</f>
        <v>8.417</v>
      </c>
      <c r="I29" s="151">
        <f>SPSSN!P29/1000</f>
        <v>0</v>
      </c>
      <c r="J29" s="151">
        <f>IBA!P29/1000</f>
        <v>0</v>
      </c>
      <c r="K29" s="151"/>
      <c r="L29" s="151">
        <f>ÚVT!P29/1000</f>
        <v>0</v>
      </c>
      <c r="M29" s="151">
        <f>CJV!P29/1000</f>
        <v>28.141</v>
      </c>
      <c r="N29" s="151">
        <f>CZS!P29/1000</f>
        <v>0</v>
      </c>
      <c r="O29" s="186">
        <f>RMU!P29/1000</f>
        <v>0</v>
      </c>
      <c r="P29" s="490">
        <f aca="true" t="shared" si="4" ref="P29:P45">SUM(F29:O29)</f>
        <v>36.558</v>
      </c>
      <c r="Q29" s="282"/>
      <c r="R29" s="96">
        <f>'ostatni plan'!T29</f>
        <v>359984</v>
      </c>
      <c r="S29" s="96">
        <f>ostatni_skut!S29</f>
        <v>461403</v>
      </c>
      <c r="T29" s="403"/>
      <c r="U29" s="403"/>
    </row>
    <row r="30" spans="1:21" s="25" customFormat="1" ht="12">
      <c r="A30" s="21"/>
      <c r="B30" s="30" t="s">
        <v>28</v>
      </c>
      <c r="C30" s="30"/>
      <c r="D30" s="30"/>
      <c r="E30" s="168">
        <v>28</v>
      </c>
      <c r="F30" s="499">
        <f>SKM!P30/1000</f>
        <v>0</v>
      </c>
      <c r="G30" s="151">
        <f>SUKB!P32/1000</f>
        <v>0</v>
      </c>
      <c r="H30" s="151">
        <f>UCT!P30/1000</f>
        <v>0</v>
      </c>
      <c r="I30" s="151">
        <f>SPSSN!P30/1000</f>
        <v>0</v>
      </c>
      <c r="J30" s="151">
        <f>IBA!P30/1000</f>
        <v>0</v>
      </c>
      <c r="K30" s="151"/>
      <c r="L30" s="151">
        <f>ÚVT!P30/1000</f>
        <v>0</v>
      </c>
      <c r="M30" s="151">
        <f>CJV!P30/1000</f>
        <v>0</v>
      </c>
      <c r="N30" s="151">
        <f>CZS!P30/1000</f>
        <v>0</v>
      </c>
      <c r="O30" s="186">
        <f>RMU!P30/1000</f>
        <v>0</v>
      </c>
      <c r="P30" s="490">
        <f t="shared" si="4"/>
        <v>0</v>
      </c>
      <c r="Q30" s="290"/>
      <c r="R30" s="96">
        <f>'ostatni plan'!T30</f>
        <v>0</v>
      </c>
      <c r="S30" s="96">
        <f>ostatni_skut!S30</f>
        <v>0</v>
      </c>
      <c r="T30" s="403"/>
      <c r="U30" s="403"/>
    </row>
    <row r="31" spans="1:21" s="25" customFormat="1" ht="12">
      <c r="A31" s="21"/>
      <c r="B31" s="30" t="s">
        <v>30</v>
      </c>
      <c r="C31" s="30"/>
      <c r="D31" s="30"/>
      <c r="E31" s="168">
        <v>29</v>
      </c>
      <c r="F31" s="499">
        <f>SKM!P31/1000</f>
        <v>0</v>
      </c>
      <c r="G31" s="151">
        <f>SUKB!P33/1000</f>
        <v>0</v>
      </c>
      <c r="H31" s="151">
        <f>UCT!P31/1000</f>
        <v>0</v>
      </c>
      <c r="I31" s="151">
        <f>SPSSN!P31/1000</f>
        <v>0</v>
      </c>
      <c r="J31" s="151">
        <f>IBA!P31/1000</f>
        <v>0</v>
      </c>
      <c r="K31" s="151"/>
      <c r="L31" s="151">
        <f>ÚVT!P31/1000</f>
        <v>0</v>
      </c>
      <c r="M31" s="151">
        <f>CJV!P31/1000</f>
        <v>0</v>
      </c>
      <c r="N31" s="151">
        <f>CZS!P31/1000</f>
        <v>0</v>
      </c>
      <c r="O31" s="186">
        <f>RMU!P31/1000</f>
        <v>0</v>
      </c>
      <c r="P31" s="490">
        <f t="shared" si="4"/>
        <v>0</v>
      </c>
      <c r="Q31" s="290"/>
      <c r="R31" s="96">
        <f>'ostatni plan'!T31</f>
        <v>35461</v>
      </c>
      <c r="S31" s="96">
        <f>ostatni_skut!S31</f>
        <v>38972.036</v>
      </c>
      <c r="T31" s="403"/>
      <c r="U31" s="403"/>
    </row>
    <row r="32" spans="1:21" s="25" customFormat="1" ht="12">
      <c r="A32" s="21"/>
      <c r="B32" s="31" t="s">
        <v>32</v>
      </c>
      <c r="C32" s="32"/>
      <c r="D32" s="32"/>
      <c r="E32" s="169">
        <v>30</v>
      </c>
      <c r="F32" s="499">
        <f>SKM!P32/1000</f>
        <v>0</v>
      </c>
      <c r="G32" s="151">
        <f>SUKB!P34/1000</f>
        <v>0</v>
      </c>
      <c r="H32" s="151">
        <f>UCT!P32/1000</f>
        <v>0</v>
      </c>
      <c r="I32" s="151">
        <f>SPSSN!P32/1000</f>
        <v>0</v>
      </c>
      <c r="J32" s="151">
        <f>IBA!P32/1000</f>
        <v>0</v>
      </c>
      <c r="K32" s="151"/>
      <c r="L32" s="151">
        <f>ÚVT!P32/1000</f>
        <v>0</v>
      </c>
      <c r="M32" s="151">
        <f>CJV!P32/1000</f>
        <v>0.324</v>
      </c>
      <c r="N32" s="151">
        <f>CZS!P32/1000</f>
        <v>0</v>
      </c>
      <c r="O32" s="186">
        <f>RMU!P32/1000</f>
        <v>0</v>
      </c>
      <c r="P32" s="490">
        <f t="shared" si="4"/>
        <v>0.324</v>
      </c>
      <c r="Q32" s="290"/>
      <c r="R32" s="96">
        <f>'ostatni plan'!T32</f>
        <v>90954</v>
      </c>
      <c r="S32" s="96">
        <f>ostatni_skut!S32</f>
        <v>62950</v>
      </c>
      <c r="T32" s="401">
        <f>ostatni!P32/1000</f>
        <v>0.324</v>
      </c>
      <c r="U32" s="401">
        <f>ostatni!Q32</f>
        <v>62950</v>
      </c>
    </row>
    <row r="33" spans="1:21" s="25" customFormat="1" ht="12">
      <c r="A33" s="21"/>
      <c r="B33" s="31" t="s">
        <v>34</v>
      </c>
      <c r="C33" s="31"/>
      <c r="D33" s="31"/>
      <c r="E33" s="169">
        <v>31</v>
      </c>
      <c r="F33" s="499">
        <f>SKM!P33/1000</f>
        <v>0</v>
      </c>
      <c r="G33" s="151">
        <f>SUKB!P35/1000</f>
        <v>0</v>
      </c>
      <c r="H33" s="151">
        <f>UCT!P33/1000</f>
        <v>0</v>
      </c>
      <c r="I33" s="151">
        <f>SPSSN!P33/1000</f>
        <v>0</v>
      </c>
      <c r="J33" s="151">
        <f>IBA!P33/1000</f>
        <v>0</v>
      </c>
      <c r="K33" s="151"/>
      <c r="L33" s="151">
        <f>ÚVT!P33/1000</f>
        <v>0</v>
      </c>
      <c r="M33" s="151">
        <f>CJV!P33/1000</f>
        <v>0</v>
      </c>
      <c r="N33" s="151">
        <f>CZS!P33/1000</f>
        <v>0</v>
      </c>
      <c r="O33" s="186">
        <f>RMU!P33/1000</f>
        <v>0</v>
      </c>
      <c r="P33" s="490">
        <f t="shared" si="4"/>
        <v>0</v>
      </c>
      <c r="Q33" s="290"/>
      <c r="R33" s="96">
        <f>'ostatni plan'!T33</f>
        <v>0</v>
      </c>
      <c r="S33" s="96">
        <f>ostatni_skut!S33</f>
        <v>485</v>
      </c>
      <c r="T33" s="403"/>
      <c r="U33" s="403"/>
    </row>
    <row r="34" spans="1:21" s="25" customFormat="1" ht="12">
      <c r="A34" s="21"/>
      <c r="B34" s="31" t="s">
        <v>52</v>
      </c>
      <c r="C34" s="31"/>
      <c r="D34" s="31"/>
      <c r="E34" s="169">
        <v>32</v>
      </c>
      <c r="F34" s="499">
        <f>SKM!P34/1000</f>
        <v>0</v>
      </c>
      <c r="G34" s="151">
        <f>SUKB!P36/1000</f>
        <v>0</v>
      </c>
      <c r="H34" s="151">
        <f>UCT!P34/1000</f>
        <v>0</v>
      </c>
      <c r="I34" s="151">
        <f>SPSSN!P34/1000</f>
        <v>0</v>
      </c>
      <c r="J34" s="151">
        <f>IBA!P34/1000</f>
        <v>0</v>
      </c>
      <c r="K34" s="151"/>
      <c r="L34" s="151">
        <f>ÚVT!P34/1000</f>
        <v>0</v>
      </c>
      <c r="M34" s="151">
        <f>CJV!P34/1000</f>
        <v>0</v>
      </c>
      <c r="N34" s="151">
        <f>CZS!P34/1000</f>
        <v>0</v>
      </c>
      <c r="O34" s="186">
        <f>RMU!P34/1000</f>
        <v>0</v>
      </c>
      <c r="P34" s="490">
        <f t="shared" si="4"/>
        <v>0</v>
      </c>
      <c r="Q34" s="290"/>
      <c r="R34" s="96">
        <f>'ostatni plan'!T34</f>
        <v>140467</v>
      </c>
      <c r="S34" s="96">
        <f>ostatni_skut!S34</f>
        <v>152660.173</v>
      </c>
      <c r="T34" s="403"/>
      <c r="U34" s="403"/>
    </row>
    <row r="35" spans="1:21" s="25" customFormat="1" ht="12">
      <c r="A35" s="21"/>
      <c r="B35" s="31" t="s">
        <v>36</v>
      </c>
      <c r="C35" s="31"/>
      <c r="D35" s="31"/>
      <c r="E35" s="169">
        <v>33</v>
      </c>
      <c r="F35" s="499">
        <f>SKM!P35/1000</f>
        <v>0</v>
      </c>
      <c r="G35" s="151">
        <f>SUKB!P37/1000</f>
        <v>0</v>
      </c>
      <c r="H35" s="151">
        <f>UCT!P35/1000</f>
        <v>0</v>
      </c>
      <c r="I35" s="151">
        <f>SPSSN!P35/1000</f>
        <v>0</v>
      </c>
      <c r="J35" s="151">
        <f>IBA!P35/1000</f>
        <v>0</v>
      </c>
      <c r="K35" s="151"/>
      <c r="L35" s="151">
        <f>ÚVT!P35/1000</f>
        <v>5.8</v>
      </c>
      <c r="M35" s="151">
        <f>CJV!P35/1000</f>
        <v>0</v>
      </c>
      <c r="N35" s="151">
        <f>CZS!P35/1000</f>
        <v>0</v>
      </c>
      <c r="O35" s="186">
        <f>RMU!P35/1000</f>
        <v>0</v>
      </c>
      <c r="P35" s="490">
        <f t="shared" si="4"/>
        <v>5.8</v>
      </c>
      <c r="Q35" s="290"/>
      <c r="R35" s="96">
        <f>'ostatni plan'!T35</f>
        <v>10080</v>
      </c>
      <c r="S35" s="96">
        <f>ostatni_skut!S35</f>
        <v>9689.25454</v>
      </c>
      <c r="T35" s="403"/>
      <c r="U35" s="403"/>
    </row>
    <row r="36" spans="1:21" s="25" customFormat="1" ht="12">
      <c r="A36" s="21"/>
      <c r="B36" s="31" t="s">
        <v>38</v>
      </c>
      <c r="C36" s="31"/>
      <c r="D36" s="31"/>
      <c r="E36" s="169">
        <v>34</v>
      </c>
      <c r="F36" s="499">
        <f>SKM!P36/1000</f>
        <v>0</v>
      </c>
      <c r="G36" s="151">
        <f>SUKB!P38/1000</f>
        <v>0</v>
      </c>
      <c r="H36" s="151">
        <f>UCT!P36/1000</f>
        <v>0</v>
      </c>
      <c r="I36" s="151">
        <f>SPSSN!P36/1000</f>
        <v>0</v>
      </c>
      <c r="J36" s="151">
        <f>IBA!P36/1000</f>
        <v>0</v>
      </c>
      <c r="K36" s="151"/>
      <c r="L36" s="151">
        <f>ÚVT!P36/1000</f>
        <v>0</v>
      </c>
      <c r="M36" s="151">
        <f>CJV!P36/1000</f>
        <v>0</v>
      </c>
      <c r="N36" s="151">
        <f>CZS!P36/1000</f>
        <v>0</v>
      </c>
      <c r="O36" s="186">
        <f>RMU!P36/1000</f>
        <v>0</v>
      </c>
      <c r="P36" s="490">
        <f t="shared" si="4"/>
        <v>0</v>
      </c>
      <c r="Q36" s="290"/>
      <c r="R36" s="96">
        <f>'ostatni plan'!T36</f>
        <v>53249</v>
      </c>
      <c r="S36" s="96">
        <f>ostatni_skut!S36</f>
        <v>38361.738450000004</v>
      </c>
      <c r="T36" s="403"/>
      <c r="U36" s="403"/>
    </row>
    <row r="37" spans="1:21" s="25" customFormat="1" ht="12">
      <c r="A37" s="21"/>
      <c r="B37" s="31" t="s">
        <v>54</v>
      </c>
      <c r="C37" s="31"/>
      <c r="D37" s="31"/>
      <c r="E37" s="169">
        <v>35</v>
      </c>
      <c r="F37" s="499">
        <f>SKM!P37/1000</f>
        <v>0</v>
      </c>
      <c r="G37" s="151">
        <f>SUKB!P39/1000</f>
        <v>0</v>
      </c>
      <c r="H37" s="151">
        <f>UCT!P37/1000</f>
        <v>0</v>
      </c>
      <c r="I37" s="151">
        <f>SPSSN!P37/1000</f>
        <v>0</v>
      </c>
      <c r="J37" s="151">
        <f>IBA!P37/1000</f>
        <v>0</v>
      </c>
      <c r="K37" s="151"/>
      <c r="L37" s="151">
        <f>ÚVT!P37/1000</f>
        <v>0</v>
      </c>
      <c r="M37" s="151">
        <f>CJV!P37/1000</f>
        <v>0</v>
      </c>
      <c r="N37" s="151">
        <f>CZS!P37/1000</f>
        <v>0</v>
      </c>
      <c r="O37" s="186">
        <f>RMU!P37/1000</f>
        <v>0</v>
      </c>
      <c r="P37" s="490">
        <f t="shared" si="4"/>
        <v>0</v>
      </c>
      <c r="Q37" s="290"/>
      <c r="R37" s="96">
        <f>'ostatni plan'!T37</f>
        <v>24936</v>
      </c>
      <c r="S37" s="96">
        <f>ostatni_skut!S37</f>
        <v>58525.174</v>
      </c>
      <c r="T37" s="403"/>
      <c r="U37" s="403"/>
    </row>
    <row r="38" spans="1:21" s="25" customFormat="1" ht="12">
      <c r="A38" s="21"/>
      <c r="B38" s="31" t="s">
        <v>170</v>
      </c>
      <c r="C38" s="31"/>
      <c r="D38" s="31"/>
      <c r="E38" s="169">
        <v>36</v>
      </c>
      <c r="F38" s="499">
        <f>SKM!P38/1000</f>
        <v>0</v>
      </c>
      <c r="G38" s="151">
        <f>SUKB!P40/1000</f>
        <v>0</v>
      </c>
      <c r="H38" s="151">
        <f>UCT!P38/1000</f>
        <v>0</v>
      </c>
      <c r="I38" s="151">
        <f>SPSSN!P38/1000</f>
        <v>0</v>
      </c>
      <c r="J38" s="151">
        <f>IBA!P38/1000</f>
        <v>0</v>
      </c>
      <c r="K38" s="151"/>
      <c r="L38" s="151">
        <f>ÚVT!P38/1000</f>
        <v>0</v>
      </c>
      <c r="M38" s="151">
        <f>CJV!P38/1000</f>
        <v>0</v>
      </c>
      <c r="N38" s="151">
        <f>CZS!P38/1000</f>
        <v>0</v>
      </c>
      <c r="O38" s="186">
        <f>RMU!P38/1000</f>
        <v>0</v>
      </c>
      <c r="P38" s="490">
        <f t="shared" si="4"/>
        <v>0</v>
      </c>
      <c r="Q38" s="290"/>
      <c r="R38" s="96">
        <f>'ostatni plan'!T38</f>
        <v>512</v>
      </c>
      <c r="S38" s="96">
        <f>ostatni_skut!S38</f>
        <v>746</v>
      </c>
      <c r="T38" s="403"/>
      <c r="U38" s="403"/>
    </row>
    <row r="39" spans="1:21" s="25" customFormat="1" ht="12">
      <c r="A39" s="21"/>
      <c r="B39" s="31" t="s">
        <v>56</v>
      </c>
      <c r="C39" s="31"/>
      <c r="D39" s="31"/>
      <c r="E39" s="169">
        <v>37</v>
      </c>
      <c r="F39" s="499">
        <f>SKM!P39/1000</f>
        <v>0</v>
      </c>
      <c r="G39" s="151">
        <f>SUKB!P41/1000</f>
        <v>0</v>
      </c>
      <c r="H39" s="151">
        <f>UCT!P39/1000</f>
        <v>0</v>
      </c>
      <c r="I39" s="151">
        <f>SPSSN!P39/1000</f>
        <v>0</v>
      </c>
      <c r="J39" s="151">
        <f>IBA!P39/1000</f>
        <v>0</v>
      </c>
      <c r="K39" s="151"/>
      <c r="L39" s="151">
        <f>ÚVT!P39/1000</f>
        <v>0</v>
      </c>
      <c r="M39" s="151">
        <f>CJV!P39/1000</f>
        <v>0</v>
      </c>
      <c r="N39" s="151">
        <f>CZS!P39/1000</f>
        <v>0</v>
      </c>
      <c r="O39" s="186">
        <f>RMU!P39/1000</f>
        <v>0</v>
      </c>
      <c r="P39" s="490">
        <f t="shared" si="4"/>
        <v>0</v>
      </c>
      <c r="Q39" s="290"/>
      <c r="R39" s="96">
        <f>'ostatni plan'!T39</f>
        <v>30315</v>
      </c>
      <c r="S39" s="96">
        <f>ostatni_skut!S39</f>
        <v>930.95</v>
      </c>
      <c r="T39" s="403"/>
      <c r="U39" s="403"/>
    </row>
    <row r="40" spans="1:21" s="25" customFormat="1" ht="12">
      <c r="A40" s="21"/>
      <c r="B40" s="31" t="s">
        <v>57</v>
      </c>
      <c r="C40" s="31"/>
      <c r="D40" s="31"/>
      <c r="E40" s="169">
        <v>38</v>
      </c>
      <c r="F40" s="499">
        <f>SKM!P40/1000</f>
        <v>0</v>
      </c>
      <c r="G40" s="151">
        <f>SUKB!P42/1000</f>
        <v>0</v>
      </c>
      <c r="H40" s="151">
        <f>UCT!P40/1000</f>
        <v>0</v>
      </c>
      <c r="I40" s="151">
        <f>SPSSN!P40/1000</f>
        <v>0</v>
      </c>
      <c r="J40" s="151">
        <f>IBA!P40/1000</f>
        <v>0</v>
      </c>
      <c r="K40" s="151"/>
      <c r="L40" s="151">
        <f>ÚVT!P40/1000</f>
        <v>0</v>
      </c>
      <c r="M40" s="151">
        <f>CJV!P40/1000</f>
        <v>0</v>
      </c>
      <c r="N40" s="151">
        <f>CZS!P40/1000</f>
        <v>0</v>
      </c>
      <c r="O40" s="186">
        <f>RMU!P40/1000</f>
        <v>0</v>
      </c>
      <c r="P40" s="490">
        <f t="shared" si="4"/>
        <v>0</v>
      </c>
      <c r="Q40" s="290"/>
      <c r="R40" s="96">
        <f>'ostatni plan'!T40</f>
        <v>42150</v>
      </c>
      <c r="S40" s="96">
        <f>ostatni_skut!S40</f>
        <v>6253</v>
      </c>
      <c r="T40" s="403"/>
      <c r="U40" s="403"/>
    </row>
    <row r="41" spans="1:21" s="25" customFormat="1" ht="12">
      <c r="A41" s="21"/>
      <c r="B41" s="31" t="s">
        <v>186</v>
      </c>
      <c r="C41" s="31"/>
      <c r="D41" s="31"/>
      <c r="E41" s="169">
        <v>39</v>
      </c>
      <c r="F41" s="499">
        <f>SKM!P41/1000</f>
        <v>0</v>
      </c>
      <c r="G41" s="151" t="e">
        <f>SUKB!P43/1000</f>
        <v>#DIV/0!</v>
      </c>
      <c r="H41" s="151">
        <f>UCT!P41/1000</f>
        <v>0</v>
      </c>
      <c r="I41" s="151">
        <f>SPSSN!P41/1000</f>
        <v>0</v>
      </c>
      <c r="J41" s="151">
        <f>IBA!P41/1000</f>
        <v>2.59</v>
      </c>
      <c r="K41" s="151"/>
      <c r="L41" s="151">
        <f>ÚVT!P41/1000</f>
        <v>0.457</v>
      </c>
      <c r="M41" s="151">
        <f>CJV!P41/1000</f>
        <v>0</v>
      </c>
      <c r="N41" s="151">
        <f>CZS!P41/1000</f>
        <v>0</v>
      </c>
      <c r="O41" s="186">
        <f>RMU!P41/1000</f>
        <v>0</v>
      </c>
      <c r="P41" s="490" t="e">
        <f t="shared" si="4"/>
        <v>#DIV/0!</v>
      </c>
      <c r="Q41" s="290"/>
      <c r="R41" s="96">
        <f>'ostatni plan'!T41</f>
        <v>82984</v>
      </c>
      <c r="S41" s="96">
        <f>ostatni_skut!S41</f>
        <v>16705</v>
      </c>
      <c r="T41" s="403"/>
      <c r="U41" s="403"/>
    </row>
    <row r="42" spans="1:21" s="25" customFormat="1" ht="12">
      <c r="A42" s="21"/>
      <c r="B42" s="31" t="s">
        <v>58</v>
      </c>
      <c r="C42" s="31"/>
      <c r="D42" s="31"/>
      <c r="E42" s="169">
        <v>40</v>
      </c>
      <c r="F42" s="499">
        <f>SKM!P42/1000</f>
        <v>0</v>
      </c>
      <c r="G42" s="151">
        <f>SUKB!P44/1000</f>
        <v>0</v>
      </c>
      <c r="H42" s="151">
        <f>UCT!P42/1000</f>
        <v>0</v>
      </c>
      <c r="I42" s="151">
        <f>SPSSN!P42/1000</f>
        <v>0</v>
      </c>
      <c r="J42" s="151">
        <f>IBA!P42/1000</f>
        <v>0</v>
      </c>
      <c r="K42" s="151"/>
      <c r="L42" s="151">
        <f>ÚVT!P42/1000</f>
        <v>0</v>
      </c>
      <c r="M42" s="151">
        <f>CJV!P42/1000</f>
        <v>0</v>
      </c>
      <c r="N42" s="151">
        <f>CZS!P42/1000</f>
        <v>0</v>
      </c>
      <c r="O42" s="186">
        <f>RMU!P42/1000</f>
        <v>0</v>
      </c>
      <c r="P42" s="490">
        <f t="shared" si="4"/>
        <v>0</v>
      </c>
      <c r="Q42" s="290"/>
      <c r="R42" s="96">
        <f>'ostatni plan'!T42</f>
        <v>5553</v>
      </c>
      <c r="S42" s="96">
        <f>ostatni_skut!S42</f>
        <v>3033</v>
      </c>
      <c r="T42" s="403"/>
      <c r="U42" s="403"/>
    </row>
    <row r="43" spans="1:21" s="25" customFormat="1" ht="12">
      <c r="A43" s="21"/>
      <c r="B43" s="31" t="s">
        <v>59</v>
      </c>
      <c r="C43" s="31"/>
      <c r="D43" s="31"/>
      <c r="E43" s="169">
        <v>41</v>
      </c>
      <c r="F43" s="499" t="e">
        <f>SKM!P43/1000</f>
        <v>#DIV/0!</v>
      </c>
      <c r="G43" s="151">
        <f>SUKB!P45/1000</f>
        <v>0</v>
      </c>
      <c r="H43" s="151" t="e">
        <f>UCT!P43/1000</f>
        <v>#DIV/0!</v>
      </c>
      <c r="I43" s="151" t="e">
        <f>SPSSN!P43/1000</f>
        <v>#DIV/0!</v>
      </c>
      <c r="J43" s="151" t="e">
        <f>IBA!P43/1000</f>
        <v>#DIV/0!</v>
      </c>
      <c r="K43" s="151"/>
      <c r="L43" s="151" t="e">
        <f>ÚVT!P43/1000</f>
        <v>#DIV/0!</v>
      </c>
      <c r="M43" s="151" t="e">
        <f>CJV!P43/1000</f>
        <v>#DIV/0!</v>
      </c>
      <c r="N43" s="151" t="e">
        <f>CZS!P43/1000</f>
        <v>#DIV/0!</v>
      </c>
      <c r="O43" s="186" t="e">
        <f>RMU!P43/1000</f>
        <v>#DIV/0!</v>
      </c>
      <c r="P43" s="490" t="e">
        <f t="shared" si="4"/>
        <v>#DIV/0!</v>
      </c>
      <c r="Q43" s="290"/>
      <c r="R43" s="96">
        <f>'ostatni plan'!T43</f>
        <v>336295</v>
      </c>
      <c r="S43" s="96">
        <f>ostatni_skut!S43</f>
        <v>362311.28283000004</v>
      </c>
      <c r="T43" s="403"/>
      <c r="U43" s="403"/>
    </row>
    <row r="44" spans="1:21" s="25" customFormat="1" ht="12">
      <c r="A44" s="21"/>
      <c r="B44" s="31" t="s">
        <v>60</v>
      </c>
      <c r="C44" s="31"/>
      <c r="D44" s="31"/>
      <c r="E44" s="169">
        <v>42</v>
      </c>
      <c r="F44" s="499">
        <f>SKM!P44/1000</f>
        <v>0</v>
      </c>
      <c r="G44" s="151">
        <f>SUKB!P46/1000</f>
        <v>0</v>
      </c>
      <c r="H44" s="151">
        <f>UCT!P44/1000</f>
        <v>0</v>
      </c>
      <c r="I44" s="151">
        <f>SPSSN!P44/1000</f>
        <v>0</v>
      </c>
      <c r="J44" s="151">
        <f>IBA!P44/1000</f>
        <v>0</v>
      </c>
      <c r="K44" s="151"/>
      <c r="L44" s="151">
        <f>ÚVT!P44/1000</f>
        <v>0</v>
      </c>
      <c r="M44" s="151">
        <f>CJV!P44/1000</f>
        <v>0</v>
      </c>
      <c r="N44" s="151">
        <f>CZS!P44/1000</f>
        <v>0</v>
      </c>
      <c r="O44" s="186">
        <f>RMU!P44/1000</f>
        <v>0</v>
      </c>
      <c r="P44" s="490">
        <f t="shared" si="4"/>
        <v>0</v>
      </c>
      <c r="Q44" s="290"/>
      <c r="R44" s="96">
        <f>'ostatni plan'!T44</f>
        <v>0</v>
      </c>
      <c r="S44" s="96">
        <f>ostatni_skut!S44</f>
        <v>19926.89611</v>
      </c>
      <c r="T44" s="403"/>
      <c r="U44" s="403"/>
    </row>
    <row r="45" spans="1:21" s="25" customFormat="1" ht="12">
      <c r="A45" s="40"/>
      <c r="B45" s="41" t="s">
        <v>47</v>
      </c>
      <c r="C45" s="41"/>
      <c r="D45" s="41"/>
      <c r="E45" s="170">
        <v>43</v>
      </c>
      <c r="F45" s="500" t="e">
        <f>SKM!P45/1000</f>
        <v>#DIV/0!</v>
      </c>
      <c r="G45" s="195" t="e">
        <f>SUKB!P47/1000</f>
        <v>#DIV/0!</v>
      </c>
      <c r="H45" s="195" t="e">
        <f>UCT!P45/1000</f>
        <v>#DIV/0!</v>
      </c>
      <c r="I45" s="195" t="e">
        <f>SPSSN!P45/1000</f>
        <v>#DIV/0!</v>
      </c>
      <c r="J45" s="195" t="e">
        <f>IBA!P45/1000</f>
        <v>#DIV/0!</v>
      </c>
      <c r="K45" s="195"/>
      <c r="L45" s="195" t="e">
        <f>ÚVT!P45/1000</f>
        <v>#DIV/0!</v>
      </c>
      <c r="M45" s="195" t="e">
        <f>CJV!P45/1000</f>
        <v>#DIV/0!</v>
      </c>
      <c r="N45" s="195" t="e">
        <f>CZS!P45/1000</f>
        <v>#DIV/0!</v>
      </c>
      <c r="O45" s="167" t="e">
        <f>RMU!P45/1000</f>
        <v>#DIV/0!</v>
      </c>
      <c r="P45" s="491" t="e">
        <f t="shared" si="4"/>
        <v>#DIV/0!</v>
      </c>
      <c r="Q45" s="293"/>
      <c r="R45" s="100">
        <f>'ostatni plan'!T45</f>
        <v>84985</v>
      </c>
      <c r="S45" s="100">
        <f>ostatni_skut!S45</f>
        <v>98958.12496</v>
      </c>
      <c r="T45" s="403"/>
      <c r="U45" s="403"/>
    </row>
    <row r="46" spans="1:21" s="25" customFormat="1" ht="12.75" thickBot="1">
      <c r="A46" s="44" t="s">
        <v>61</v>
      </c>
      <c r="B46" s="45"/>
      <c r="C46" s="45"/>
      <c r="D46" s="45"/>
      <c r="E46" s="168">
        <v>44</v>
      </c>
      <c r="F46" s="180" t="e">
        <f>F29+F34+F38+F43+F44+F45-F4-F27</f>
        <v>#DIV/0!</v>
      </c>
      <c r="G46" s="196" t="e">
        <f>G29+G34+G38+G43+G44+G45-G4-G27</f>
        <v>#DIV/0!</v>
      </c>
      <c r="H46" s="196" t="e">
        <f>H29+H34+H38+H43+H44+H45-H4-H27</f>
        <v>#DIV/0!</v>
      </c>
      <c r="I46" s="196" t="e">
        <f>I29+I34+I38+I43+I44+I45-I4-I27</f>
        <v>#DIV/0!</v>
      </c>
      <c r="J46" s="196" t="e">
        <f>J29+J34+J38+J43+J44+J45-J4-J27</f>
        <v>#DIV/0!</v>
      </c>
      <c r="K46" s="196"/>
      <c r="L46" s="196" t="e">
        <f>L29+L34+L38+L43+L44+L45-L4-L27</f>
        <v>#DIV/0!</v>
      </c>
      <c r="M46" s="196" t="e">
        <f>M29+M34+M38+M43+M44+M45-M4-M27</f>
        <v>#DIV/0!</v>
      </c>
      <c r="N46" s="196" t="e">
        <f>N29+N34+N38+N43+N44+N45-N4-N27</f>
        <v>#DIV/0!</v>
      </c>
      <c r="O46" s="188" t="e">
        <f>O29+O34+O38+O43+O44+O45-O4-O27</f>
        <v>#DIV/0!</v>
      </c>
      <c r="P46" s="492" t="e">
        <f>P29+P34+P38+P43+P44+P45-P4-P27</f>
        <v>#DIV/0!</v>
      </c>
      <c r="Q46" s="102">
        <f>Q29+Q34+Q38+Q43+Q44+Q45+-Q4-Q27</f>
        <v>0</v>
      </c>
      <c r="R46" s="92">
        <f>'ostatni plan'!T46</f>
        <v>14.562999999999999</v>
      </c>
      <c r="S46" s="92">
        <f>ostatni_skut!S46</f>
        <v>22084.65306000003</v>
      </c>
      <c r="T46" s="403"/>
      <c r="U46" s="403"/>
    </row>
    <row r="47" spans="1:19" ht="13.5" thickBot="1">
      <c r="A47" s="37" t="s">
        <v>62</v>
      </c>
      <c r="B47" s="38"/>
      <c r="C47" s="38"/>
      <c r="D47" s="38"/>
      <c r="E47" s="171">
        <v>45</v>
      </c>
      <c r="F47" s="177" t="e">
        <f aca="true" t="shared" si="5" ref="F47:S47">F28-F3</f>
        <v>#DIV/0!</v>
      </c>
      <c r="G47" s="191" t="e">
        <f t="shared" si="5"/>
        <v>#DIV/0!</v>
      </c>
      <c r="H47" s="191" t="e">
        <f t="shared" si="5"/>
        <v>#DIV/0!</v>
      </c>
      <c r="I47" s="191" t="e">
        <f t="shared" si="5"/>
        <v>#DIV/0!</v>
      </c>
      <c r="J47" s="191" t="e">
        <f t="shared" si="5"/>
        <v>#DIV/0!</v>
      </c>
      <c r="K47" s="191">
        <f t="shared" si="5"/>
        <v>0</v>
      </c>
      <c r="L47" s="191" t="e">
        <f t="shared" si="5"/>
        <v>#DIV/0!</v>
      </c>
      <c r="M47" s="191" t="e">
        <f t="shared" si="5"/>
        <v>#DIV/0!</v>
      </c>
      <c r="N47" s="191" t="e">
        <f t="shared" si="5"/>
        <v>#DIV/0!</v>
      </c>
      <c r="O47" s="183" t="e">
        <f t="shared" si="5"/>
        <v>#DIV/0!</v>
      </c>
      <c r="P47" s="172" t="e">
        <f t="shared" si="5"/>
        <v>#DIV/0!</v>
      </c>
      <c r="Q47" s="75">
        <f t="shared" si="5"/>
        <v>0</v>
      </c>
      <c r="R47" s="78">
        <f t="shared" si="5"/>
        <v>14743</v>
      </c>
      <c r="S47" s="78">
        <f t="shared" si="5"/>
        <v>22134.653059999924</v>
      </c>
    </row>
    <row r="48" spans="1:5" ht="9" customHeight="1">
      <c r="A48" s="47"/>
      <c r="B48" s="47"/>
      <c r="C48" s="47"/>
      <c r="D48" s="47"/>
      <c r="E48" s="48"/>
    </row>
    <row r="49" spans="1:21" s="47" customFormat="1" ht="11.25">
      <c r="A49" s="1054" t="s">
        <v>90</v>
      </c>
      <c r="B49" s="1055"/>
      <c r="C49" s="1055"/>
      <c r="D49" s="1055"/>
      <c r="E49" s="1055"/>
      <c r="F49" s="59">
        <f>SKM!I50/1000</f>
        <v>0</v>
      </c>
      <c r="G49" s="59">
        <f>SUKB!I52/1000</f>
        <v>0</v>
      </c>
      <c r="H49" s="59">
        <f>UCT!I50/1000</f>
        <v>0</v>
      </c>
      <c r="I49" s="59">
        <f>SPSSN!I50/1000</f>
        <v>0</v>
      </c>
      <c r="J49" s="59">
        <f>IBA!I50/1000</f>
        <v>0</v>
      </c>
      <c r="K49" s="59"/>
      <c r="L49" s="59">
        <f>ÚVT!I50/1000</f>
        <v>0</v>
      </c>
      <c r="M49" s="59">
        <f>CJV!I50/1000</f>
        <v>0</v>
      </c>
      <c r="N49" s="59">
        <f>CZS!I50</f>
        <v>0</v>
      </c>
      <c r="O49" s="59">
        <f>RMU!I50/1000</f>
        <v>0</v>
      </c>
      <c r="P49" s="495">
        <f>ostatni!I50/1000</f>
        <v>0</v>
      </c>
      <c r="Q49" s="59"/>
      <c r="R49" s="233"/>
      <c r="S49" s="233"/>
      <c r="T49" s="405"/>
      <c r="U49" s="405"/>
    </row>
    <row r="50" spans="1:21" s="47" customFormat="1" ht="11.25">
      <c r="A50" s="1055"/>
      <c r="B50" s="1055"/>
      <c r="C50" s="1055"/>
      <c r="D50" s="1055"/>
      <c r="E50" s="1055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493"/>
      <c r="R50" s="59"/>
      <c r="S50" s="59"/>
      <c r="T50" s="405"/>
      <c r="U50" s="405"/>
    </row>
    <row r="51" spans="1:21" s="47" customFormat="1" ht="11.25" hidden="1">
      <c r="A51" s="51" t="s">
        <v>65</v>
      </c>
      <c r="E51" s="48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493"/>
      <c r="R51" s="59"/>
      <c r="S51" s="59"/>
      <c r="T51" s="405"/>
      <c r="U51" s="405"/>
    </row>
    <row r="52" spans="1:21" s="47" customFormat="1" ht="11.25" hidden="1">
      <c r="A52" s="51" t="s">
        <v>66</v>
      </c>
      <c r="E52" s="48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493"/>
      <c r="R52" s="59"/>
      <c r="S52" s="59"/>
      <c r="T52" s="405"/>
      <c r="U52" s="405"/>
    </row>
    <row r="53" spans="1:21" s="51" customFormat="1" ht="11.25" hidden="1">
      <c r="A53" s="51" t="s">
        <v>68</v>
      </c>
      <c r="B53" s="51" t="s">
        <v>191</v>
      </c>
      <c r="E53" s="53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496"/>
      <c r="R53" s="72"/>
      <c r="S53" s="72"/>
      <c r="T53" s="405"/>
      <c r="U53" s="405"/>
    </row>
    <row r="54" spans="1:21" s="51" customFormat="1" ht="11.25" hidden="1">
      <c r="A54" s="51" t="s">
        <v>69</v>
      </c>
      <c r="E54" s="53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496"/>
      <c r="R54" s="72"/>
      <c r="S54" s="72"/>
      <c r="T54" s="405"/>
      <c r="U54" s="405"/>
    </row>
    <row r="55" spans="1:21" s="51" customFormat="1" ht="11.25" hidden="1">
      <c r="A55" s="51" t="s">
        <v>70</v>
      </c>
      <c r="E55" s="53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496"/>
      <c r="R55" s="72"/>
      <c r="S55" s="72"/>
      <c r="T55" s="405"/>
      <c r="U55" s="405"/>
    </row>
    <row r="56" spans="1:21" s="47" customFormat="1" ht="11.25">
      <c r="A56" s="51"/>
      <c r="B56" s="51"/>
      <c r="C56" s="51"/>
      <c r="D56" s="51"/>
      <c r="E56" s="48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493"/>
      <c r="R56" s="59"/>
      <c r="S56" s="59"/>
      <c r="T56" s="405"/>
      <c r="U56" s="405"/>
    </row>
    <row r="57" spans="1:21" s="59" customFormat="1" ht="11.25">
      <c r="A57" s="51"/>
      <c r="B57" s="51"/>
      <c r="C57" s="51"/>
      <c r="D57" s="51"/>
      <c r="E57" s="57"/>
      <c r="P57" s="493"/>
      <c r="T57" s="405"/>
      <c r="U57" s="405"/>
    </row>
    <row r="58" spans="1:16" s="59" customFormat="1" ht="11.25">
      <c r="A58" s="51"/>
      <c r="B58" s="51"/>
      <c r="C58" s="51"/>
      <c r="D58" s="51"/>
      <c r="E58" s="57"/>
      <c r="P58" s="493"/>
    </row>
    <row r="59" spans="1:16" s="59" customFormat="1" ht="12" thickBot="1">
      <c r="A59" s="51"/>
      <c r="B59" s="51"/>
      <c r="C59" s="51"/>
      <c r="D59" s="51"/>
      <c r="E59" s="57"/>
      <c r="P59" s="493"/>
    </row>
    <row r="60" spans="1:22" ht="12.75">
      <c r="A60" s="767" t="s">
        <v>191</v>
      </c>
      <c r="B60" s="340"/>
      <c r="C60" s="768"/>
      <c r="D60" s="768"/>
      <c r="E60" s="769"/>
      <c r="F60" s="594" t="e">
        <f>SKM!P60/1000</f>
        <v>#DIV/0!</v>
      </c>
      <c r="G60" s="770" t="e">
        <f>SUKB!P60/1000</f>
        <v>#DIV/0!</v>
      </c>
      <c r="H60" s="770" t="e">
        <f>UCT!P53/1000</f>
        <v>#DIV/0!</v>
      </c>
      <c r="I60" s="770" t="e">
        <f>SPSSN!P60/1000</f>
        <v>#DIV/0!</v>
      </c>
      <c r="J60" s="770" t="e">
        <f>IBA!P58/1000</f>
        <v>#DIV/0!</v>
      </c>
      <c r="K60" s="770"/>
      <c r="L60" s="770" t="e">
        <f>ÚVT!P53/1000</f>
        <v>#DIV/0!</v>
      </c>
      <c r="M60" s="770" t="e">
        <f>CJV!P59/1000</f>
        <v>#DIV/0!</v>
      </c>
      <c r="N60" s="770" t="e">
        <f>CZS!P59/1000</f>
        <v>#DIV/0!</v>
      </c>
      <c r="O60" s="246" t="e">
        <f>RMU!P60/1000</f>
        <v>#DIV/0!</v>
      </c>
      <c r="P60" s="525" t="e">
        <f>SUM(F60:O60)</f>
        <v>#DIV/0!</v>
      </c>
      <c r="Q60" s="282"/>
      <c r="T60" s="59"/>
      <c r="U60" s="59"/>
      <c r="V60" s="59"/>
    </row>
    <row r="61" spans="1:22" ht="12.75">
      <c r="A61" s="771" t="s">
        <v>192</v>
      </c>
      <c r="B61" s="233"/>
      <c r="C61" s="772"/>
      <c r="D61" s="772"/>
      <c r="E61" s="773"/>
      <c r="F61" s="499" t="e">
        <f>SKM!P61/1000</f>
        <v>#DIV/0!</v>
      </c>
      <c r="G61" s="151" t="e">
        <f>SUKB!P61/1000</f>
        <v>#DIV/0!</v>
      </c>
      <c r="H61" s="151" t="e">
        <f>UCT!P54/1000</f>
        <v>#DIV/0!</v>
      </c>
      <c r="I61" s="151" t="e">
        <f>SPSSN!P61/1000</f>
        <v>#DIV/0!</v>
      </c>
      <c r="J61" s="151" t="e">
        <f>IBA!P59/1000</f>
        <v>#DIV/0!</v>
      </c>
      <c r="K61" s="151"/>
      <c r="L61" s="151" t="e">
        <f>ÚVT!P54/1000</f>
        <v>#DIV/0!</v>
      </c>
      <c r="M61" s="151" t="e">
        <f>CJV!P60/1000</f>
        <v>#DIV/0!</v>
      </c>
      <c r="N61" s="151" t="e">
        <f>CZS!P60/1000</f>
        <v>#DIV/0!</v>
      </c>
      <c r="O61" s="186" t="e">
        <f>RMU!P61/1000</f>
        <v>#DIV/0!</v>
      </c>
      <c r="P61" s="490" t="e">
        <f>SUM(F61:O61)</f>
        <v>#DIV/0!</v>
      </c>
      <c r="Q61" s="290"/>
      <c r="T61" s="59"/>
      <c r="U61" s="59"/>
      <c r="V61" s="59"/>
    </row>
    <row r="62" spans="1:22" ht="12.75">
      <c r="A62" s="771" t="s">
        <v>193</v>
      </c>
      <c r="B62" s="772"/>
      <c r="C62" s="772"/>
      <c r="D62" s="772"/>
      <c r="E62" s="773"/>
      <c r="F62" s="499">
        <f>SKM!P62/1000</f>
        <v>0</v>
      </c>
      <c r="G62" s="151" t="e">
        <f>SUKB!P62/1000</f>
        <v>#DIV/0!</v>
      </c>
      <c r="H62" s="151" t="e">
        <f>UCT!P55/1000</f>
        <v>#DIV/0!</v>
      </c>
      <c r="I62" s="151" t="e">
        <f>SPSSN!P62/1000</f>
        <v>#DIV/0!</v>
      </c>
      <c r="J62" s="151" t="e">
        <f>IBA!P60/1000</f>
        <v>#DIV/0!</v>
      </c>
      <c r="K62" s="151"/>
      <c r="L62" s="151" t="e">
        <f>ÚVT!P55/1000</f>
        <v>#DIV/0!</v>
      </c>
      <c r="M62" s="151" t="e">
        <f>CJV!P61/1000</f>
        <v>#DIV/0!</v>
      </c>
      <c r="N62" s="151" t="e">
        <f>CZS!P61/1000</f>
        <v>#DIV/0!</v>
      </c>
      <c r="O62" s="186" t="e">
        <f>RMU!P62/1000</f>
        <v>#DIV/0!</v>
      </c>
      <c r="P62" s="490" t="e">
        <f>SUM(F62:O62)</f>
        <v>#DIV/0!</v>
      </c>
      <c r="Q62" s="290"/>
      <c r="T62" s="59"/>
      <c r="U62" s="59"/>
      <c r="V62" s="59"/>
    </row>
    <row r="63" spans="1:22" ht="12.75">
      <c r="A63" s="771" t="s">
        <v>196</v>
      </c>
      <c r="B63" s="772"/>
      <c r="C63" s="772"/>
      <c r="D63" s="772"/>
      <c r="E63" s="773"/>
      <c r="F63" s="499" t="e">
        <f>SKM!P63/1000</f>
        <v>#DIV/0!</v>
      </c>
      <c r="G63" s="151" t="e">
        <f>SUKB!P63/1000</f>
        <v>#DIV/0!</v>
      </c>
      <c r="H63" s="151" t="e">
        <f>UCT!P56/1000</f>
        <v>#DIV/0!</v>
      </c>
      <c r="I63" s="151" t="e">
        <f>SPSSN!P63/1000</f>
        <v>#DIV/0!</v>
      </c>
      <c r="J63" s="151" t="e">
        <f>IBA!P61/1000</f>
        <v>#DIV/0!</v>
      </c>
      <c r="K63" s="151"/>
      <c r="L63" s="151" t="e">
        <f>ÚVT!P56/1000</f>
        <v>#DIV/0!</v>
      </c>
      <c r="M63" s="151" t="e">
        <f>CJV!P62/1000</f>
        <v>#DIV/0!</v>
      </c>
      <c r="N63" s="151" t="e">
        <f>CZS!P62/1000</f>
        <v>#DIV/0!</v>
      </c>
      <c r="O63" s="186" t="e">
        <f>RMU!P63/1000</f>
        <v>#DIV/0!</v>
      </c>
      <c r="P63" s="490" t="e">
        <f>SUM(F63:O63)</f>
        <v>#DIV/0!</v>
      </c>
      <c r="Q63" s="290"/>
      <c r="T63" s="59"/>
      <c r="U63" s="59"/>
      <c r="V63" s="59"/>
    </row>
    <row r="64" spans="1:22" ht="13.5" thickBot="1">
      <c r="A64" s="774" t="s">
        <v>195</v>
      </c>
      <c r="B64" s="775"/>
      <c r="C64" s="775"/>
      <c r="D64" s="775"/>
      <c r="E64" s="776"/>
      <c r="F64" s="777" t="e">
        <f>SKM!P64/1000</f>
        <v>#DIV/0!</v>
      </c>
      <c r="G64" s="778" t="e">
        <f>SUKB!P64/1000</f>
        <v>#DIV/0!</v>
      </c>
      <c r="H64" s="778" t="e">
        <f>UCT!P57/1000</f>
        <v>#DIV/0!</v>
      </c>
      <c r="I64" s="778" t="e">
        <f>SPSSN!P64/1000</f>
        <v>#DIV/0!</v>
      </c>
      <c r="J64" s="778" t="e">
        <f>IBA!P62/1000</f>
        <v>#DIV/0!</v>
      </c>
      <c r="K64" s="778"/>
      <c r="L64" s="778" t="e">
        <f>ÚVT!P57/1000</f>
        <v>#DIV/0!</v>
      </c>
      <c r="M64" s="778" t="e">
        <f>CJV!P63/1000</f>
        <v>#DIV/0!</v>
      </c>
      <c r="N64" s="778" t="e">
        <f>CZS!P63/1000</f>
        <v>#DIV/0!</v>
      </c>
      <c r="O64" s="779" t="e">
        <f>RMU!P64/1000</f>
        <v>#DIV/0!</v>
      </c>
      <c r="P64" s="780" t="e">
        <f>SUM(F64:O64)</f>
        <v>#DIV/0!</v>
      </c>
      <c r="Q64" s="781"/>
      <c r="T64" s="59"/>
      <c r="U64" s="59"/>
      <c r="V64" s="59"/>
    </row>
    <row r="65" spans="1:22" ht="12.75">
      <c r="A65" s="47" t="s">
        <v>198</v>
      </c>
      <c r="F65" s="239" t="e">
        <f>F47-F64</f>
        <v>#DIV/0!</v>
      </c>
      <c r="G65" s="239" t="e">
        <f aca="true" t="shared" si="6" ref="G65:P65">G47-G64</f>
        <v>#DIV/0!</v>
      </c>
      <c r="H65" s="239" t="e">
        <f t="shared" si="6"/>
        <v>#DIV/0!</v>
      </c>
      <c r="I65" s="239" t="e">
        <f t="shared" si="6"/>
        <v>#DIV/0!</v>
      </c>
      <c r="J65" s="239" t="e">
        <f t="shared" si="6"/>
        <v>#DIV/0!</v>
      </c>
      <c r="K65" s="239">
        <f t="shared" si="6"/>
        <v>0</v>
      </c>
      <c r="L65" s="239" t="e">
        <f t="shared" si="6"/>
        <v>#DIV/0!</v>
      </c>
      <c r="M65" s="239" t="e">
        <f t="shared" si="6"/>
        <v>#DIV/0!</v>
      </c>
      <c r="N65" s="239" t="e">
        <f t="shared" si="6"/>
        <v>#DIV/0!</v>
      </c>
      <c r="O65" s="239" t="e">
        <f t="shared" si="6"/>
        <v>#DIV/0!</v>
      </c>
      <c r="P65" s="239" t="e">
        <f t="shared" si="6"/>
        <v>#DIV/0!</v>
      </c>
      <c r="T65" s="59"/>
      <c r="U65" s="59"/>
      <c r="V65" s="59"/>
    </row>
  </sheetData>
  <mergeCells count="3">
    <mergeCell ref="A1:D1"/>
    <mergeCell ref="C2:D2"/>
    <mergeCell ref="A49:E50"/>
  </mergeCells>
  <conditionalFormatting sqref="F47:O47">
    <cfRule type="cellIs" priority="1" dxfId="0" operator="lessThan" stopIfTrue="1">
      <formula>0</formula>
    </cfRule>
  </conditionalFormatting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7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T61"/>
  <sheetViews>
    <sheetView workbookViewId="0" topLeftCell="A1">
      <selection activeCell="G41" sqref="G41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6.875" style="0" customWidth="1"/>
    <col min="5" max="5" width="23.00390625" style="0" customWidth="1"/>
    <col min="6" max="6" width="3.75390625" style="60" bestFit="1" customWidth="1"/>
    <col min="7" max="7" width="64.375" style="49" customWidth="1"/>
    <col min="8" max="8" width="10.00390625" style="16" customWidth="1"/>
    <col min="9" max="9" width="5.125" style="0" hidden="1" customWidth="1"/>
    <col min="10" max="10" width="7.625" style="50" customWidth="1"/>
    <col min="11" max="14" width="8.00390625" style="50" customWidth="1"/>
    <col min="15" max="15" width="8.125" style="50" customWidth="1"/>
    <col min="16" max="16" width="10.125" style="59" customWidth="1"/>
  </cols>
  <sheetData>
    <row r="1" spans="1:16" ht="15.75" customHeight="1">
      <c r="A1" s="1046" t="s">
        <v>207</v>
      </c>
      <c r="B1" s="1047"/>
      <c r="C1" s="1047"/>
      <c r="D1" s="1048"/>
      <c r="E1" s="572"/>
      <c r="F1" s="1"/>
      <c r="G1" s="2"/>
      <c r="H1" s="3" t="s">
        <v>0</v>
      </c>
      <c r="I1" s="4" t="s">
        <v>1</v>
      </c>
      <c r="J1" s="5" t="s">
        <v>2</v>
      </c>
      <c r="K1" s="1065" t="s">
        <v>3</v>
      </c>
      <c r="L1" s="1066"/>
      <c r="M1" s="1066"/>
      <c r="N1" s="1066"/>
      <c r="O1" s="1067"/>
      <c r="P1" s="67" t="s">
        <v>4</v>
      </c>
    </row>
    <row r="2" spans="1:16" s="16" customFormat="1" ht="13.5" thickBot="1">
      <c r="A2" s="6" t="s">
        <v>180</v>
      </c>
      <c r="B2" s="7"/>
      <c r="C2" s="7"/>
      <c r="D2" s="8"/>
      <c r="E2" s="8"/>
      <c r="F2" s="9" t="s">
        <v>5</v>
      </c>
      <c r="G2" s="10" t="s">
        <v>6</v>
      </c>
      <c r="H2" s="11">
        <v>2011</v>
      </c>
      <c r="I2" s="12" t="s">
        <v>7</v>
      </c>
      <c r="J2" s="13" t="s">
        <v>8</v>
      </c>
      <c r="K2" s="14" t="s">
        <v>9</v>
      </c>
      <c r="L2" s="15" t="s">
        <v>10</v>
      </c>
      <c r="M2" s="15" t="s">
        <v>11</v>
      </c>
      <c r="N2" s="15" t="s">
        <v>126</v>
      </c>
      <c r="O2" s="15" t="s">
        <v>12</v>
      </c>
      <c r="P2" s="71">
        <v>2010</v>
      </c>
    </row>
    <row r="3" spans="1:16" ht="13.5" thickBot="1">
      <c r="A3" s="17" t="s">
        <v>13</v>
      </c>
      <c r="B3" s="18"/>
      <c r="C3" s="18"/>
      <c r="D3" s="18"/>
      <c r="E3" s="18"/>
      <c r="F3" s="19">
        <v>1</v>
      </c>
      <c r="G3" s="20"/>
      <c r="H3" s="278">
        <f aca="true" t="shared" si="0" ref="H3:P3">H4+SUM(H18:H29)</f>
        <v>0</v>
      </c>
      <c r="I3" s="75">
        <f t="shared" si="0"/>
        <v>0</v>
      </c>
      <c r="J3" s="279">
        <f t="shared" si="0"/>
        <v>0</v>
      </c>
      <c r="K3" s="280">
        <f t="shared" si="0"/>
        <v>0</v>
      </c>
      <c r="L3" s="280">
        <f t="shared" si="0"/>
        <v>0</v>
      </c>
      <c r="M3" s="280">
        <f t="shared" si="0"/>
        <v>0</v>
      </c>
      <c r="N3" s="279">
        <f t="shared" si="0"/>
        <v>0</v>
      </c>
      <c r="O3" s="279">
        <f t="shared" si="0"/>
        <v>0</v>
      </c>
      <c r="P3" s="78">
        <f t="shared" si="0"/>
        <v>0</v>
      </c>
    </row>
    <row r="4" spans="1:16" s="25" customFormat="1" ht="12.75">
      <c r="A4" s="21" t="s">
        <v>14</v>
      </c>
      <c r="B4" s="22" t="s">
        <v>15</v>
      </c>
      <c r="C4" s="22"/>
      <c r="D4" s="22"/>
      <c r="E4" s="22"/>
      <c r="F4" s="23">
        <v>2</v>
      </c>
      <c r="G4" s="24" t="s">
        <v>181</v>
      </c>
      <c r="H4" s="281">
        <f aca="true" t="shared" si="1" ref="H4:P4">SUM(H5:H15)</f>
        <v>0</v>
      </c>
      <c r="I4" s="79">
        <f t="shared" si="1"/>
        <v>0</v>
      </c>
      <c r="J4" s="282">
        <f t="shared" si="1"/>
        <v>0</v>
      </c>
      <c r="K4" s="283">
        <f t="shared" si="1"/>
        <v>0</v>
      </c>
      <c r="L4" s="283">
        <f t="shared" si="1"/>
        <v>0</v>
      </c>
      <c r="M4" s="283">
        <f t="shared" si="1"/>
        <v>0</v>
      </c>
      <c r="N4" s="282">
        <f t="shared" si="1"/>
        <v>0</v>
      </c>
      <c r="O4" s="282">
        <f t="shared" si="1"/>
        <v>0</v>
      </c>
      <c r="P4" s="82">
        <f t="shared" si="1"/>
        <v>0</v>
      </c>
    </row>
    <row r="5" spans="1:16" s="65" customFormat="1" ht="12.75">
      <c r="A5" s="61"/>
      <c r="B5" s="62"/>
      <c r="C5" s="62" t="s">
        <v>16</v>
      </c>
      <c r="D5" s="63" t="s">
        <v>17</v>
      </c>
      <c r="E5" s="63"/>
      <c r="F5" s="64">
        <v>3</v>
      </c>
      <c r="G5" s="284"/>
      <c r="H5" s="864"/>
      <c r="I5" s="83"/>
      <c r="J5" s="285"/>
      <c r="K5" s="285"/>
      <c r="L5" s="286"/>
      <c r="M5" s="286"/>
      <c r="N5" s="83"/>
      <c r="O5" s="83"/>
      <c r="P5" s="87"/>
    </row>
    <row r="6" spans="1:16" s="65" customFormat="1" ht="12.75">
      <c r="A6" s="61"/>
      <c r="B6" s="62"/>
      <c r="C6" s="62"/>
      <c r="D6" s="63" t="s">
        <v>18</v>
      </c>
      <c r="E6" s="63"/>
      <c r="F6" s="64">
        <v>4</v>
      </c>
      <c r="G6" s="284"/>
      <c r="H6" s="864"/>
      <c r="I6" s="83"/>
      <c r="J6" s="285"/>
      <c r="K6" s="285"/>
      <c r="L6" s="286"/>
      <c r="M6" s="286"/>
      <c r="N6" s="83"/>
      <c r="O6" s="83"/>
      <c r="P6" s="87"/>
    </row>
    <row r="7" spans="1:16" s="65" customFormat="1" ht="12.75">
      <c r="A7" s="61"/>
      <c r="B7" s="62"/>
      <c r="C7" s="62"/>
      <c r="D7" s="63" t="s">
        <v>19</v>
      </c>
      <c r="E7" s="63"/>
      <c r="F7" s="64">
        <v>5</v>
      </c>
      <c r="G7" s="284"/>
      <c r="H7" s="864"/>
      <c r="I7" s="83"/>
      <c r="J7" s="285"/>
      <c r="K7" s="285"/>
      <c r="L7" s="286"/>
      <c r="M7" s="286"/>
      <c r="N7" s="83"/>
      <c r="O7" s="83"/>
      <c r="P7" s="87"/>
    </row>
    <row r="8" spans="1:16" s="65" customFormat="1" ht="12.75">
      <c r="A8" s="61"/>
      <c r="B8" s="62"/>
      <c r="C8" s="62"/>
      <c r="D8" s="63" t="s">
        <v>20</v>
      </c>
      <c r="E8" s="63"/>
      <c r="F8" s="64">
        <v>6</v>
      </c>
      <c r="G8" s="284"/>
      <c r="H8" s="864"/>
      <c r="I8" s="83"/>
      <c r="J8" s="285"/>
      <c r="K8" s="285"/>
      <c r="L8" s="286"/>
      <c r="M8" s="286"/>
      <c r="N8" s="83"/>
      <c r="O8" s="83"/>
      <c r="P8" s="87"/>
    </row>
    <row r="9" spans="1:16" s="65" customFormat="1" ht="12.75">
      <c r="A9" s="61"/>
      <c r="B9" s="62"/>
      <c r="C9" s="62"/>
      <c r="D9" s="63" t="s">
        <v>21</v>
      </c>
      <c r="E9" s="63"/>
      <c r="F9" s="64">
        <v>7</v>
      </c>
      <c r="G9" s="284"/>
      <c r="H9" s="864"/>
      <c r="I9" s="83"/>
      <c r="J9" s="285"/>
      <c r="K9" s="285"/>
      <c r="L9" s="286"/>
      <c r="M9" s="286"/>
      <c r="N9" s="83"/>
      <c r="O9" s="83"/>
      <c r="P9" s="87"/>
    </row>
    <row r="10" spans="1:20" s="65" customFormat="1" ht="12.75">
      <c r="A10" s="61"/>
      <c r="B10" s="62"/>
      <c r="C10" s="62"/>
      <c r="D10" s="63" t="s">
        <v>22</v>
      </c>
      <c r="E10" s="63"/>
      <c r="F10" s="64">
        <v>8</v>
      </c>
      <c r="G10" s="284"/>
      <c r="H10" s="864"/>
      <c r="I10" s="83"/>
      <c r="J10" s="285"/>
      <c r="K10" s="285"/>
      <c r="L10" s="286"/>
      <c r="M10" s="286"/>
      <c r="N10" s="83"/>
      <c r="O10" s="83"/>
      <c r="P10" s="87"/>
      <c r="R10" s="865"/>
      <c r="S10" s="865"/>
      <c r="T10" s="865"/>
    </row>
    <row r="11" spans="1:20" s="65" customFormat="1" ht="12.75">
      <c r="A11" s="61"/>
      <c r="B11" s="62"/>
      <c r="C11" s="62"/>
      <c r="D11" s="63" t="s">
        <v>23</v>
      </c>
      <c r="E11" s="63"/>
      <c r="F11" s="64">
        <v>9</v>
      </c>
      <c r="G11" s="284"/>
      <c r="H11" s="864"/>
      <c r="I11" s="83"/>
      <c r="J11" s="285"/>
      <c r="K11" s="285"/>
      <c r="L11" s="286"/>
      <c r="M11" s="286"/>
      <c r="N11" s="83"/>
      <c r="O11" s="83"/>
      <c r="P11" s="87"/>
      <c r="R11" s="865"/>
      <c r="S11" s="865"/>
      <c r="T11" s="865"/>
    </row>
    <row r="12" spans="1:16" s="65" customFormat="1" ht="12.75">
      <c r="A12" s="61"/>
      <c r="B12" s="62"/>
      <c r="C12" s="62"/>
      <c r="D12" s="63" t="s">
        <v>24</v>
      </c>
      <c r="E12" s="63"/>
      <c r="F12" s="64">
        <v>10</v>
      </c>
      <c r="G12" s="284"/>
      <c r="H12" s="864"/>
      <c r="I12" s="83"/>
      <c r="J12" s="285"/>
      <c r="K12" s="285"/>
      <c r="L12" s="286"/>
      <c r="M12" s="286"/>
      <c r="N12" s="83"/>
      <c r="O12" s="83"/>
      <c r="P12" s="87"/>
    </row>
    <row r="13" spans="1:16" s="65" customFormat="1" ht="12.75">
      <c r="A13" s="61"/>
      <c r="B13" s="62"/>
      <c r="C13" s="62"/>
      <c r="D13" s="63" t="s">
        <v>25</v>
      </c>
      <c r="E13" s="63"/>
      <c r="F13" s="64">
        <v>11</v>
      </c>
      <c r="G13" s="284"/>
      <c r="H13" s="864"/>
      <c r="I13" s="83"/>
      <c r="J13" s="285"/>
      <c r="K13" s="285"/>
      <c r="L13" s="286"/>
      <c r="M13" s="286"/>
      <c r="N13" s="83"/>
      <c r="O13" s="83"/>
      <c r="P13" s="87"/>
    </row>
    <row r="14" spans="1:16" s="65" customFormat="1" ht="12.75">
      <c r="A14" s="61"/>
      <c r="B14" s="62"/>
      <c r="C14" s="62"/>
      <c r="D14" s="63" t="s">
        <v>26</v>
      </c>
      <c r="E14" s="63"/>
      <c r="F14" s="64">
        <v>12</v>
      </c>
      <c r="G14" s="284"/>
      <c r="H14" s="864"/>
      <c r="I14" s="83"/>
      <c r="J14" s="285"/>
      <c r="K14" s="285"/>
      <c r="L14" s="286"/>
      <c r="M14" s="286"/>
      <c r="N14" s="83"/>
      <c r="O14" s="83"/>
      <c r="P14" s="87"/>
    </row>
    <row r="15" spans="1:16" s="65" customFormat="1" ht="12.75">
      <c r="A15" s="61"/>
      <c r="B15" s="62"/>
      <c r="C15" s="63"/>
      <c r="D15" s="63" t="s">
        <v>27</v>
      </c>
      <c r="E15" s="63"/>
      <c r="F15" s="64">
        <v>13</v>
      </c>
      <c r="G15" s="284"/>
      <c r="H15" s="864"/>
      <c r="I15" s="83"/>
      <c r="J15" s="285"/>
      <c r="K15" s="285"/>
      <c r="L15" s="286"/>
      <c r="M15" s="286"/>
      <c r="N15" s="83"/>
      <c r="O15" s="83"/>
      <c r="P15" s="87"/>
    </row>
    <row r="16" spans="1:16" s="154" customFormat="1" ht="11.25" hidden="1">
      <c r="A16" s="577"/>
      <c r="B16" s="578"/>
      <c r="C16" s="579"/>
      <c r="D16" s="579"/>
      <c r="E16" s="579" t="s">
        <v>171</v>
      </c>
      <c r="F16" s="580" t="s">
        <v>172</v>
      </c>
      <c r="G16" s="581"/>
      <c r="H16" s="866"/>
      <c r="I16" s="582"/>
      <c r="J16" s="583"/>
      <c r="K16" s="583"/>
      <c r="L16" s="576"/>
      <c r="M16" s="576"/>
      <c r="N16" s="582"/>
      <c r="O16" s="582"/>
      <c r="P16" s="87"/>
    </row>
    <row r="17" spans="1:16" s="154" customFormat="1" ht="11.25" hidden="1">
      <c r="A17" s="577"/>
      <c r="B17" s="578"/>
      <c r="C17" s="579"/>
      <c r="D17" s="579"/>
      <c r="E17" s="579" t="s">
        <v>173</v>
      </c>
      <c r="F17" s="580" t="s">
        <v>174</v>
      </c>
      <c r="G17" s="581"/>
      <c r="H17" s="866"/>
      <c r="I17" s="582"/>
      <c r="J17" s="583"/>
      <c r="K17" s="583"/>
      <c r="L17" s="576"/>
      <c r="M17" s="576"/>
      <c r="N17" s="582"/>
      <c r="O17" s="582"/>
      <c r="P17" s="87"/>
    </row>
    <row r="18" spans="1:16" s="25" customFormat="1" ht="12.75">
      <c r="A18" s="21"/>
      <c r="B18" s="30" t="s">
        <v>28</v>
      </c>
      <c r="C18" s="27"/>
      <c r="D18" s="27"/>
      <c r="E18" s="27"/>
      <c r="F18" s="28">
        <v>14</v>
      </c>
      <c r="G18" s="29" t="s">
        <v>29</v>
      </c>
      <c r="H18" s="287"/>
      <c r="I18" s="88"/>
      <c r="J18" s="288"/>
      <c r="K18" s="288"/>
      <c r="L18" s="138"/>
      <c r="M18" s="138"/>
      <c r="N18" s="139"/>
      <c r="O18" s="139"/>
      <c r="P18" s="92"/>
    </row>
    <row r="19" spans="1:16" s="25" customFormat="1" ht="12.75">
      <c r="A19" s="21"/>
      <c r="B19" s="30" t="s">
        <v>30</v>
      </c>
      <c r="C19" s="27"/>
      <c r="D19" s="27"/>
      <c r="E19" s="27"/>
      <c r="F19" s="28">
        <v>15</v>
      </c>
      <c r="G19" s="29" t="s">
        <v>31</v>
      </c>
      <c r="H19" s="287"/>
      <c r="I19" s="88"/>
      <c r="J19" s="288"/>
      <c r="K19" s="288"/>
      <c r="L19" s="138"/>
      <c r="M19" s="138"/>
      <c r="N19" s="139"/>
      <c r="O19" s="139"/>
      <c r="P19" s="92"/>
    </row>
    <row r="20" spans="1:16" s="25" customFormat="1" ht="12.75">
      <c r="A20" s="21"/>
      <c r="B20" s="31" t="s">
        <v>32</v>
      </c>
      <c r="C20" s="32"/>
      <c r="D20" s="32"/>
      <c r="E20" s="32"/>
      <c r="F20" s="33">
        <v>16</v>
      </c>
      <c r="G20" s="34" t="s">
        <v>33</v>
      </c>
      <c r="H20" s="287"/>
      <c r="I20" s="88"/>
      <c r="J20" s="288"/>
      <c r="K20" s="288"/>
      <c r="L20" s="138"/>
      <c r="M20" s="138"/>
      <c r="N20" s="139"/>
      <c r="O20" s="139"/>
      <c r="P20" s="92"/>
    </row>
    <row r="21" spans="1:16" s="25" customFormat="1" ht="12.75">
      <c r="A21" s="21"/>
      <c r="B21" s="31" t="s">
        <v>34</v>
      </c>
      <c r="C21" s="32"/>
      <c r="D21" s="32"/>
      <c r="E21" s="32"/>
      <c r="F21" s="33">
        <v>17</v>
      </c>
      <c r="G21" s="35" t="s">
        <v>35</v>
      </c>
      <c r="H21" s="287"/>
      <c r="I21" s="88"/>
      <c r="J21" s="288"/>
      <c r="K21" s="288"/>
      <c r="L21" s="138"/>
      <c r="M21" s="138"/>
      <c r="N21" s="139"/>
      <c r="O21" s="139"/>
      <c r="P21" s="92"/>
    </row>
    <row r="22" spans="1:16" s="25" customFormat="1" ht="12.75">
      <c r="A22" s="21"/>
      <c r="B22" s="31" t="s">
        <v>36</v>
      </c>
      <c r="C22" s="31"/>
      <c r="D22" s="31"/>
      <c r="E22" s="32"/>
      <c r="F22" s="33">
        <v>18</v>
      </c>
      <c r="G22" s="35" t="s">
        <v>37</v>
      </c>
      <c r="H22" s="287"/>
      <c r="I22" s="88"/>
      <c r="J22" s="288"/>
      <c r="K22" s="288"/>
      <c r="L22" s="138"/>
      <c r="M22" s="138"/>
      <c r="N22" s="139"/>
      <c r="O22" s="139"/>
      <c r="P22" s="92"/>
    </row>
    <row r="23" spans="1:16" s="25" customFormat="1" ht="12.75">
      <c r="A23" s="21"/>
      <c r="B23" s="31" t="s">
        <v>175</v>
      </c>
      <c r="C23" s="31"/>
      <c r="D23" s="31"/>
      <c r="E23" s="32"/>
      <c r="F23" s="33">
        <v>19</v>
      </c>
      <c r="G23" s="35" t="s">
        <v>39</v>
      </c>
      <c r="H23" s="287"/>
      <c r="I23" s="88"/>
      <c r="J23" s="288"/>
      <c r="K23" s="288"/>
      <c r="L23" s="138"/>
      <c r="M23" s="138"/>
      <c r="N23" s="139"/>
      <c r="O23" s="139"/>
      <c r="P23" s="92"/>
    </row>
    <row r="24" spans="1:16" s="25" customFormat="1" ht="12.75">
      <c r="A24" s="21"/>
      <c r="B24" s="31" t="s">
        <v>40</v>
      </c>
      <c r="C24" s="31"/>
      <c r="D24" s="31"/>
      <c r="E24" s="32"/>
      <c r="F24" s="33">
        <v>20</v>
      </c>
      <c r="G24" s="35" t="s">
        <v>41</v>
      </c>
      <c r="H24" s="287"/>
      <c r="I24" s="88"/>
      <c r="J24" s="139"/>
      <c r="K24" s="138"/>
      <c r="L24" s="138"/>
      <c r="M24" s="138"/>
      <c r="N24" s="139"/>
      <c r="O24" s="139"/>
      <c r="P24" s="92"/>
    </row>
    <row r="25" spans="1:16" s="25" customFormat="1" ht="12.75">
      <c r="A25" s="21"/>
      <c r="B25" s="31" t="s">
        <v>42</v>
      </c>
      <c r="C25" s="31"/>
      <c r="D25" s="31"/>
      <c r="E25" s="32"/>
      <c r="F25" s="33">
        <v>21</v>
      </c>
      <c r="G25" s="35">
        <v>2121</v>
      </c>
      <c r="H25" s="287"/>
      <c r="I25" s="88"/>
      <c r="J25" s="139"/>
      <c r="K25" s="138"/>
      <c r="L25" s="138"/>
      <c r="M25" s="138"/>
      <c r="N25" s="139"/>
      <c r="O25" s="139"/>
      <c r="P25" s="92"/>
    </row>
    <row r="26" spans="1:16" s="25" customFormat="1" ht="12.75">
      <c r="A26" s="21"/>
      <c r="B26" s="31" t="s">
        <v>43</v>
      </c>
      <c r="C26" s="31"/>
      <c r="D26" s="31"/>
      <c r="E26" s="32"/>
      <c r="F26" s="33">
        <v>22</v>
      </c>
      <c r="G26" s="867" t="s">
        <v>208</v>
      </c>
      <c r="H26" s="287"/>
      <c r="I26" s="88"/>
      <c r="J26" s="139"/>
      <c r="K26" s="138"/>
      <c r="L26" s="138"/>
      <c r="M26" s="138"/>
      <c r="N26" s="139"/>
      <c r="O26" s="139"/>
      <c r="P26" s="92"/>
    </row>
    <row r="27" spans="1:16" s="25" customFormat="1" ht="12.75">
      <c r="A27" s="21"/>
      <c r="B27" s="31" t="s">
        <v>202</v>
      </c>
      <c r="C27" s="31"/>
      <c r="D27" s="31"/>
      <c r="E27" s="32"/>
      <c r="F27" s="33">
        <v>23</v>
      </c>
      <c r="G27" s="35" t="s">
        <v>203</v>
      </c>
      <c r="H27" s="287"/>
      <c r="I27" s="88"/>
      <c r="J27" s="139"/>
      <c r="K27" s="138"/>
      <c r="L27" s="138"/>
      <c r="M27" s="138"/>
      <c r="N27" s="139"/>
      <c r="O27" s="139"/>
      <c r="P27" s="92"/>
    </row>
    <row r="28" spans="1:16" s="25" customFormat="1" ht="12.75">
      <c r="A28" s="21"/>
      <c r="B28" s="31" t="s">
        <v>45</v>
      </c>
      <c r="C28" s="31"/>
      <c r="D28" s="31"/>
      <c r="E28" s="32"/>
      <c r="F28" s="33">
        <v>24</v>
      </c>
      <c r="G28" s="35" t="s">
        <v>46</v>
      </c>
      <c r="H28" s="287"/>
      <c r="I28" s="88"/>
      <c r="J28" s="139"/>
      <c r="K28" s="138"/>
      <c r="L28" s="138"/>
      <c r="M28" s="138"/>
      <c r="N28" s="139"/>
      <c r="O28" s="139"/>
      <c r="P28" s="92"/>
    </row>
    <row r="29" spans="1:16" s="25" customFormat="1" ht="13.5" thickBot="1">
      <c r="A29" s="21"/>
      <c r="B29" s="30" t="s">
        <v>47</v>
      </c>
      <c r="C29" s="30"/>
      <c r="D29" s="30"/>
      <c r="E29" s="27"/>
      <c r="F29" s="28">
        <v>25</v>
      </c>
      <c r="G29" s="36" t="s">
        <v>48</v>
      </c>
      <c r="H29" s="287"/>
      <c r="I29" s="88"/>
      <c r="J29" s="139"/>
      <c r="K29" s="138"/>
      <c r="L29" s="138"/>
      <c r="M29" s="138"/>
      <c r="N29" s="139"/>
      <c r="O29" s="139"/>
      <c r="P29" s="92"/>
    </row>
    <row r="30" spans="1:16" ht="13.5" thickBot="1">
      <c r="A30" s="37" t="s">
        <v>49</v>
      </c>
      <c r="B30" s="38"/>
      <c r="C30" s="38"/>
      <c r="D30" s="38"/>
      <c r="E30" s="38"/>
      <c r="F30" s="19">
        <v>26</v>
      </c>
      <c r="G30" s="39"/>
      <c r="H30" s="278">
        <f aca="true" t="shared" si="2" ref="H30:P30">SUM(H31:H47)</f>
        <v>0</v>
      </c>
      <c r="I30" s="75">
        <f t="shared" si="2"/>
        <v>0</v>
      </c>
      <c r="J30" s="279">
        <f t="shared" si="2"/>
        <v>0</v>
      </c>
      <c r="K30" s="280">
        <f t="shared" si="2"/>
        <v>0</v>
      </c>
      <c r="L30" s="280">
        <f t="shared" si="2"/>
        <v>0</v>
      </c>
      <c r="M30" s="280">
        <f t="shared" si="2"/>
        <v>0</v>
      </c>
      <c r="N30" s="279">
        <f t="shared" si="2"/>
        <v>0</v>
      </c>
      <c r="O30" s="279">
        <f t="shared" si="2"/>
        <v>0</v>
      </c>
      <c r="P30" s="78">
        <f t="shared" si="2"/>
        <v>0</v>
      </c>
    </row>
    <row r="31" spans="1:16" s="25" customFormat="1" ht="12.75">
      <c r="A31" s="21" t="s">
        <v>14</v>
      </c>
      <c r="B31" s="27" t="s">
        <v>50</v>
      </c>
      <c r="C31" s="27"/>
      <c r="D31" s="27"/>
      <c r="E31" s="27"/>
      <c r="F31" s="28">
        <v>27</v>
      </c>
      <c r="G31" s="29" t="s">
        <v>51</v>
      </c>
      <c r="H31" s="281"/>
      <c r="I31" s="79"/>
      <c r="J31" s="282"/>
      <c r="K31" s="283"/>
      <c r="L31" s="283"/>
      <c r="M31" s="283"/>
      <c r="N31" s="282"/>
      <c r="O31" s="282"/>
      <c r="P31" s="82"/>
    </row>
    <row r="32" spans="1:16" s="25" customFormat="1" ht="12.75">
      <c r="A32" s="21"/>
      <c r="B32" s="30" t="s">
        <v>28</v>
      </c>
      <c r="C32" s="30"/>
      <c r="D32" s="30"/>
      <c r="E32" s="27"/>
      <c r="F32" s="28">
        <v>28</v>
      </c>
      <c r="G32" s="36" t="s">
        <v>29</v>
      </c>
      <c r="H32" s="289"/>
      <c r="I32" s="93"/>
      <c r="J32" s="290"/>
      <c r="K32" s="291"/>
      <c r="L32" s="291"/>
      <c r="M32" s="291"/>
      <c r="N32" s="290"/>
      <c r="O32" s="290"/>
      <c r="P32" s="96"/>
    </row>
    <row r="33" spans="1:16" s="25" customFormat="1" ht="12.75">
      <c r="A33" s="21"/>
      <c r="B33" s="30" t="s">
        <v>30</v>
      </c>
      <c r="C33" s="30"/>
      <c r="D33" s="30"/>
      <c r="E33" s="27"/>
      <c r="F33" s="28">
        <v>29</v>
      </c>
      <c r="G33" s="36" t="s">
        <v>31</v>
      </c>
      <c r="H33" s="289"/>
      <c r="I33" s="93"/>
      <c r="J33" s="290"/>
      <c r="K33" s="291"/>
      <c r="L33" s="291"/>
      <c r="M33" s="291"/>
      <c r="N33" s="290"/>
      <c r="O33" s="290"/>
      <c r="P33" s="96"/>
    </row>
    <row r="34" spans="1:16" s="25" customFormat="1" ht="12.75">
      <c r="A34" s="21"/>
      <c r="B34" s="31" t="s">
        <v>32</v>
      </c>
      <c r="C34" s="32"/>
      <c r="D34" s="32"/>
      <c r="E34" s="32"/>
      <c r="F34" s="33">
        <v>30</v>
      </c>
      <c r="G34" s="34" t="s">
        <v>33</v>
      </c>
      <c r="H34" s="289"/>
      <c r="I34" s="93"/>
      <c r="J34" s="290"/>
      <c r="K34" s="291"/>
      <c r="L34" s="291"/>
      <c r="M34" s="291"/>
      <c r="N34" s="290"/>
      <c r="O34" s="290"/>
      <c r="P34" s="96"/>
    </row>
    <row r="35" spans="1:16" s="25" customFormat="1" ht="12.75">
      <c r="A35" s="21"/>
      <c r="B35" s="31" t="s">
        <v>34</v>
      </c>
      <c r="C35" s="31"/>
      <c r="D35" s="31"/>
      <c r="E35" s="32"/>
      <c r="F35" s="33">
        <v>31</v>
      </c>
      <c r="G35" s="35" t="s">
        <v>35</v>
      </c>
      <c r="H35" s="289"/>
      <c r="I35" s="93"/>
      <c r="J35" s="290"/>
      <c r="K35" s="291"/>
      <c r="L35" s="291"/>
      <c r="M35" s="291"/>
      <c r="N35" s="290"/>
      <c r="O35" s="290"/>
      <c r="P35" s="96"/>
    </row>
    <row r="36" spans="1:16" s="25" customFormat="1" ht="12.75">
      <c r="A36" s="21"/>
      <c r="B36" s="31" t="s">
        <v>52</v>
      </c>
      <c r="C36" s="31"/>
      <c r="D36" s="31"/>
      <c r="E36" s="32"/>
      <c r="F36" s="33">
        <v>32</v>
      </c>
      <c r="G36" s="35" t="s">
        <v>53</v>
      </c>
      <c r="H36" s="289"/>
      <c r="I36" s="93"/>
      <c r="J36" s="290"/>
      <c r="K36" s="291"/>
      <c r="L36" s="291"/>
      <c r="M36" s="291"/>
      <c r="N36" s="290"/>
      <c r="O36" s="290"/>
      <c r="P36" s="96"/>
    </row>
    <row r="37" spans="1:16" s="25" customFormat="1" ht="12.75">
      <c r="A37" s="21"/>
      <c r="B37" s="31" t="s">
        <v>36</v>
      </c>
      <c r="C37" s="31"/>
      <c r="D37" s="31"/>
      <c r="E37" s="32"/>
      <c r="F37" s="33">
        <v>33</v>
      </c>
      <c r="G37" s="35" t="s">
        <v>37</v>
      </c>
      <c r="H37" s="289"/>
      <c r="I37" s="93"/>
      <c r="J37" s="290"/>
      <c r="K37" s="291"/>
      <c r="L37" s="291"/>
      <c r="M37" s="291"/>
      <c r="N37" s="290"/>
      <c r="O37" s="290"/>
      <c r="P37" s="96"/>
    </row>
    <row r="38" spans="1:16" s="25" customFormat="1" ht="12.75">
      <c r="A38" s="21"/>
      <c r="B38" s="31" t="s">
        <v>175</v>
      </c>
      <c r="C38" s="31"/>
      <c r="D38" s="31"/>
      <c r="E38" s="32"/>
      <c r="F38" s="33">
        <v>34</v>
      </c>
      <c r="G38" s="35" t="s">
        <v>39</v>
      </c>
      <c r="H38" s="289"/>
      <c r="I38" s="93"/>
      <c r="J38" s="290"/>
      <c r="K38" s="291"/>
      <c r="L38" s="291"/>
      <c r="M38" s="291"/>
      <c r="N38" s="290"/>
      <c r="O38" s="290"/>
      <c r="P38" s="96"/>
    </row>
    <row r="39" spans="1:16" s="25" customFormat="1" ht="12.75">
      <c r="A39" s="21"/>
      <c r="B39" s="31" t="s">
        <v>54</v>
      </c>
      <c r="C39" s="31"/>
      <c r="D39" s="31"/>
      <c r="E39" s="32"/>
      <c r="F39" s="33">
        <v>35</v>
      </c>
      <c r="G39" s="35" t="s">
        <v>41</v>
      </c>
      <c r="H39" s="289"/>
      <c r="I39" s="93"/>
      <c r="J39" s="290"/>
      <c r="K39" s="291"/>
      <c r="L39" s="291"/>
      <c r="M39" s="291"/>
      <c r="N39" s="290"/>
      <c r="O39" s="290"/>
      <c r="P39" s="96"/>
    </row>
    <row r="40" spans="1:16" s="25" customFormat="1" ht="12.75">
      <c r="A40" s="21"/>
      <c r="B40" s="31" t="s">
        <v>176</v>
      </c>
      <c r="C40" s="31"/>
      <c r="D40" s="31"/>
      <c r="E40" s="32"/>
      <c r="F40" s="33">
        <v>36</v>
      </c>
      <c r="G40" s="35">
        <v>2112</v>
      </c>
      <c r="H40" s="289"/>
      <c r="I40" s="93"/>
      <c r="J40" s="290"/>
      <c r="K40" s="291"/>
      <c r="L40" s="291"/>
      <c r="M40" s="291"/>
      <c r="N40" s="290"/>
      <c r="O40" s="290"/>
      <c r="P40" s="96"/>
    </row>
    <row r="41" spans="1:16" s="25" customFormat="1" ht="12.75">
      <c r="A41" s="21"/>
      <c r="B41" s="31" t="s">
        <v>56</v>
      </c>
      <c r="C41" s="31"/>
      <c r="D41" s="31"/>
      <c r="E41" s="32"/>
      <c r="F41" s="33">
        <v>37</v>
      </c>
      <c r="G41" s="35">
        <v>2121</v>
      </c>
      <c r="H41" s="289"/>
      <c r="I41" s="93"/>
      <c r="J41" s="290"/>
      <c r="K41" s="291"/>
      <c r="L41" s="291"/>
      <c r="M41" s="291"/>
      <c r="N41" s="290"/>
      <c r="O41" s="290"/>
      <c r="P41" s="96"/>
    </row>
    <row r="42" spans="1:16" s="25" customFormat="1" ht="12.75">
      <c r="A42" s="21"/>
      <c r="B42" s="31" t="s">
        <v>57</v>
      </c>
      <c r="C42" s="31"/>
      <c r="D42" s="31"/>
      <c r="E42" s="32"/>
      <c r="F42" s="33">
        <v>38</v>
      </c>
      <c r="G42" s="867" t="s">
        <v>209</v>
      </c>
      <c r="H42" s="289"/>
      <c r="I42" s="93"/>
      <c r="J42" s="290"/>
      <c r="K42" s="291"/>
      <c r="L42" s="291"/>
      <c r="M42" s="291"/>
      <c r="N42" s="290"/>
      <c r="O42" s="290"/>
      <c r="P42" s="96"/>
    </row>
    <row r="43" spans="1:16" s="25" customFormat="1" ht="12.75">
      <c r="A43" s="21"/>
      <c r="B43" s="31" t="s">
        <v>202</v>
      </c>
      <c r="C43" s="31"/>
      <c r="D43" s="31"/>
      <c r="E43" s="32"/>
      <c r="F43" s="33">
        <v>39</v>
      </c>
      <c r="G43" s="35" t="s">
        <v>203</v>
      </c>
      <c r="H43" s="289"/>
      <c r="I43" s="93"/>
      <c r="J43" s="290"/>
      <c r="K43" s="291"/>
      <c r="L43" s="291"/>
      <c r="M43" s="291"/>
      <c r="N43" s="290"/>
      <c r="O43" s="290"/>
      <c r="P43" s="96"/>
    </row>
    <row r="44" spans="1:16" s="25" customFormat="1" ht="12.75">
      <c r="A44" s="21"/>
      <c r="B44" s="31" t="s">
        <v>58</v>
      </c>
      <c r="C44" s="31"/>
      <c r="D44" s="31"/>
      <c r="E44" s="32"/>
      <c r="F44" s="33">
        <v>40</v>
      </c>
      <c r="G44" s="35" t="s">
        <v>46</v>
      </c>
      <c r="H44" s="289"/>
      <c r="I44" s="93"/>
      <c r="J44" s="290"/>
      <c r="K44" s="291"/>
      <c r="L44" s="291"/>
      <c r="M44" s="291"/>
      <c r="N44" s="290"/>
      <c r="O44" s="290"/>
      <c r="P44" s="96"/>
    </row>
    <row r="45" spans="1:16" s="25" customFormat="1" ht="12.75">
      <c r="A45" s="21"/>
      <c r="B45" s="31" t="s">
        <v>59</v>
      </c>
      <c r="C45" s="31"/>
      <c r="D45" s="31"/>
      <c r="E45" s="32"/>
      <c r="F45" s="33">
        <v>41</v>
      </c>
      <c r="G45" s="35" t="s">
        <v>204</v>
      </c>
      <c r="H45" s="289"/>
      <c r="I45" s="93"/>
      <c r="J45" s="290"/>
      <c r="K45" s="291"/>
      <c r="L45" s="291"/>
      <c r="M45" s="291"/>
      <c r="N45" s="290"/>
      <c r="O45" s="290"/>
      <c r="P45" s="96"/>
    </row>
    <row r="46" spans="1:16" s="25" customFormat="1" ht="12.75">
      <c r="A46" s="21"/>
      <c r="B46" s="31" t="s">
        <v>60</v>
      </c>
      <c r="C46" s="31"/>
      <c r="D46" s="31"/>
      <c r="E46" s="32"/>
      <c r="F46" s="33">
        <v>42</v>
      </c>
      <c r="G46" s="35" t="s">
        <v>177</v>
      </c>
      <c r="H46" s="289"/>
      <c r="I46" s="93"/>
      <c r="J46" s="290"/>
      <c r="K46" s="291"/>
      <c r="L46" s="291"/>
      <c r="M46" s="291"/>
      <c r="N46" s="290"/>
      <c r="O46" s="290"/>
      <c r="P46" s="96"/>
    </row>
    <row r="47" spans="1:16" s="25" customFormat="1" ht="12.75">
      <c r="A47" s="40"/>
      <c r="B47" s="41" t="s">
        <v>47</v>
      </c>
      <c r="C47" s="41"/>
      <c r="D47" s="41"/>
      <c r="E47" s="41"/>
      <c r="F47" s="42">
        <v>43</v>
      </c>
      <c r="G47" s="43" t="s">
        <v>48</v>
      </c>
      <c r="H47" s="292"/>
      <c r="I47" s="97"/>
      <c r="J47" s="293"/>
      <c r="K47" s="294"/>
      <c r="L47" s="294"/>
      <c r="M47" s="294"/>
      <c r="N47" s="293"/>
      <c r="O47" s="293"/>
      <c r="P47" s="100"/>
    </row>
    <row r="48" spans="1:16" s="25" customFormat="1" ht="13.5" thickBot="1">
      <c r="A48" s="44" t="s">
        <v>61</v>
      </c>
      <c r="B48" s="45"/>
      <c r="C48" s="45"/>
      <c r="D48" s="45"/>
      <c r="E48" s="26"/>
      <c r="F48" s="28">
        <v>44</v>
      </c>
      <c r="G48" s="46"/>
      <c r="H48" s="295"/>
      <c r="I48" s="101"/>
      <c r="J48" s="296"/>
      <c r="K48" s="297"/>
      <c r="L48" s="297"/>
      <c r="M48" s="297"/>
      <c r="N48" s="296"/>
      <c r="O48" s="296"/>
      <c r="P48" s="103"/>
    </row>
    <row r="49" spans="1:16" ht="13.5" thickBot="1">
      <c r="A49" s="37" t="s">
        <v>62</v>
      </c>
      <c r="B49" s="38"/>
      <c r="C49" s="38"/>
      <c r="D49" s="38"/>
      <c r="E49" s="38"/>
      <c r="F49" s="19">
        <v>45</v>
      </c>
      <c r="G49" s="39"/>
      <c r="H49" s="278">
        <f aca="true" t="shared" si="3" ref="H49:P49">H30-H3</f>
        <v>0</v>
      </c>
      <c r="I49" s="75">
        <f t="shared" si="3"/>
        <v>0</v>
      </c>
      <c r="J49" s="279">
        <f t="shared" si="3"/>
        <v>0</v>
      </c>
      <c r="K49" s="280">
        <f t="shared" si="3"/>
        <v>0</v>
      </c>
      <c r="L49" s="280">
        <f t="shared" si="3"/>
        <v>0</v>
      </c>
      <c r="M49" s="280">
        <f t="shared" si="3"/>
        <v>0</v>
      </c>
      <c r="N49" s="279">
        <f t="shared" si="3"/>
        <v>0</v>
      </c>
      <c r="O49" s="279">
        <f t="shared" si="3"/>
        <v>0</v>
      </c>
      <c r="P49" s="78">
        <f t="shared" si="3"/>
        <v>0</v>
      </c>
    </row>
    <row r="50" spans="1:7" ht="12.75">
      <c r="A50" s="47" t="s">
        <v>63</v>
      </c>
      <c r="B50" s="47"/>
      <c r="C50" s="47"/>
      <c r="D50" s="47"/>
      <c r="E50" s="47"/>
      <c r="F50" s="48"/>
      <c r="G50" s="49" t="s">
        <v>64</v>
      </c>
    </row>
    <row r="51" spans="6:16" s="47" customFormat="1" ht="12.75">
      <c r="F51" s="48"/>
      <c r="G51" s="49"/>
      <c r="H51" s="16"/>
      <c r="J51" s="50"/>
      <c r="K51" s="50"/>
      <c r="L51" s="50"/>
      <c r="M51" s="50"/>
      <c r="N51" s="50"/>
      <c r="O51" s="50"/>
      <c r="P51" s="59"/>
    </row>
    <row r="52" spans="1:16" s="47" customFormat="1" ht="12.75">
      <c r="A52" s="51" t="s">
        <v>65</v>
      </c>
      <c r="F52" s="48"/>
      <c r="G52" s="49"/>
      <c r="H52" s="16"/>
      <c r="J52" s="50"/>
      <c r="K52" s="50"/>
      <c r="L52" s="50"/>
      <c r="M52" s="50"/>
      <c r="N52" s="50"/>
      <c r="O52" s="50"/>
      <c r="P52" s="59"/>
    </row>
    <row r="53" spans="1:16" s="47" customFormat="1" ht="12.75">
      <c r="A53" s="51" t="s">
        <v>199</v>
      </c>
      <c r="F53" s="48"/>
      <c r="G53" s="49"/>
      <c r="H53" s="16"/>
      <c r="J53" s="50"/>
      <c r="K53" s="50"/>
      <c r="L53" s="50"/>
      <c r="M53" s="50"/>
      <c r="N53" s="50"/>
      <c r="O53" s="50"/>
      <c r="P53" s="59"/>
    </row>
    <row r="54" spans="1:16" s="47" customFormat="1" ht="12.75">
      <c r="A54" s="51" t="s">
        <v>67</v>
      </c>
      <c r="F54" s="48"/>
      <c r="G54" s="49"/>
      <c r="H54" s="52"/>
      <c r="J54" s="50"/>
      <c r="K54" s="50"/>
      <c r="L54" s="50"/>
      <c r="M54" s="50"/>
      <c r="N54" s="50"/>
      <c r="O54" s="50"/>
      <c r="P54" s="59"/>
    </row>
    <row r="55" spans="1:16" s="51" customFormat="1" ht="12.75">
      <c r="A55" s="585" t="s">
        <v>205</v>
      </c>
      <c r="F55" s="53"/>
      <c r="G55" s="54"/>
      <c r="H55" s="55"/>
      <c r="J55" s="56"/>
      <c r="K55" s="56"/>
      <c r="L55" s="56"/>
      <c r="M55" s="56"/>
      <c r="N55" s="56"/>
      <c r="O55" s="56"/>
      <c r="P55" s="72"/>
    </row>
    <row r="56" spans="1:16" s="51" customFormat="1" ht="12.75">
      <c r="A56" s="51" t="s">
        <v>69</v>
      </c>
      <c r="F56" s="53"/>
      <c r="G56" s="54"/>
      <c r="H56" s="55"/>
      <c r="J56" s="56"/>
      <c r="K56" s="56"/>
      <c r="L56" s="56"/>
      <c r="M56" s="56"/>
      <c r="N56" s="56"/>
      <c r="O56" s="56"/>
      <c r="P56" s="72"/>
    </row>
    <row r="57" spans="1:16" s="51" customFormat="1" ht="12.75">
      <c r="A57" s="51" t="s">
        <v>206</v>
      </c>
      <c r="F57" s="53"/>
      <c r="G57" s="54"/>
      <c r="H57" s="55"/>
      <c r="J57" s="56"/>
      <c r="K57" s="56"/>
      <c r="L57" s="56"/>
      <c r="M57" s="56"/>
      <c r="N57" s="56"/>
      <c r="O57" s="56"/>
      <c r="P57" s="72"/>
    </row>
    <row r="58" spans="1:16" s="47" customFormat="1" ht="12.75">
      <c r="A58" s="51"/>
      <c r="B58" s="51"/>
      <c r="C58" s="51"/>
      <c r="D58" s="51"/>
      <c r="E58" s="51"/>
      <c r="F58" s="48"/>
      <c r="G58" s="49"/>
      <c r="H58" s="16"/>
      <c r="J58" s="50"/>
      <c r="K58" s="50"/>
      <c r="L58" s="50"/>
      <c r="M58" s="50"/>
      <c r="N58" s="50"/>
      <c r="O58" s="50"/>
      <c r="P58" s="59"/>
    </row>
    <row r="59" spans="1:15" s="59" customFormat="1" ht="12.75">
      <c r="A59" s="51"/>
      <c r="B59" s="51"/>
      <c r="C59" s="51"/>
      <c r="D59" s="51"/>
      <c r="E59" s="51"/>
      <c r="F59" s="57"/>
      <c r="G59" s="58"/>
      <c r="H59" s="16"/>
      <c r="J59" s="50"/>
      <c r="K59" s="50"/>
      <c r="L59" s="50"/>
      <c r="M59" s="50"/>
      <c r="N59" s="50"/>
      <c r="O59" s="50"/>
    </row>
    <row r="60" spans="1:15" s="59" customFormat="1" ht="12.75">
      <c r="A60" s="51"/>
      <c r="B60" s="51"/>
      <c r="C60" s="51"/>
      <c r="D60" s="51"/>
      <c r="E60" s="51"/>
      <c r="F60" s="57"/>
      <c r="G60" s="58"/>
      <c r="H60" s="16"/>
      <c r="J60" s="50"/>
      <c r="K60" s="50"/>
      <c r="L60" s="50"/>
      <c r="M60" s="50"/>
      <c r="N60" s="50"/>
      <c r="O60" s="50"/>
    </row>
    <row r="61" spans="1:15" s="59" customFormat="1" ht="12.75">
      <c r="A61" s="51"/>
      <c r="B61" s="51"/>
      <c r="C61" s="51"/>
      <c r="D61" s="51"/>
      <c r="E61" s="51"/>
      <c r="F61" s="57"/>
      <c r="G61" s="58"/>
      <c r="H61" s="16"/>
      <c r="J61" s="50"/>
      <c r="K61" s="50"/>
      <c r="L61" s="50"/>
      <c r="M61" s="50"/>
      <c r="N61" s="50"/>
      <c r="O61" s="50"/>
    </row>
  </sheetData>
  <mergeCells count="2">
    <mergeCell ref="A1:D1"/>
    <mergeCell ref="K1:O1"/>
  </mergeCells>
  <printOptions/>
  <pageMargins left="0.53" right="0.3" top="0.26" bottom="0.29" header="0.17" footer="0.2"/>
  <pageSetup horizontalDpi="600" verticalDpi="600" orientation="landscape" paperSize="9" scale="75" r:id="rId1"/>
  <headerFooter alignWithMargins="0">
    <oddFooter>&amp;R&amp;8Příloha 3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Q61"/>
  <sheetViews>
    <sheetView workbookViewId="0" topLeftCell="A1">
      <selection activeCell="H11" sqref="H11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6.875" style="0" customWidth="1"/>
    <col min="5" max="5" width="23.00390625" style="0" customWidth="1"/>
    <col min="6" max="6" width="3.75390625" style="60" bestFit="1" customWidth="1"/>
    <col min="7" max="7" width="60.875" style="49" customWidth="1"/>
    <col min="8" max="8" width="11.75390625" style="16" customWidth="1"/>
    <col min="9" max="9" width="5.125" style="0" hidden="1" customWidth="1"/>
    <col min="10" max="10" width="7.625" style="50" customWidth="1"/>
    <col min="11" max="14" width="8.00390625" style="50" customWidth="1"/>
    <col min="15" max="15" width="8.125" style="50" customWidth="1"/>
    <col min="16" max="16" width="9.375" style="59" customWidth="1"/>
  </cols>
  <sheetData>
    <row r="1" spans="1:16" ht="15.75" customHeight="1">
      <c r="A1" s="1046" t="s">
        <v>179</v>
      </c>
      <c r="B1" s="1047"/>
      <c r="C1" s="1047"/>
      <c r="D1" s="1048"/>
      <c r="E1" s="572"/>
      <c r="F1" s="1"/>
      <c r="G1" s="2"/>
      <c r="H1" s="3" t="s">
        <v>0</v>
      </c>
      <c r="I1" s="4" t="s">
        <v>1</v>
      </c>
      <c r="J1" s="5" t="s">
        <v>2</v>
      </c>
      <c r="K1" s="1065" t="s">
        <v>3</v>
      </c>
      <c r="L1" s="1066"/>
      <c r="M1" s="1066"/>
      <c r="N1" s="1066"/>
      <c r="O1" s="1067"/>
      <c r="P1" s="67" t="s">
        <v>4</v>
      </c>
    </row>
    <row r="2" spans="1:16" s="16" customFormat="1" ht="13.5" thickBot="1">
      <c r="A2" s="6" t="s">
        <v>180</v>
      </c>
      <c r="B2" s="7"/>
      <c r="C2" s="7"/>
      <c r="D2" s="8"/>
      <c r="E2" s="8"/>
      <c r="F2" s="9" t="s">
        <v>5</v>
      </c>
      <c r="G2" s="10" t="s">
        <v>6</v>
      </c>
      <c r="H2" s="11">
        <v>2010</v>
      </c>
      <c r="I2" s="12" t="s">
        <v>7</v>
      </c>
      <c r="J2" s="13" t="s">
        <v>8</v>
      </c>
      <c r="K2" s="14" t="s">
        <v>9</v>
      </c>
      <c r="L2" s="15" t="s">
        <v>10</v>
      </c>
      <c r="M2" s="15" t="s">
        <v>11</v>
      </c>
      <c r="N2" s="15" t="s">
        <v>126</v>
      </c>
      <c r="O2" s="15" t="s">
        <v>12</v>
      </c>
      <c r="P2" s="71">
        <v>2009</v>
      </c>
    </row>
    <row r="3" spans="1:16" ht="13.5" thickBot="1">
      <c r="A3" s="17" t="s">
        <v>13</v>
      </c>
      <c r="B3" s="18"/>
      <c r="C3" s="18"/>
      <c r="D3" s="18"/>
      <c r="E3" s="18"/>
      <c r="F3" s="19">
        <v>1</v>
      </c>
      <c r="G3" s="20"/>
      <c r="H3" s="278">
        <f aca="true" t="shared" si="0" ref="H3:P3">H4+SUM(H18:H29)</f>
        <v>0</v>
      </c>
      <c r="I3" s="75">
        <f t="shared" si="0"/>
        <v>0</v>
      </c>
      <c r="J3" s="279">
        <f t="shared" si="0"/>
        <v>0</v>
      </c>
      <c r="K3" s="280">
        <f t="shared" si="0"/>
        <v>0</v>
      </c>
      <c r="L3" s="280">
        <f t="shared" si="0"/>
        <v>0</v>
      </c>
      <c r="M3" s="280">
        <f t="shared" si="0"/>
        <v>0</v>
      </c>
      <c r="N3" s="279">
        <f t="shared" si="0"/>
        <v>0</v>
      </c>
      <c r="O3" s="279">
        <f t="shared" si="0"/>
        <v>0</v>
      </c>
      <c r="P3" s="78">
        <f t="shared" si="0"/>
        <v>0</v>
      </c>
    </row>
    <row r="4" spans="1:16" s="25" customFormat="1" ht="12.75">
      <c r="A4" s="21" t="s">
        <v>14</v>
      </c>
      <c r="B4" s="22" t="s">
        <v>15</v>
      </c>
      <c r="C4" s="22"/>
      <c r="D4" s="22"/>
      <c r="E4" s="22"/>
      <c r="F4" s="23">
        <v>2</v>
      </c>
      <c r="G4" s="24" t="s">
        <v>181</v>
      </c>
      <c r="H4" s="281">
        <f aca="true" t="shared" si="1" ref="H4:P4">SUM(H5:H15)</f>
        <v>0</v>
      </c>
      <c r="I4" s="79">
        <f t="shared" si="1"/>
        <v>0</v>
      </c>
      <c r="J4" s="282">
        <f t="shared" si="1"/>
        <v>0</v>
      </c>
      <c r="K4" s="283">
        <f t="shared" si="1"/>
        <v>0</v>
      </c>
      <c r="L4" s="283">
        <f t="shared" si="1"/>
        <v>0</v>
      </c>
      <c r="M4" s="283">
        <f t="shared" si="1"/>
        <v>0</v>
      </c>
      <c r="N4" s="282">
        <f t="shared" si="1"/>
        <v>0</v>
      </c>
      <c r="O4" s="282">
        <f t="shared" si="1"/>
        <v>0</v>
      </c>
      <c r="P4" s="82">
        <f t="shared" si="1"/>
        <v>0</v>
      </c>
    </row>
    <row r="5" spans="1:16" s="65" customFormat="1" ht="12.75">
      <c r="A5" s="61"/>
      <c r="B5" s="62"/>
      <c r="C5" s="62" t="s">
        <v>16</v>
      </c>
      <c r="D5" s="63" t="s">
        <v>17</v>
      </c>
      <c r="E5" s="63"/>
      <c r="F5" s="64">
        <v>3</v>
      </c>
      <c r="G5" s="284"/>
      <c r="H5" s="860"/>
      <c r="I5" s="83"/>
      <c r="J5" s="285"/>
      <c r="K5" s="285"/>
      <c r="L5" s="286"/>
      <c r="M5" s="286"/>
      <c r="N5" s="83"/>
      <c r="O5" s="83"/>
      <c r="P5" s="87"/>
    </row>
    <row r="6" spans="1:16" s="65" customFormat="1" ht="12.75">
      <c r="A6" s="61"/>
      <c r="B6" s="62"/>
      <c r="C6" s="62"/>
      <c r="D6" s="63" t="s">
        <v>18</v>
      </c>
      <c r="E6" s="63"/>
      <c r="F6" s="64">
        <v>4</v>
      </c>
      <c r="G6" s="284"/>
      <c r="H6" s="860"/>
      <c r="I6" s="83"/>
      <c r="J6" s="285"/>
      <c r="K6" s="285"/>
      <c r="L6" s="286"/>
      <c r="M6" s="286"/>
      <c r="N6" s="83"/>
      <c r="O6" s="83"/>
      <c r="P6" s="87"/>
    </row>
    <row r="7" spans="1:16" s="65" customFormat="1" ht="12.75">
      <c r="A7" s="61"/>
      <c r="B7" s="62"/>
      <c r="C7" s="62"/>
      <c r="D7" s="63" t="s">
        <v>19</v>
      </c>
      <c r="E7" s="63"/>
      <c r="F7" s="64">
        <v>5</v>
      </c>
      <c r="G7" s="284"/>
      <c r="H7" s="860"/>
      <c r="I7" s="83"/>
      <c r="J7" s="285"/>
      <c r="K7" s="285"/>
      <c r="L7" s="286"/>
      <c r="M7" s="286"/>
      <c r="N7" s="83"/>
      <c r="O7" s="83"/>
      <c r="P7" s="87"/>
    </row>
    <row r="8" spans="1:16" s="65" customFormat="1" ht="12.75">
      <c r="A8" s="61"/>
      <c r="B8" s="62"/>
      <c r="C8" s="62"/>
      <c r="D8" s="63" t="s">
        <v>20</v>
      </c>
      <c r="E8" s="63"/>
      <c r="F8" s="64">
        <v>6</v>
      </c>
      <c r="G8" s="284"/>
      <c r="H8" s="860"/>
      <c r="I8" s="83"/>
      <c r="J8" s="285"/>
      <c r="K8" s="285"/>
      <c r="L8" s="286"/>
      <c r="M8" s="286"/>
      <c r="N8" s="83"/>
      <c r="O8" s="83"/>
      <c r="P8" s="87"/>
    </row>
    <row r="9" spans="1:16" s="65" customFormat="1" ht="12.75">
      <c r="A9" s="61"/>
      <c r="B9" s="62"/>
      <c r="C9" s="62"/>
      <c r="D9" s="63" t="s">
        <v>21</v>
      </c>
      <c r="E9" s="63"/>
      <c r="F9" s="64">
        <v>7</v>
      </c>
      <c r="G9" s="284"/>
      <c r="H9" s="860"/>
      <c r="I9" s="83"/>
      <c r="J9" s="285"/>
      <c r="K9" s="285"/>
      <c r="L9" s="286"/>
      <c r="M9" s="286"/>
      <c r="N9" s="83"/>
      <c r="O9" s="83"/>
      <c r="P9" s="87"/>
    </row>
    <row r="10" spans="1:16" s="65" customFormat="1" ht="12.75">
      <c r="A10" s="61"/>
      <c r="B10" s="62"/>
      <c r="C10" s="62"/>
      <c r="D10" s="63" t="s">
        <v>22</v>
      </c>
      <c r="E10" s="63"/>
      <c r="F10" s="64">
        <v>8</v>
      </c>
      <c r="G10" s="284"/>
      <c r="H10" s="860"/>
      <c r="I10" s="83"/>
      <c r="J10" s="285"/>
      <c r="K10" s="285"/>
      <c r="L10" s="286"/>
      <c r="M10" s="286"/>
      <c r="N10" s="83"/>
      <c r="O10" s="83"/>
      <c r="P10" s="87"/>
    </row>
    <row r="11" spans="1:16" s="65" customFormat="1" ht="12.75">
      <c r="A11" s="61"/>
      <c r="B11" s="62"/>
      <c r="C11" s="62"/>
      <c r="D11" s="63" t="s">
        <v>23</v>
      </c>
      <c r="E11" s="63"/>
      <c r="F11" s="64">
        <v>9</v>
      </c>
      <c r="G11" s="284"/>
      <c r="H11" s="860"/>
      <c r="I11" s="83"/>
      <c r="J11" s="285"/>
      <c r="K11" s="285"/>
      <c r="L11" s="286"/>
      <c r="M11" s="286"/>
      <c r="N11" s="83"/>
      <c r="O11" s="83"/>
      <c r="P11" s="87"/>
    </row>
    <row r="12" spans="1:16" s="65" customFormat="1" ht="12.75">
      <c r="A12" s="61"/>
      <c r="B12" s="62"/>
      <c r="C12" s="62"/>
      <c r="D12" s="63" t="s">
        <v>24</v>
      </c>
      <c r="E12" s="63"/>
      <c r="F12" s="64">
        <v>10</v>
      </c>
      <c r="G12" s="284"/>
      <c r="H12" s="860"/>
      <c r="I12" s="83"/>
      <c r="J12" s="285"/>
      <c r="K12" s="285"/>
      <c r="L12" s="286"/>
      <c r="M12" s="286"/>
      <c r="N12" s="83"/>
      <c r="O12" s="83"/>
      <c r="P12" s="87"/>
    </row>
    <row r="13" spans="1:16" s="65" customFormat="1" ht="12.75">
      <c r="A13" s="61"/>
      <c r="B13" s="62"/>
      <c r="C13" s="62"/>
      <c r="D13" s="63" t="s">
        <v>25</v>
      </c>
      <c r="E13" s="63"/>
      <c r="F13" s="64">
        <v>11</v>
      </c>
      <c r="G13" s="284"/>
      <c r="H13" s="860"/>
      <c r="I13" s="83"/>
      <c r="J13" s="285"/>
      <c r="K13" s="285"/>
      <c r="L13" s="286"/>
      <c r="M13" s="286"/>
      <c r="N13" s="83"/>
      <c r="O13" s="83"/>
      <c r="P13" s="87"/>
    </row>
    <row r="14" spans="1:16" s="65" customFormat="1" ht="12.75">
      <c r="A14" s="61"/>
      <c r="B14" s="62"/>
      <c r="C14" s="62"/>
      <c r="D14" s="63" t="s">
        <v>26</v>
      </c>
      <c r="E14" s="63"/>
      <c r="F14" s="64">
        <v>12</v>
      </c>
      <c r="G14" s="284"/>
      <c r="H14" s="860"/>
      <c r="I14" s="83"/>
      <c r="J14" s="285"/>
      <c r="K14" s="285"/>
      <c r="L14" s="286"/>
      <c r="M14" s="286"/>
      <c r="N14" s="83"/>
      <c r="O14" s="83"/>
      <c r="P14" s="87"/>
    </row>
    <row r="15" spans="1:16" s="65" customFormat="1" ht="12.75">
      <c r="A15" s="61"/>
      <c r="B15" s="62"/>
      <c r="C15" s="63"/>
      <c r="D15" s="63" t="s">
        <v>27</v>
      </c>
      <c r="E15" s="63"/>
      <c r="F15" s="64">
        <v>13</v>
      </c>
      <c r="G15" s="284"/>
      <c r="H15" s="860"/>
      <c r="I15" s="83"/>
      <c r="J15" s="285"/>
      <c r="K15" s="285"/>
      <c r="L15" s="286"/>
      <c r="M15" s="286"/>
      <c r="N15" s="83"/>
      <c r="O15" s="83"/>
      <c r="P15" s="87"/>
    </row>
    <row r="16" spans="1:16" s="154" customFormat="1" ht="12.75" hidden="1">
      <c r="A16" s="577"/>
      <c r="B16" s="578"/>
      <c r="C16" s="579"/>
      <c r="D16" s="579"/>
      <c r="E16" s="579" t="s">
        <v>171</v>
      </c>
      <c r="F16" s="580" t="s">
        <v>172</v>
      </c>
      <c r="G16" s="581"/>
      <c r="H16" s="861"/>
      <c r="I16" s="582"/>
      <c r="J16" s="583"/>
      <c r="K16" s="583"/>
      <c r="L16" s="576"/>
      <c r="M16" s="576"/>
      <c r="N16" s="582"/>
      <c r="O16" s="582"/>
      <c r="P16" s="87"/>
    </row>
    <row r="17" spans="1:16" s="154" customFormat="1" ht="12.75" hidden="1">
      <c r="A17" s="577"/>
      <c r="B17" s="578"/>
      <c r="C17" s="579"/>
      <c r="D17" s="579"/>
      <c r="E17" s="579" t="s">
        <v>173</v>
      </c>
      <c r="F17" s="580" t="s">
        <v>174</v>
      </c>
      <c r="G17" s="581"/>
      <c r="H17" s="861"/>
      <c r="I17" s="582"/>
      <c r="J17" s="583"/>
      <c r="K17" s="583"/>
      <c r="L17" s="576"/>
      <c r="M17" s="576"/>
      <c r="N17" s="582"/>
      <c r="O17" s="582"/>
      <c r="P17" s="87"/>
    </row>
    <row r="18" spans="1:16" s="25" customFormat="1" ht="12.75">
      <c r="A18" s="21"/>
      <c r="B18" s="30" t="s">
        <v>28</v>
      </c>
      <c r="C18" s="27"/>
      <c r="D18" s="27"/>
      <c r="E18" s="27"/>
      <c r="F18" s="28">
        <v>14</v>
      </c>
      <c r="G18" s="29" t="s">
        <v>29</v>
      </c>
      <c r="H18" s="287"/>
      <c r="I18" s="88"/>
      <c r="J18" s="288"/>
      <c r="K18" s="288"/>
      <c r="L18" s="138"/>
      <c r="M18" s="138"/>
      <c r="N18" s="139"/>
      <c r="O18" s="139"/>
      <c r="P18" s="92"/>
    </row>
    <row r="19" spans="1:16" s="25" customFormat="1" ht="12.75">
      <c r="A19" s="21"/>
      <c r="B19" s="30" t="s">
        <v>30</v>
      </c>
      <c r="C19" s="27"/>
      <c r="D19" s="27"/>
      <c r="E19" s="27"/>
      <c r="F19" s="28">
        <v>15</v>
      </c>
      <c r="G19" s="29" t="s">
        <v>31</v>
      </c>
      <c r="H19" s="287"/>
      <c r="I19" s="88"/>
      <c r="J19" s="288"/>
      <c r="K19" s="288"/>
      <c r="L19" s="138"/>
      <c r="M19" s="138"/>
      <c r="N19" s="139"/>
      <c r="O19" s="139"/>
      <c r="P19" s="92"/>
    </row>
    <row r="20" spans="1:16" s="25" customFormat="1" ht="12.75">
      <c r="A20" s="21"/>
      <c r="B20" s="31" t="s">
        <v>32</v>
      </c>
      <c r="C20" s="32"/>
      <c r="D20" s="32"/>
      <c r="E20" s="32"/>
      <c r="F20" s="33">
        <v>16</v>
      </c>
      <c r="G20" s="34" t="s">
        <v>33</v>
      </c>
      <c r="H20" s="287"/>
      <c r="I20" s="88"/>
      <c r="J20" s="288"/>
      <c r="K20" s="288"/>
      <c r="L20" s="138"/>
      <c r="M20" s="138"/>
      <c r="N20" s="139"/>
      <c r="O20" s="139"/>
      <c r="P20" s="92"/>
    </row>
    <row r="21" spans="1:16" s="25" customFormat="1" ht="12.75">
      <c r="A21" s="21"/>
      <c r="B21" s="31" t="s">
        <v>34</v>
      </c>
      <c r="C21" s="32"/>
      <c r="D21" s="32"/>
      <c r="E21" s="32"/>
      <c r="F21" s="33">
        <v>17</v>
      </c>
      <c r="G21" s="35" t="s">
        <v>35</v>
      </c>
      <c r="H21" s="287"/>
      <c r="I21" s="88"/>
      <c r="J21" s="288"/>
      <c r="K21" s="288"/>
      <c r="L21" s="138"/>
      <c r="M21" s="138"/>
      <c r="N21" s="139"/>
      <c r="O21" s="139"/>
      <c r="P21" s="92"/>
    </row>
    <row r="22" spans="1:16" s="25" customFormat="1" ht="12.75">
      <c r="A22" s="21"/>
      <c r="B22" s="31" t="s">
        <v>36</v>
      </c>
      <c r="C22" s="31"/>
      <c r="D22" s="31"/>
      <c r="E22" s="32"/>
      <c r="F22" s="33">
        <v>18</v>
      </c>
      <c r="G22" s="35" t="s">
        <v>37</v>
      </c>
      <c r="H22" s="287"/>
      <c r="I22" s="88"/>
      <c r="J22" s="288"/>
      <c r="K22" s="288"/>
      <c r="L22" s="138"/>
      <c r="M22" s="138"/>
      <c r="N22" s="139"/>
      <c r="O22" s="139"/>
      <c r="P22" s="92"/>
    </row>
    <row r="23" spans="1:17" s="25" customFormat="1" ht="12.75">
      <c r="A23" s="21"/>
      <c r="B23" s="31" t="s">
        <v>175</v>
      </c>
      <c r="C23" s="31"/>
      <c r="D23" s="31"/>
      <c r="E23" s="32"/>
      <c r="F23" s="33">
        <v>19</v>
      </c>
      <c r="G23" s="35" t="s">
        <v>39</v>
      </c>
      <c r="H23" s="287"/>
      <c r="I23" s="88"/>
      <c r="J23" s="288"/>
      <c r="K23" s="288"/>
      <c r="L23" s="138"/>
      <c r="M23" s="138"/>
      <c r="N23" s="139"/>
      <c r="O23" s="139"/>
      <c r="P23" s="92"/>
      <c r="Q23" s="72" t="s">
        <v>160</v>
      </c>
    </row>
    <row r="24" spans="1:17" s="25" customFormat="1" ht="12.75">
      <c r="A24" s="21"/>
      <c r="B24" s="31" t="s">
        <v>40</v>
      </c>
      <c r="C24" s="31"/>
      <c r="D24" s="31"/>
      <c r="E24" s="32"/>
      <c r="F24" s="33">
        <v>20</v>
      </c>
      <c r="G24" s="35" t="s">
        <v>41</v>
      </c>
      <c r="H24" s="287"/>
      <c r="I24" s="88"/>
      <c r="J24" s="139"/>
      <c r="K24" s="138"/>
      <c r="L24" s="138"/>
      <c r="M24" s="138"/>
      <c r="N24" s="139"/>
      <c r="O24" s="139"/>
      <c r="P24" s="92"/>
      <c r="Q24" s="72" t="s">
        <v>157</v>
      </c>
    </row>
    <row r="25" spans="1:17" s="25" customFormat="1" ht="12.75">
      <c r="A25" s="21"/>
      <c r="B25" s="31" t="s">
        <v>42</v>
      </c>
      <c r="C25" s="31"/>
      <c r="D25" s="31"/>
      <c r="E25" s="32"/>
      <c r="F25" s="33">
        <v>21</v>
      </c>
      <c r="G25" s="584">
        <v>2121</v>
      </c>
      <c r="H25" s="287"/>
      <c r="I25" s="88"/>
      <c r="J25" s="139"/>
      <c r="K25" s="138"/>
      <c r="L25" s="138"/>
      <c r="M25" s="138"/>
      <c r="N25" s="139"/>
      <c r="O25" s="139"/>
      <c r="P25" s="92"/>
      <c r="Q25" s="72"/>
    </row>
    <row r="26" spans="1:17" s="25" customFormat="1" ht="12.75">
      <c r="A26" s="21"/>
      <c r="B26" s="31" t="s">
        <v>43</v>
      </c>
      <c r="C26" s="31"/>
      <c r="D26" s="31"/>
      <c r="E26" s="32"/>
      <c r="F26" s="33">
        <v>22</v>
      </c>
      <c r="G26" s="35" t="s">
        <v>182</v>
      </c>
      <c r="H26" s="287"/>
      <c r="I26" s="88"/>
      <c r="J26" s="139"/>
      <c r="K26" s="138"/>
      <c r="L26" s="138"/>
      <c r="M26" s="138"/>
      <c r="N26" s="139"/>
      <c r="O26" s="139"/>
      <c r="P26" s="92"/>
      <c r="Q26" s="72"/>
    </row>
    <row r="27" spans="1:17" s="25" customFormat="1" ht="12.75">
      <c r="A27" s="21"/>
      <c r="B27" s="31" t="s">
        <v>183</v>
      </c>
      <c r="C27" s="31"/>
      <c r="D27" s="31"/>
      <c r="E27" s="32"/>
      <c r="F27" s="33">
        <v>23</v>
      </c>
      <c r="G27" s="35" t="s">
        <v>184</v>
      </c>
      <c r="H27" s="287"/>
      <c r="I27" s="88"/>
      <c r="J27" s="139"/>
      <c r="K27" s="138"/>
      <c r="L27" s="138"/>
      <c r="M27" s="138"/>
      <c r="N27" s="139"/>
      <c r="O27" s="139"/>
      <c r="P27" s="92"/>
      <c r="Q27" s="72" t="s">
        <v>158</v>
      </c>
    </row>
    <row r="28" spans="1:17" s="25" customFormat="1" ht="12.75">
      <c r="A28" s="21"/>
      <c r="B28" s="31" t="s">
        <v>45</v>
      </c>
      <c r="C28" s="31"/>
      <c r="D28" s="31"/>
      <c r="E28" s="32"/>
      <c r="F28" s="33">
        <v>24</v>
      </c>
      <c r="G28" s="35" t="s">
        <v>46</v>
      </c>
      <c r="H28" s="287"/>
      <c r="I28" s="88"/>
      <c r="J28" s="139"/>
      <c r="K28" s="138"/>
      <c r="L28" s="138"/>
      <c r="M28" s="138"/>
      <c r="N28" s="139"/>
      <c r="O28" s="139"/>
      <c r="P28" s="92"/>
      <c r="Q28" s="72" t="s">
        <v>159</v>
      </c>
    </row>
    <row r="29" spans="1:17" s="25" customFormat="1" ht="13.5" thickBot="1">
      <c r="A29" s="21"/>
      <c r="B29" s="30" t="s">
        <v>47</v>
      </c>
      <c r="C29" s="30"/>
      <c r="D29" s="30"/>
      <c r="E29" s="27"/>
      <c r="F29" s="28">
        <v>25</v>
      </c>
      <c r="G29" s="36" t="s">
        <v>48</v>
      </c>
      <c r="H29" s="287"/>
      <c r="I29" s="88"/>
      <c r="J29" s="139"/>
      <c r="K29" s="138"/>
      <c r="L29" s="138"/>
      <c r="M29" s="138"/>
      <c r="N29" s="139"/>
      <c r="O29" s="139"/>
      <c r="P29" s="92"/>
      <c r="Q29" s="72"/>
    </row>
    <row r="30" spans="1:17" ht="13.5" thickBot="1">
      <c r="A30" s="37" t="s">
        <v>49</v>
      </c>
      <c r="B30" s="38"/>
      <c r="C30" s="38"/>
      <c r="D30" s="38"/>
      <c r="E30" s="38"/>
      <c r="F30" s="19">
        <v>26</v>
      </c>
      <c r="G30" s="39"/>
      <c r="H30" s="278">
        <f aca="true" t="shared" si="2" ref="H30:P30">SUM(H31:H47)</f>
        <v>0</v>
      </c>
      <c r="I30" s="75">
        <f t="shared" si="2"/>
        <v>0</v>
      </c>
      <c r="J30" s="279">
        <f t="shared" si="2"/>
        <v>0</v>
      </c>
      <c r="K30" s="280">
        <f t="shared" si="2"/>
        <v>0</v>
      </c>
      <c r="L30" s="280">
        <f t="shared" si="2"/>
        <v>0</v>
      </c>
      <c r="M30" s="280">
        <f t="shared" si="2"/>
        <v>0</v>
      </c>
      <c r="N30" s="279">
        <f t="shared" si="2"/>
        <v>0</v>
      </c>
      <c r="O30" s="279">
        <f t="shared" si="2"/>
        <v>0</v>
      </c>
      <c r="P30" s="78">
        <f t="shared" si="2"/>
        <v>0</v>
      </c>
      <c r="Q30" s="72"/>
    </row>
    <row r="31" spans="1:17" s="25" customFormat="1" ht="12.75">
      <c r="A31" s="21" t="s">
        <v>14</v>
      </c>
      <c r="B31" s="27" t="s">
        <v>50</v>
      </c>
      <c r="C31" s="27"/>
      <c r="D31" s="27"/>
      <c r="E31" s="27"/>
      <c r="F31" s="28">
        <v>27</v>
      </c>
      <c r="G31" s="29" t="s">
        <v>51</v>
      </c>
      <c r="H31" s="281"/>
      <c r="I31" s="79"/>
      <c r="J31" s="282"/>
      <c r="K31" s="283"/>
      <c r="L31" s="283"/>
      <c r="M31" s="283"/>
      <c r="N31" s="282"/>
      <c r="O31" s="282"/>
      <c r="P31" s="82"/>
      <c r="Q31" s="72"/>
    </row>
    <row r="32" spans="1:17" s="25" customFormat="1" ht="12.75">
      <c r="A32" s="21"/>
      <c r="B32" s="30" t="s">
        <v>28</v>
      </c>
      <c r="C32" s="30"/>
      <c r="D32" s="30"/>
      <c r="E32" s="27"/>
      <c r="F32" s="28">
        <v>28</v>
      </c>
      <c r="G32" s="36" t="s">
        <v>29</v>
      </c>
      <c r="H32" s="289"/>
      <c r="I32" s="93"/>
      <c r="J32" s="290"/>
      <c r="K32" s="291"/>
      <c r="L32" s="291"/>
      <c r="M32" s="291"/>
      <c r="N32" s="290"/>
      <c r="O32" s="290"/>
      <c r="P32" s="96"/>
      <c r="Q32" s="72"/>
    </row>
    <row r="33" spans="1:17" s="25" customFormat="1" ht="12.75">
      <c r="A33" s="21"/>
      <c r="B33" s="30" t="s">
        <v>30</v>
      </c>
      <c r="C33" s="30"/>
      <c r="D33" s="30"/>
      <c r="E33" s="27"/>
      <c r="F33" s="28">
        <v>29</v>
      </c>
      <c r="G33" s="36" t="s">
        <v>31</v>
      </c>
      <c r="H33" s="289"/>
      <c r="I33" s="93"/>
      <c r="J33" s="290"/>
      <c r="K33" s="291"/>
      <c r="L33" s="291"/>
      <c r="M33" s="291"/>
      <c r="N33" s="290"/>
      <c r="O33" s="290"/>
      <c r="P33" s="96"/>
      <c r="Q33" s="72"/>
    </row>
    <row r="34" spans="1:17" s="25" customFormat="1" ht="12.75">
      <c r="A34" s="21"/>
      <c r="B34" s="31" t="s">
        <v>32</v>
      </c>
      <c r="C34" s="32"/>
      <c r="D34" s="32"/>
      <c r="E34" s="32"/>
      <c r="F34" s="33">
        <v>30</v>
      </c>
      <c r="G34" s="34" t="s">
        <v>33</v>
      </c>
      <c r="H34" s="289"/>
      <c r="I34" s="93"/>
      <c r="J34" s="290"/>
      <c r="K34" s="291"/>
      <c r="L34" s="291"/>
      <c r="M34" s="291"/>
      <c r="N34" s="290"/>
      <c r="O34" s="290"/>
      <c r="P34" s="96"/>
      <c r="Q34" s="72"/>
    </row>
    <row r="35" spans="1:17" s="25" customFormat="1" ht="12.75">
      <c r="A35" s="21"/>
      <c r="B35" s="31" t="s">
        <v>34</v>
      </c>
      <c r="C35" s="31"/>
      <c r="D35" s="31"/>
      <c r="E35" s="32"/>
      <c r="F35" s="33">
        <v>31</v>
      </c>
      <c r="G35" s="35" t="s">
        <v>35</v>
      </c>
      <c r="H35" s="289"/>
      <c r="I35" s="93"/>
      <c r="J35" s="290"/>
      <c r="K35" s="291"/>
      <c r="L35" s="291"/>
      <c r="M35" s="291"/>
      <c r="N35" s="290"/>
      <c r="O35" s="290"/>
      <c r="P35" s="96"/>
      <c r="Q35" s="72"/>
    </row>
    <row r="36" spans="1:17" s="25" customFormat="1" ht="12.75">
      <c r="A36" s="21"/>
      <c r="B36" s="31" t="s">
        <v>52</v>
      </c>
      <c r="C36" s="31"/>
      <c r="D36" s="31"/>
      <c r="E36" s="32"/>
      <c r="F36" s="33">
        <v>32</v>
      </c>
      <c r="G36" s="35" t="s">
        <v>53</v>
      </c>
      <c r="H36" s="289"/>
      <c r="I36" s="93"/>
      <c r="J36" s="290"/>
      <c r="K36" s="291"/>
      <c r="L36" s="291"/>
      <c r="M36" s="291"/>
      <c r="N36" s="290"/>
      <c r="O36" s="290"/>
      <c r="P36" s="96"/>
      <c r="Q36" s="72"/>
    </row>
    <row r="37" spans="1:17" s="25" customFormat="1" ht="12.75">
      <c r="A37" s="21"/>
      <c r="B37" s="31" t="s">
        <v>36</v>
      </c>
      <c r="C37" s="31"/>
      <c r="D37" s="31"/>
      <c r="E37" s="32"/>
      <c r="F37" s="33">
        <v>33</v>
      </c>
      <c r="G37" s="35" t="s">
        <v>37</v>
      </c>
      <c r="H37" s="289"/>
      <c r="I37" s="93"/>
      <c r="J37" s="290"/>
      <c r="K37" s="291"/>
      <c r="L37" s="291"/>
      <c r="M37" s="291"/>
      <c r="N37" s="290"/>
      <c r="O37" s="290"/>
      <c r="P37" s="96"/>
      <c r="Q37" s="72"/>
    </row>
    <row r="38" spans="1:17" s="25" customFormat="1" ht="12.75">
      <c r="A38" s="21"/>
      <c r="B38" s="31" t="s">
        <v>175</v>
      </c>
      <c r="C38" s="31"/>
      <c r="D38" s="31"/>
      <c r="E38" s="32"/>
      <c r="F38" s="33">
        <v>34</v>
      </c>
      <c r="G38" s="35" t="s">
        <v>39</v>
      </c>
      <c r="H38" s="289"/>
      <c r="I38" s="93"/>
      <c r="J38" s="290"/>
      <c r="K38" s="291"/>
      <c r="L38" s="291"/>
      <c r="M38" s="291"/>
      <c r="N38" s="290"/>
      <c r="O38" s="290"/>
      <c r="P38" s="96"/>
      <c r="Q38" s="72" t="s">
        <v>160</v>
      </c>
    </row>
    <row r="39" spans="1:17" s="25" customFormat="1" ht="12.75">
      <c r="A39" s="21"/>
      <c r="B39" s="31" t="s">
        <v>54</v>
      </c>
      <c r="C39" s="31"/>
      <c r="D39" s="31"/>
      <c r="E39" s="32"/>
      <c r="F39" s="33">
        <v>35</v>
      </c>
      <c r="G39" s="35" t="s">
        <v>41</v>
      </c>
      <c r="H39" s="289"/>
      <c r="I39" s="93"/>
      <c r="J39" s="290"/>
      <c r="K39" s="291"/>
      <c r="L39" s="291"/>
      <c r="M39" s="291"/>
      <c r="N39" s="290"/>
      <c r="O39" s="290"/>
      <c r="P39" s="96"/>
      <c r="Q39" s="72" t="s">
        <v>157</v>
      </c>
    </row>
    <row r="40" spans="1:17" s="25" customFormat="1" ht="12.75">
      <c r="A40" s="21"/>
      <c r="B40" s="31" t="s">
        <v>176</v>
      </c>
      <c r="C40" s="31"/>
      <c r="D40" s="31"/>
      <c r="E40" s="32"/>
      <c r="F40" s="33">
        <v>36</v>
      </c>
      <c r="G40" s="35" t="s">
        <v>185</v>
      </c>
      <c r="H40" s="289"/>
      <c r="I40" s="93"/>
      <c r="J40" s="290"/>
      <c r="K40" s="291"/>
      <c r="L40" s="291"/>
      <c r="M40" s="291"/>
      <c r="N40" s="290"/>
      <c r="O40" s="290"/>
      <c r="P40" s="96"/>
      <c r="Q40" s="72"/>
    </row>
    <row r="41" spans="1:17" s="25" customFormat="1" ht="12.75">
      <c r="A41" s="21"/>
      <c r="B41" s="31" t="s">
        <v>56</v>
      </c>
      <c r="C41" s="31"/>
      <c r="D41" s="31"/>
      <c r="E41" s="32"/>
      <c r="F41" s="33">
        <v>37</v>
      </c>
      <c r="G41" s="584">
        <v>2121</v>
      </c>
      <c r="H41" s="289"/>
      <c r="I41" s="93"/>
      <c r="J41" s="290"/>
      <c r="K41" s="291"/>
      <c r="L41" s="291"/>
      <c r="M41" s="291"/>
      <c r="N41" s="290"/>
      <c r="O41" s="290"/>
      <c r="P41" s="96"/>
      <c r="Q41" s="72"/>
    </row>
    <row r="42" spans="1:17" s="25" customFormat="1" ht="12.75">
      <c r="A42" s="21"/>
      <c r="B42" s="31" t="s">
        <v>57</v>
      </c>
      <c r="C42" s="31"/>
      <c r="D42" s="31"/>
      <c r="E42" s="32"/>
      <c r="F42" s="33">
        <v>38</v>
      </c>
      <c r="G42" s="35" t="s">
        <v>182</v>
      </c>
      <c r="H42" s="289"/>
      <c r="I42" s="93"/>
      <c r="J42" s="290"/>
      <c r="K42" s="291"/>
      <c r="L42" s="291"/>
      <c r="M42" s="291"/>
      <c r="N42" s="290"/>
      <c r="O42" s="290"/>
      <c r="P42" s="96"/>
      <c r="Q42" s="72"/>
    </row>
    <row r="43" spans="1:17" s="25" customFormat="1" ht="12.75">
      <c r="A43" s="21"/>
      <c r="B43" s="31" t="s">
        <v>183</v>
      </c>
      <c r="C43" s="31"/>
      <c r="D43" s="31"/>
      <c r="E43" s="32"/>
      <c r="F43" s="33">
        <v>39</v>
      </c>
      <c r="G43" s="35" t="s">
        <v>184</v>
      </c>
      <c r="H43" s="289"/>
      <c r="I43" s="93"/>
      <c r="J43" s="290"/>
      <c r="K43" s="291"/>
      <c r="L43" s="291"/>
      <c r="M43" s="291"/>
      <c r="N43" s="290"/>
      <c r="O43" s="290"/>
      <c r="P43" s="96"/>
      <c r="Q43" s="72" t="s">
        <v>158</v>
      </c>
    </row>
    <row r="44" spans="1:17" s="25" customFormat="1" ht="12.75">
      <c r="A44" s="21"/>
      <c r="B44" s="31" t="s">
        <v>58</v>
      </c>
      <c r="C44" s="31"/>
      <c r="D44" s="31"/>
      <c r="E44" s="32"/>
      <c r="F44" s="33">
        <v>40</v>
      </c>
      <c r="G44" s="35" t="s">
        <v>46</v>
      </c>
      <c r="H44" s="289"/>
      <c r="I44" s="93"/>
      <c r="J44" s="290"/>
      <c r="K44" s="291"/>
      <c r="L44" s="291"/>
      <c r="M44" s="291"/>
      <c r="N44" s="290"/>
      <c r="O44" s="290"/>
      <c r="P44" s="96"/>
      <c r="Q44" s="72" t="s">
        <v>159</v>
      </c>
    </row>
    <row r="45" spans="1:16" s="25" customFormat="1" ht="12.75">
      <c r="A45" s="21"/>
      <c r="B45" s="31" t="s">
        <v>59</v>
      </c>
      <c r="C45" s="31"/>
      <c r="D45" s="31"/>
      <c r="E45" s="32"/>
      <c r="F45" s="33">
        <v>41</v>
      </c>
      <c r="G45" s="35" t="s">
        <v>72</v>
      </c>
      <c r="H45" s="289"/>
      <c r="I45" s="93"/>
      <c r="J45" s="290"/>
      <c r="K45" s="291"/>
      <c r="L45" s="291"/>
      <c r="M45" s="291"/>
      <c r="N45" s="290"/>
      <c r="O45" s="290"/>
      <c r="P45" s="96"/>
    </row>
    <row r="46" spans="1:16" s="25" customFormat="1" ht="12.75">
      <c r="A46" s="21"/>
      <c r="B46" s="31" t="s">
        <v>60</v>
      </c>
      <c r="C46" s="31"/>
      <c r="D46" s="31"/>
      <c r="E46" s="32"/>
      <c r="F46" s="33">
        <v>42</v>
      </c>
      <c r="G46" s="35" t="s">
        <v>177</v>
      </c>
      <c r="H46" s="289"/>
      <c r="I46" s="93"/>
      <c r="J46" s="290"/>
      <c r="K46" s="291"/>
      <c r="L46" s="291"/>
      <c r="M46" s="291"/>
      <c r="N46" s="290"/>
      <c r="O46" s="290"/>
      <c r="P46" s="96"/>
    </row>
    <row r="47" spans="1:16" s="25" customFormat="1" ht="12.75">
      <c r="A47" s="40"/>
      <c r="B47" s="41" t="s">
        <v>47</v>
      </c>
      <c r="C47" s="41"/>
      <c r="D47" s="41"/>
      <c r="E47" s="41"/>
      <c r="F47" s="42">
        <v>43</v>
      </c>
      <c r="G47" s="43" t="s">
        <v>48</v>
      </c>
      <c r="H47" s="292"/>
      <c r="I47" s="97"/>
      <c r="J47" s="293"/>
      <c r="K47" s="294"/>
      <c r="L47" s="294"/>
      <c r="M47" s="294"/>
      <c r="N47" s="293"/>
      <c r="O47" s="293"/>
      <c r="P47" s="100"/>
    </row>
    <row r="48" spans="1:16" s="25" customFormat="1" ht="13.5" thickBot="1">
      <c r="A48" s="44" t="s">
        <v>61</v>
      </c>
      <c r="B48" s="45"/>
      <c r="C48" s="45"/>
      <c r="D48" s="45"/>
      <c r="E48" s="26"/>
      <c r="F48" s="28">
        <v>44</v>
      </c>
      <c r="G48" s="46"/>
      <c r="H48" s="295"/>
      <c r="I48" s="101"/>
      <c r="J48" s="296"/>
      <c r="K48" s="297"/>
      <c r="L48" s="297"/>
      <c r="M48" s="297"/>
      <c r="N48" s="296"/>
      <c r="O48" s="296"/>
      <c r="P48" s="103"/>
    </row>
    <row r="49" spans="1:16" ht="13.5" thickBot="1">
      <c r="A49" s="37" t="s">
        <v>62</v>
      </c>
      <c r="B49" s="38"/>
      <c r="C49" s="38"/>
      <c r="D49" s="38"/>
      <c r="E49" s="38"/>
      <c r="F49" s="19">
        <v>45</v>
      </c>
      <c r="G49" s="39"/>
      <c r="H49" s="278">
        <f aca="true" t="shared" si="3" ref="H49:P49">H30-H3</f>
        <v>0</v>
      </c>
      <c r="I49" s="75">
        <f t="shared" si="3"/>
        <v>0</v>
      </c>
      <c r="J49" s="279">
        <f t="shared" si="3"/>
        <v>0</v>
      </c>
      <c r="K49" s="280">
        <f t="shared" si="3"/>
        <v>0</v>
      </c>
      <c r="L49" s="280">
        <f t="shared" si="3"/>
        <v>0</v>
      </c>
      <c r="M49" s="280">
        <f t="shared" si="3"/>
        <v>0</v>
      </c>
      <c r="N49" s="279">
        <f t="shared" si="3"/>
        <v>0</v>
      </c>
      <c r="O49" s="279">
        <f t="shared" si="3"/>
        <v>0</v>
      </c>
      <c r="P49" s="78">
        <f t="shared" si="3"/>
        <v>0</v>
      </c>
    </row>
    <row r="50" spans="1:7" ht="12.75">
      <c r="A50" s="47" t="s">
        <v>63</v>
      </c>
      <c r="B50" s="47"/>
      <c r="C50" s="47"/>
      <c r="D50" s="47"/>
      <c r="E50" s="47"/>
      <c r="F50" s="48"/>
      <c r="G50" s="49" t="s">
        <v>64</v>
      </c>
    </row>
    <row r="51" spans="6:16" s="47" customFormat="1" ht="12.75">
      <c r="F51" s="48"/>
      <c r="G51" s="49"/>
      <c r="H51" s="16"/>
      <c r="J51" s="50"/>
      <c r="K51" s="50"/>
      <c r="L51" s="50"/>
      <c r="M51" s="50"/>
      <c r="N51" s="50"/>
      <c r="O51" s="50"/>
      <c r="P51" s="59"/>
    </row>
    <row r="52" spans="1:16" s="47" customFormat="1" ht="12.75">
      <c r="A52" s="51" t="s">
        <v>65</v>
      </c>
      <c r="F52" s="48"/>
      <c r="G52" s="49"/>
      <c r="H52" s="16"/>
      <c r="J52" s="50"/>
      <c r="K52" s="50"/>
      <c r="L52" s="50"/>
      <c r="M52" s="50"/>
      <c r="N52" s="50"/>
      <c r="O52" s="50"/>
      <c r="P52" s="59"/>
    </row>
    <row r="53" spans="1:16" s="47" customFormat="1" ht="12.75">
      <c r="A53" s="51" t="s">
        <v>178</v>
      </c>
      <c r="F53" s="48"/>
      <c r="G53" s="49"/>
      <c r="H53" s="16"/>
      <c r="J53" s="50"/>
      <c r="K53" s="50"/>
      <c r="L53" s="50"/>
      <c r="M53" s="50"/>
      <c r="N53" s="50"/>
      <c r="O53" s="50"/>
      <c r="P53" s="59"/>
    </row>
    <row r="54" spans="1:16" s="47" customFormat="1" ht="12.75">
      <c r="A54" s="51" t="s">
        <v>67</v>
      </c>
      <c r="F54" s="48"/>
      <c r="G54" s="49"/>
      <c r="H54" s="52"/>
      <c r="J54" s="50"/>
      <c r="K54" s="50"/>
      <c r="L54" s="50"/>
      <c r="M54" s="50"/>
      <c r="N54" s="50"/>
      <c r="O54" s="50"/>
      <c r="P54" s="59"/>
    </row>
    <row r="55" spans="1:16" s="51" customFormat="1" ht="12.75">
      <c r="A55" s="585" t="s">
        <v>68</v>
      </c>
      <c r="F55" s="53"/>
      <c r="G55" s="54"/>
      <c r="H55" s="55"/>
      <c r="J55" s="56"/>
      <c r="K55" s="56"/>
      <c r="L55" s="56"/>
      <c r="M55" s="56"/>
      <c r="N55" s="56"/>
      <c r="O55" s="56"/>
      <c r="P55" s="72"/>
    </row>
    <row r="56" spans="1:16" s="51" customFormat="1" ht="12.75">
      <c r="A56" s="51" t="s">
        <v>69</v>
      </c>
      <c r="F56" s="53"/>
      <c r="G56" s="54"/>
      <c r="H56" s="55"/>
      <c r="J56" s="56"/>
      <c r="K56" s="56"/>
      <c r="L56" s="56"/>
      <c r="M56" s="56"/>
      <c r="N56" s="56"/>
      <c r="O56" s="56"/>
      <c r="P56" s="72"/>
    </row>
    <row r="57" spans="1:16" s="51" customFormat="1" ht="12.75">
      <c r="A57" s="51" t="s">
        <v>70</v>
      </c>
      <c r="F57" s="53"/>
      <c r="G57" s="54"/>
      <c r="H57" s="55"/>
      <c r="J57" s="56"/>
      <c r="K57" s="56"/>
      <c r="L57" s="56"/>
      <c r="M57" s="56"/>
      <c r="N57" s="56"/>
      <c r="O57" s="56"/>
      <c r="P57" s="72"/>
    </row>
    <row r="58" spans="1:16" s="47" customFormat="1" ht="12.75">
      <c r="A58" s="51"/>
      <c r="B58" s="51"/>
      <c r="C58" s="51"/>
      <c r="D58" s="51"/>
      <c r="E58" s="51"/>
      <c r="F58" s="48"/>
      <c r="G58" s="49"/>
      <c r="H58" s="16"/>
      <c r="J58" s="50"/>
      <c r="K58" s="50"/>
      <c r="L58" s="50"/>
      <c r="M58" s="50"/>
      <c r="N58" s="50"/>
      <c r="O58" s="50"/>
      <c r="P58" s="59"/>
    </row>
    <row r="59" spans="1:15" s="59" customFormat="1" ht="12.75">
      <c r="A59" s="51"/>
      <c r="B59" s="51"/>
      <c r="C59" s="51"/>
      <c r="D59" s="51"/>
      <c r="E59" s="51"/>
      <c r="F59" s="57"/>
      <c r="G59" s="58"/>
      <c r="H59" s="16"/>
      <c r="J59" s="50"/>
      <c r="K59" s="50"/>
      <c r="L59" s="50"/>
      <c r="M59" s="50"/>
      <c r="N59" s="50"/>
      <c r="O59" s="50"/>
    </row>
    <row r="60" spans="1:15" s="59" customFormat="1" ht="12.75">
      <c r="A60" s="51"/>
      <c r="B60" s="51"/>
      <c r="C60" s="51"/>
      <c r="D60" s="51"/>
      <c r="E60" s="51"/>
      <c r="F60" s="57"/>
      <c r="G60" s="58"/>
      <c r="H60" s="16"/>
      <c r="J60" s="50"/>
      <c r="K60" s="50"/>
      <c r="L60" s="50"/>
      <c r="M60" s="50"/>
      <c r="N60" s="50"/>
      <c r="O60" s="50"/>
    </row>
    <row r="61" spans="1:15" s="59" customFormat="1" ht="12.75">
      <c r="A61" s="51"/>
      <c r="B61" s="51"/>
      <c r="C61" s="51"/>
      <c r="D61" s="51"/>
      <c r="E61" s="51"/>
      <c r="F61" s="57"/>
      <c r="G61" s="58"/>
      <c r="H61" s="16"/>
      <c r="J61" s="50"/>
      <c r="K61" s="50"/>
      <c r="L61" s="50"/>
      <c r="M61" s="50"/>
      <c r="N61" s="50"/>
      <c r="O61" s="50"/>
    </row>
  </sheetData>
  <mergeCells count="2">
    <mergeCell ref="A1:D1"/>
    <mergeCell ref="K1:O1"/>
  </mergeCells>
  <printOptions/>
  <pageMargins left="0.53" right="0.3" top="0.26" bottom="0.29" header="0.17" footer="0.2"/>
  <pageSetup horizontalDpi="600" verticalDpi="600" orientation="landscape" paperSize="9" scale="65" r:id="rId1"/>
  <headerFooter alignWithMargins="0">
    <oddFooter>&amp;R&amp;8Příloha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C59"/>
  <sheetViews>
    <sheetView workbookViewId="0" topLeftCell="A49">
      <selection activeCell="J64" sqref="J64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60" bestFit="1" customWidth="1"/>
    <col min="6" max="7" width="7.375" style="60" customWidth="1"/>
    <col min="8" max="17" width="7.25390625" style="59" customWidth="1"/>
    <col min="18" max="18" width="8.625" style="493" customWidth="1"/>
    <col min="19" max="19" width="9.75390625" style="0" hidden="1" customWidth="1"/>
    <col min="20" max="20" width="8.375" style="59" customWidth="1"/>
    <col min="21" max="21" width="6.875" style="59" customWidth="1"/>
    <col min="22" max="22" width="6.00390625" style="59" bestFit="1" customWidth="1"/>
    <col min="23" max="23" width="5.375" style="59" bestFit="1" customWidth="1"/>
    <col min="24" max="24" width="5.375" style="59" customWidth="1"/>
    <col min="25" max="25" width="4.25390625" style="59" bestFit="1" customWidth="1"/>
    <col min="26" max="26" width="9.625" style="59" hidden="1" customWidth="1"/>
    <col min="27" max="27" width="8.375" style="949" customWidth="1"/>
    <col min="28" max="29" width="8.875" style="59" customWidth="1"/>
  </cols>
  <sheetData>
    <row r="1" spans="1:27" ht="27" customHeight="1">
      <c r="A1" s="1046" t="s">
        <v>201</v>
      </c>
      <c r="B1" s="1047"/>
      <c r="C1" s="1047"/>
      <c r="D1" s="1048"/>
      <c r="E1" s="203"/>
      <c r="F1" s="920" t="s">
        <v>215</v>
      </c>
      <c r="G1" s="920" t="s">
        <v>216</v>
      </c>
      <c r="H1" s="244" t="s">
        <v>99</v>
      </c>
      <c r="I1" s="189" t="s">
        <v>100</v>
      </c>
      <c r="J1" s="189" t="s">
        <v>101</v>
      </c>
      <c r="K1" s="189" t="s">
        <v>102</v>
      </c>
      <c r="L1" s="189" t="s">
        <v>103</v>
      </c>
      <c r="M1" s="189" t="s">
        <v>124</v>
      </c>
      <c r="N1" s="189" t="s">
        <v>104</v>
      </c>
      <c r="O1" s="189" t="s">
        <v>105</v>
      </c>
      <c r="P1" s="189" t="s">
        <v>106</v>
      </c>
      <c r="Q1" s="181" t="s">
        <v>107</v>
      </c>
      <c r="R1" s="487" t="s">
        <v>7</v>
      </c>
      <c r="S1" s="4" t="s">
        <v>1</v>
      </c>
      <c r="T1" s="941" t="s">
        <v>2</v>
      </c>
      <c r="U1" s="1050" t="s">
        <v>3</v>
      </c>
      <c r="V1" s="1050"/>
      <c r="W1" s="1050"/>
      <c r="X1" s="1050"/>
      <c r="Y1" s="1051"/>
      <c r="Z1" s="67" t="s">
        <v>4</v>
      </c>
      <c r="AA1" s="947" t="s">
        <v>150</v>
      </c>
    </row>
    <row r="2" spans="1:29" s="16" customFormat="1" ht="13.5" thickBot="1">
      <c r="A2" s="298" t="s">
        <v>127</v>
      </c>
      <c r="B2" s="7"/>
      <c r="C2" s="1052" t="s">
        <v>119</v>
      </c>
      <c r="D2" s="1053"/>
      <c r="E2" s="204" t="s">
        <v>5</v>
      </c>
      <c r="F2" s="915">
        <v>71</v>
      </c>
      <c r="G2" s="915">
        <v>76</v>
      </c>
      <c r="H2" s="69">
        <v>81</v>
      </c>
      <c r="I2" s="190">
        <v>82</v>
      </c>
      <c r="J2" s="190">
        <v>83</v>
      </c>
      <c r="K2" s="190">
        <v>84</v>
      </c>
      <c r="L2" s="190">
        <v>85</v>
      </c>
      <c r="M2" s="190">
        <v>87</v>
      </c>
      <c r="N2" s="190">
        <v>92</v>
      </c>
      <c r="O2" s="190">
        <v>96</v>
      </c>
      <c r="P2" s="190">
        <v>97</v>
      </c>
      <c r="Q2" s="182">
        <v>99</v>
      </c>
      <c r="R2" s="488" t="s">
        <v>108</v>
      </c>
      <c r="S2" s="12" t="s">
        <v>7</v>
      </c>
      <c r="T2" s="942" t="s">
        <v>8</v>
      </c>
      <c r="U2" s="69" t="s">
        <v>9</v>
      </c>
      <c r="V2" s="70" t="s">
        <v>10</v>
      </c>
      <c r="W2" s="70" t="s">
        <v>11</v>
      </c>
      <c r="X2" s="70" t="s">
        <v>126</v>
      </c>
      <c r="Y2" s="70" t="s">
        <v>12</v>
      </c>
      <c r="Z2" s="71">
        <v>2011</v>
      </c>
      <c r="AA2" s="948">
        <v>2010</v>
      </c>
      <c r="AB2" s="59"/>
      <c r="AC2" s="59"/>
    </row>
    <row r="3" spans="1:29" ht="13.5" thickBot="1">
      <c r="A3" s="17" t="s">
        <v>13</v>
      </c>
      <c r="B3" s="18"/>
      <c r="C3" s="18"/>
      <c r="D3" s="18"/>
      <c r="E3" s="171">
        <v>1</v>
      </c>
      <c r="F3" s="916">
        <f>SUM(F5:F27)</f>
        <v>140595</v>
      </c>
      <c r="G3" s="916">
        <f>SUM(G5:G27)</f>
        <v>34356</v>
      </c>
      <c r="H3" s="479">
        <f>SUM(H5:H27)</f>
        <v>211996</v>
      </c>
      <c r="I3" s="916">
        <f>SUM(I5:I27)</f>
        <v>113958</v>
      </c>
      <c r="J3" s="916">
        <f aca="true" t="shared" si="0" ref="J3:Q3">SUM(J5:J27)</f>
        <v>12352</v>
      </c>
      <c r="K3" s="916">
        <f t="shared" si="0"/>
        <v>30775</v>
      </c>
      <c r="L3" s="916">
        <f t="shared" si="0"/>
        <v>88604</v>
      </c>
      <c r="M3" s="916">
        <f>SUM(M5:M27)</f>
        <v>4869</v>
      </c>
      <c r="N3" s="916">
        <f t="shared" si="0"/>
        <v>214793</v>
      </c>
      <c r="O3" s="916">
        <f t="shared" si="0"/>
        <v>34735</v>
      </c>
      <c r="P3" s="916">
        <f t="shared" si="0"/>
        <v>112795</v>
      </c>
      <c r="Q3" s="250">
        <f t="shared" si="0"/>
        <v>377673</v>
      </c>
      <c r="R3" s="471">
        <f>SUM(R5:R27)</f>
        <v>1377501</v>
      </c>
      <c r="S3" s="479">
        <f aca="true" t="shared" si="1" ref="S3:AA3">SUM(S5:S27)</f>
        <v>0</v>
      </c>
      <c r="T3" s="943">
        <f t="shared" si="1"/>
        <v>1283182</v>
      </c>
      <c r="U3" s="938">
        <f t="shared" si="1"/>
        <v>11208</v>
      </c>
      <c r="V3" s="249">
        <f t="shared" si="1"/>
        <v>81069</v>
      </c>
      <c r="W3" s="249">
        <f t="shared" si="1"/>
        <v>37</v>
      </c>
      <c r="X3" s="249">
        <f>SUM(X5:X27)</f>
        <v>1995</v>
      </c>
      <c r="Y3" s="479">
        <f t="shared" si="1"/>
        <v>10</v>
      </c>
      <c r="Z3" s="921">
        <f t="shared" si="1"/>
        <v>1377501</v>
      </c>
      <c r="AA3" s="588">
        <f t="shared" si="1"/>
        <v>1309775.97683</v>
      </c>
      <c r="AB3" s="239"/>
      <c r="AC3" s="239"/>
    </row>
    <row r="4" spans="1:29" s="25" customFormat="1" ht="12">
      <c r="A4" s="21" t="s">
        <v>14</v>
      </c>
      <c r="B4" s="22" t="s">
        <v>15</v>
      </c>
      <c r="C4" s="22"/>
      <c r="D4" s="22"/>
      <c r="E4" s="205">
        <v>2</v>
      </c>
      <c r="F4" s="917">
        <f>SUM(F5:F15)</f>
        <v>1520</v>
      </c>
      <c r="G4" s="917">
        <f>SUM(G5:G15)</f>
        <v>1180</v>
      </c>
      <c r="H4" s="922">
        <f aca="true" t="shared" si="2" ref="H4:R4">SUM(H5:H15)</f>
        <v>178041</v>
      </c>
      <c r="I4" s="917">
        <f t="shared" si="2"/>
        <v>113958</v>
      </c>
      <c r="J4" s="917">
        <f t="shared" si="2"/>
        <v>12352</v>
      </c>
      <c r="K4" s="917">
        <f t="shared" si="2"/>
        <v>4770</v>
      </c>
      <c r="L4" s="917">
        <f t="shared" si="2"/>
        <v>38299</v>
      </c>
      <c r="M4" s="917">
        <f>SUM(M5:M15)</f>
        <v>4362</v>
      </c>
      <c r="N4" s="917">
        <f t="shared" si="2"/>
        <v>174582</v>
      </c>
      <c r="O4" s="917">
        <f t="shared" si="2"/>
        <v>28587</v>
      </c>
      <c r="P4" s="917">
        <f t="shared" si="2"/>
        <v>14745</v>
      </c>
      <c r="Q4" s="923">
        <f t="shared" si="2"/>
        <v>313875</v>
      </c>
      <c r="R4" s="525">
        <f t="shared" si="2"/>
        <v>886271</v>
      </c>
      <c r="S4" s="922">
        <f aca="true" t="shared" si="3" ref="S4:AA4">SUM(S5:S15)</f>
        <v>0</v>
      </c>
      <c r="T4" s="944">
        <f t="shared" si="3"/>
        <v>834732</v>
      </c>
      <c r="U4" s="939">
        <f t="shared" si="3"/>
        <v>11208</v>
      </c>
      <c r="V4" s="924">
        <f t="shared" si="3"/>
        <v>38372</v>
      </c>
      <c r="W4" s="924">
        <f t="shared" si="3"/>
        <v>37</v>
      </c>
      <c r="X4" s="924">
        <f>SUM(X5:X15)</f>
        <v>1912</v>
      </c>
      <c r="Y4" s="922">
        <f t="shared" si="3"/>
        <v>10</v>
      </c>
      <c r="Z4" s="198">
        <f t="shared" si="3"/>
        <v>886271</v>
      </c>
      <c r="AA4" s="589">
        <f t="shared" si="3"/>
        <v>990739.14095</v>
      </c>
      <c r="AB4" s="239"/>
      <c r="AC4" s="239"/>
    </row>
    <row r="5" spans="1:29" s="65" customFormat="1" ht="12">
      <c r="A5" s="61"/>
      <c r="B5" s="62"/>
      <c r="C5" s="62" t="s">
        <v>16</v>
      </c>
      <c r="D5" s="63" t="s">
        <v>17</v>
      </c>
      <c r="E5" s="914">
        <v>3</v>
      </c>
      <c r="F5" s="918">
        <f>'CEITEC MU'!F5</f>
        <v>0</v>
      </c>
      <c r="G5" s="918">
        <f>'CEITEC-CŘS'!F5</f>
        <v>0</v>
      </c>
      <c r="H5" s="925">
        <f>SKM!F5</f>
        <v>40300</v>
      </c>
      <c r="I5" s="926">
        <f>SUKB!F7</f>
        <v>450</v>
      </c>
      <c r="J5" s="926">
        <f>UCT!F5</f>
        <v>2500</v>
      </c>
      <c r="K5" s="926">
        <f>SPSSN!F5</f>
        <v>900</v>
      </c>
      <c r="L5" s="926">
        <f>IBA!F5</f>
        <v>9000</v>
      </c>
      <c r="M5" s="926">
        <f>CTT!F5</f>
        <v>2147</v>
      </c>
      <c r="N5" s="926">
        <f>ÚVT!F5</f>
        <v>60000</v>
      </c>
      <c r="O5" s="926">
        <f>CJV!F5</f>
        <v>19319</v>
      </c>
      <c r="P5" s="926">
        <f>CZS!F5</f>
        <v>5250</v>
      </c>
      <c r="Q5" s="927">
        <f>RMU!F5</f>
        <v>63233</v>
      </c>
      <c r="R5" s="489">
        <f>SUM(F5:Q5)</f>
        <v>203099</v>
      </c>
      <c r="S5" s="929"/>
      <c r="T5" s="945">
        <f>'CEITEC MU'!G5+'CEITEC-CŘS'!G5+SKM!G5+SUKB!G7+UCT!G5+SPSSN!G5+IBA!G5+CTT!G5+ÚVT!G5+CJV!G5+CZS!G5+RMU!G5</f>
        <v>193001</v>
      </c>
      <c r="U5" s="925">
        <f>'CEITEC MU'!H5+'CEITEC-CŘS'!H5+SKM!H5+SUKB!H7+UCT!H5+SPSSN!H5+IBA!H5+CTT!H5+ÚVT!H5+CJV!H5+CZS!H5+RMU!H5</f>
        <v>1061</v>
      </c>
      <c r="V5" s="930">
        <f>'CEITEC MU'!I5+'CEITEC-CŘS'!I5+SKM!I5+SUKB!I7+UCT!I5+SPSSN!I5+IBA!I5+CTT!I5+ÚVT!I5+CJV!I5+CZS!I5+RMU!I5</f>
        <v>9000</v>
      </c>
      <c r="W5" s="930">
        <f>'CEITEC MU'!J5+'CEITEC-CŘS'!J5+SKM!J5+SUKB!J7+UCT!J5+SPSSN!J5+IBA!J5+CTT!J5+ÚVT!J5+CJV!J5+CZS!J5+RMU!J5</f>
        <v>37</v>
      </c>
      <c r="X5" s="930">
        <f>'CEITEC MU'!K5+'CEITEC-CŘS'!K5+SKM!K5+SUKB!K7+UCT!K5+SPSSN!K5+IBA!K5+CTT!K5+ÚVT!K5+CJV!K5+CZS!K5+RMU!K5</f>
        <v>0</v>
      </c>
      <c r="Y5" s="925">
        <f>'CEITEC MU'!L5+'CEITEC-CŘS'!L5+SKM!L5+SUKB!L7+UCT!L5+SPSSN!L5+IBA!L5+CTT!L5+ÚVT!L5+CJV!L5+CZS!L5+RMU!L5</f>
        <v>0</v>
      </c>
      <c r="Z5" s="928">
        <f>SUM(T5:Y5)</f>
        <v>203099</v>
      </c>
      <c r="AA5" s="859">
        <f>ostatni!Q5</f>
        <v>218808.7979</v>
      </c>
      <c r="AB5" s="239"/>
      <c r="AC5" s="239"/>
    </row>
    <row r="6" spans="1:29" s="65" customFormat="1" ht="12">
      <c r="A6" s="61"/>
      <c r="B6" s="62"/>
      <c r="C6" s="62"/>
      <c r="D6" s="63" t="s">
        <v>18</v>
      </c>
      <c r="E6" s="914">
        <v>4</v>
      </c>
      <c r="F6" s="918">
        <f>'CEITEC MU'!F6</f>
        <v>0</v>
      </c>
      <c r="G6" s="918">
        <f>'CEITEC-CŘS'!F6</f>
        <v>0</v>
      </c>
      <c r="H6" s="925">
        <f>SKM!F6</f>
        <v>1335</v>
      </c>
      <c r="I6" s="926">
        <f>SUKB!F8</f>
        <v>0</v>
      </c>
      <c r="J6" s="926">
        <f>UCT!F6</f>
        <v>250</v>
      </c>
      <c r="K6" s="926">
        <f>SPSSN!F6</f>
        <v>100</v>
      </c>
      <c r="L6" s="926">
        <f>IBA!F6</f>
        <v>12000</v>
      </c>
      <c r="M6" s="926">
        <f>CTT!F6</f>
        <v>100</v>
      </c>
      <c r="N6" s="926">
        <f>ÚVT!F6</f>
        <v>3300</v>
      </c>
      <c r="O6" s="926">
        <f>CJV!F6</f>
        <v>694</v>
      </c>
      <c r="P6" s="926">
        <f>CZS!F6</f>
        <v>300</v>
      </c>
      <c r="Q6" s="927">
        <f>RMU!F6</f>
        <v>4485</v>
      </c>
      <c r="R6" s="489">
        <f aca="true" t="shared" si="4" ref="R6:R45">SUM(F6:Q6)</f>
        <v>22564</v>
      </c>
      <c r="S6" s="929"/>
      <c r="T6" s="945">
        <f>'CEITEC MU'!G6+'CEITEC-CŘS'!G6+SKM!G6+SUKB!G8+UCT!G6+SPSSN!G6+IBA!G6+CTT!G6+ÚVT!G6+CJV!G6+CZS!G6+RMU!G6</f>
        <v>10554</v>
      </c>
      <c r="U6" s="925">
        <f>'CEITEC MU'!H6+'CEITEC-CŘS'!H6+SKM!H6+SUKB!H8+UCT!H6+SPSSN!H6+IBA!H6+CTT!H6+ÚVT!H6+CJV!H6+CZS!H6+RMU!H6</f>
        <v>10</v>
      </c>
      <c r="V6" s="930">
        <f>'CEITEC MU'!I6+'CEITEC-CŘS'!I6+SKM!I6+SUKB!I8+UCT!I6+SPSSN!I6+IBA!I6+CTT!I6+ÚVT!I6+CJV!I6+CZS!I6+RMU!I6</f>
        <v>12000</v>
      </c>
      <c r="W6" s="930">
        <f>'CEITEC MU'!J6+'CEITEC-CŘS'!J6+SKM!J6+SUKB!J8+UCT!J6+SPSSN!J6+IBA!J6+CTT!J6+ÚVT!J6+CJV!J6+CZS!J6+RMU!J6</f>
        <v>0</v>
      </c>
      <c r="X6" s="930">
        <f>'CEITEC MU'!K6+'CEITEC-CŘS'!K6+SKM!K6+SUKB!K8+UCT!K6+SPSSN!K6+IBA!K6+CTT!K6+ÚVT!K6+CJV!K6+CZS!K6+RMU!K6</f>
        <v>0</v>
      </c>
      <c r="Y6" s="925">
        <f>'CEITEC MU'!L6+'CEITEC-CŘS'!L6+SKM!L6+SUKB!L8+UCT!L6+SPSSN!L6+IBA!L6+CTT!L6+ÚVT!L6+CJV!L6+CZS!L6+RMU!L6</f>
        <v>0</v>
      </c>
      <c r="Z6" s="928">
        <f aca="true" t="shared" si="5" ref="Z6:Z45">SUM(T6:Y6)</f>
        <v>22564</v>
      </c>
      <c r="AA6" s="859">
        <f>ostatni!Q6</f>
        <v>20342.3815</v>
      </c>
      <c r="AB6" s="239"/>
      <c r="AC6" s="239"/>
    </row>
    <row r="7" spans="1:29" s="65" customFormat="1" ht="12">
      <c r="A7" s="61"/>
      <c r="B7" s="62"/>
      <c r="C7" s="62"/>
      <c r="D7" s="63" t="s">
        <v>19</v>
      </c>
      <c r="E7" s="914">
        <v>5</v>
      </c>
      <c r="F7" s="918">
        <f>'CEITEC MU'!F7</f>
        <v>0</v>
      </c>
      <c r="G7" s="918">
        <f>'CEITEC-CŘS'!F7</f>
        <v>0</v>
      </c>
      <c r="H7" s="925">
        <f>SKM!F7</f>
        <v>13299</v>
      </c>
      <c r="I7" s="926">
        <f>SUKB!F9</f>
        <v>158</v>
      </c>
      <c r="J7" s="926">
        <f>UCT!F7</f>
        <v>909</v>
      </c>
      <c r="K7" s="926">
        <f>SPSSN!F7</f>
        <v>325</v>
      </c>
      <c r="L7" s="926">
        <f>IBA!F7</f>
        <v>3150</v>
      </c>
      <c r="M7" s="926">
        <f>CTT!F7</f>
        <v>751</v>
      </c>
      <c r="N7" s="926">
        <f>ÚVT!F7</f>
        <v>22000</v>
      </c>
      <c r="O7" s="926">
        <f>CJV!F7</f>
        <v>6970</v>
      </c>
      <c r="P7" s="926">
        <f>CZS!F7</f>
        <v>1830</v>
      </c>
      <c r="Q7" s="927">
        <f>RMU!F7</f>
        <v>22730</v>
      </c>
      <c r="R7" s="489">
        <f t="shared" si="4"/>
        <v>72122</v>
      </c>
      <c r="S7" s="929"/>
      <c r="T7" s="945">
        <f>'CEITEC MU'!G7+'CEITEC-CŘS'!G7+SKM!G7+SUKB!G9+UCT!G7+SPSSN!G7+IBA!G7+CTT!G7+ÚVT!G7+CJV!G7+CZS!G7+RMU!G7</f>
        <v>68884</v>
      </c>
      <c r="U7" s="925">
        <f>'CEITEC MU'!H7+'CEITEC-CŘS'!H7+SKM!H7+SUKB!H9+UCT!H7+SPSSN!H7+IBA!H7+CTT!H7+ÚVT!H7+CJV!H7+CZS!H7+RMU!H7</f>
        <v>88</v>
      </c>
      <c r="V7" s="930">
        <f>'CEITEC MU'!I7+'CEITEC-CŘS'!I7+SKM!I7+SUKB!I9+UCT!I7+SPSSN!I7+IBA!I7+CTT!I7+ÚVT!I7+CJV!I7+CZS!I7+RMU!I7</f>
        <v>3150</v>
      </c>
      <c r="W7" s="930">
        <f>'CEITEC MU'!J7+'CEITEC-CŘS'!J7+SKM!J7+SUKB!J9+UCT!J7+SPSSN!J7+IBA!J7+CTT!J7+ÚVT!J7+CJV!J7+CZS!J7+RMU!J7</f>
        <v>0</v>
      </c>
      <c r="X7" s="930">
        <f>'CEITEC MU'!K7+'CEITEC-CŘS'!K7+SKM!K7+SUKB!K9+UCT!K7+SPSSN!K7+IBA!K7+CTT!K7+ÚVT!K7+CJV!K7+CZS!K7+RMU!K7</f>
        <v>0</v>
      </c>
      <c r="Y7" s="925">
        <f>'CEITEC MU'!L7+'CEITEC-CŘS'!L7+SKM!L7+SUKB!L9+UCT!L7+SPSSN!L7+IBA!L7+CTT!L7+ÚVT!L7+CJV!L7+CZS!L7+RMU!L7</f>
        <v>0</v>
      </c>
      <c r="Z7" s="928">
        <f t="shared" si="5"/>
        <v>72122</v>
      </c>
      <c r="AA7" s="859">
        <f>ostatni!Q7</f>
        <v>79332.28333</v>
      </c>
      <c r="AB7" s="239"/>
      <c r="AC7" s="239"/>
    </row>
    <row r="8" spans="1:29" s="65" customFormat="1" ht="12">
      <c r="A8" s="61"/>
      <c r="B8" s="62"/>
      <c r="C8" s="62"/>
      <c r="D8" s="63" t="s">
        <v>20</v>
      </c>
      <c r="E8" s="914">
        <v>6</v>
      </c>
      <c r="F8" s="918">
        <f>'CEITEC MU'!F8</f>
        <v>0</v>
      </c>
      <c r="G8" s="918">
        <f>'CEITEC-CŘS'!F8</f>
        <v>0</v>
      </c>
      <c r="H8" s="925">
        <f>SKM!F8</f>
        <v>35790</v>
      </c>
      <c r="I8" s="926">
        <f>SUKB!F10</f>
        <v>300</v>
      </c>
      <c r="J8" s="926">
        <f>UCT!F8</f>
        <v>3200</v>
      </c>
      <c r="K8" s="926">
        <f>SPSSN!F8</f>
        <v>0</v>
      </c>
      <c r="L8" s="926">
        <f>IBA!F8</f>
        <v>0</v>
      </c>
      <c r="M8" s="926">
        <f>CTT!F8</f>
        <v>70</v>
      </c>
      <c r="N8" s="926">
        <f>ÚVT!F8</f>
        <v>5400</v>
      </c>
      <c r="O8" s="926">
        <f>CJV!F8</f>
        <v>150</v>
      </c>
      <c r="P8" s="926">
        <f>CZS!F8</f>
        <v>200</v>
      </c>
      <c r="Q8" s="927">
        <f>RMU!F8</f>
        <v>5344</v>
      </c>
      <c r="R8" s="489">
        <f t="shared" si="4"/>
        <v>50454</v>
      </c>
      <c r="S8" s="929"/>
      <c r="T8" s="945">
        <f>'CEITEC MU'!G8+'CEITEC-CŘS'!G8+SKM!G8+SUKB!G10+UCT!G8+SPSSN!G8+IBA!G8+CTT!G8+ÚVT!G8+CJV!G8+CZS!G8+RMU!G8</f>
        <v>50254</v>
      </c>
      <c r="U8" s="925">
        <f>'CEITEC MU'!H8+'CEITEC-CŘS'!H8+SKM!H8+SUKB!H10+UCT!H8+SPSSN!H8+IBA!H8+CTT!H8+ÚVT!H8+CJV!H8+CZS!H8+RMU!H8</f>
        <v>200</v>
      </c>
      <c r="V8" s="930">
        <f>'CEITEC MU'!I8+'CEITEC-CŘS'!I8+SKM!I8+SUKB!I10+UCT!I8+SPSSN!I8+IBA!I8+CTT!I8+ÚVT!I8+CJV!I8+CZS!I8+RMU!I8</f>
        <v>0</v>
      </c>
      <c r="W8" s="930">
        <f>'CEITEC MU'!J8+'CEITEC-CŘS'!J8+SKM!J8+SUKB!J10+UCT!J8+SPSSN!J8+IBA!J8+CTT!J8+ÚVT!J8+CJV!J8+CZS!J8+RMU!J8</f>
        <v>0</v>
      </c>
      <c r="X8" s="930">
        <f>'CEITEC MU'!K8+'CEITEC-CŘS'!K8+SKM!K8+SUKB!K10+UCT!K8+SPSSN!K8+IBA!K8+CTT!K8+ÚVT!K8+CJV!K8+CZS!K8+RMU!K8</f>
        <v>0</v>
      </c>
      <c r="Y8" s="925">
        <f>'CEITEC MU'!L8+'CEITEC-CŘS'!L8+SKM!L8+SUKB!L10+UCT!L8+SPSSN!L8+IBA!L8+CTT!L8+ÚVT!L8+CJV!L8+CZS!L8+RMU!L8</f>
        <v>0</v>
      </c>
      <c r="Z8" s="928">
        <f t="shared" si="5"/>
        <v>50454</v>
      </c>
      <c r="AA8" s="859">
        <f>ostatni!Q8</f>
        <v>46745.646889999996</v>
      </c>
      <c r="AB8" s="239"/>
      <c r="AC8" s="239"/>
    </row>
    <row r="9" spans="1:29" s="65" customFormat="1" ht="12">
      <c r="A9" s="61"/>
      <c r="B9" s="62"/>
      <c r="C9" s="62"/>
      <c r="D9" s="63" t="s">
        <v>21</v>
      </c>
      <c r="E9" s="914">
        <v>7</v>
      </c>
      <c r="F9" s="918">
        <f>'CEITEC MU'!F9</f>
        <v>0</v>
      </c>
      <c r="G9" s="918">
        <f>'CEITEC-CŘS'!F9</f>
        <v>0</v>
      </c>
      <c r="H9" s="925">
        <f>SKM!F9</f>
        <v>11740</v>
      </c>
      <c r="I9" s="926">
        <f>SUKB!F11</f>
        <v>0</v>
      </c>
      <c r="J9" s="926">
        <f>UCT!F9</f>
        <v>1300</v>
      </c>
      <c r="K9" s="926">
        <f>SPSSN!F9</f>
        <v>10</v>
      </c>
      <c r="L9" s="926">
        <f>IBA!F9</f>
        <v>0</v>
      </c>
      <c r="M9" s="926">
        <f>CTT!F9</f>
        <v>7</v>
      </c>
      <c r="N9" s="926">
        <f>ÚVT!F9</f>
        <v>3400</v>
      </c>
      <c r="O9" s="926">
        <f>CJV!F9</f>
        <v>50</v>
      </c>
      <c r="P9" s="926">
        <f>CZS!F9</f>
        <v>110</v>
      </c>
      <c r="Q9" s="927">
        <f>RMU!F9</f>
        <v>18549</v>
      </c>
      <c r="R9" s="489">
        <f t="shared" si="4"/>
        <v>35166</v>
      </c>
      <c r="S9" s="929"/>
      <c r="T9" s="945">
        <f>'CEITEC MU'!G9+'CEITEC-CŘS'!G9+SKM!G9+SUKB!G11+UCT!G9+SPSSN!G9+IBA!G9+CTT!G9+ÚVT!G9+CJV!G9+CZS!G9+RMU!G9</f>
        <v>34166</v>
      </c>
      <c r="U9" s="925">
        <f>'CEITEC MU'!H9+'CEITEC-CŘS'!H9+SKM!H9+SUKB!H11+UCT!H9+SPSSN!H9+IBA!H9+CTT!H9+ÚVT!H9+CJV!H9+CZS!H9+RMU!H9</f>
        <v>1000</v>
      </c>
      <c r="V9" s="930">
        <f>'CEITEC MU'!I9+'CEITEC-CŘS'!I9+SKM!I9+SUKB!I11+UCT!I9+SPSSN!I9+IBA!I9+CTT!I9+ÚVT!I9+CJV!I9+CZS!I9+RMU!I9</f>
        <v>0</v>
      </c>
      <c r="W9" s="930">
        <f>'CEITEC MU'!J9+'CEITEC-CŘS'!J9+SKM!J9+SUKB!J11+UCT!J9+SPSSN!J9+IBA!J9+CTT!J9+ÚVT!J9+CJV!J9+CZS!J9+RMU!J9</f>
        <v>0</v>
      </c>
      <c r="X9" s="930">
        <f>'CEITEC MU'!K9+'CEITEC-CŘS'!K9+SKM!K9+SUKB!K11+UCT!K9+SPSSN!K9+IBA!K9+CTT!K9+ÚVT!K9+CJV!K9+CZS!K9+RMU!K9</f>
        <v>0</v>
      </c>
      <c r="Y9" s="925">
        <f>'CEITEC MU'!L9+'CEITEC-CŘS'!L9+SKM!L9+SUKB!L11+UCT!L9+SPSSN!L9+IBA!L9+CTT!L9+ÚVT!L9+CJV!L9+CZS!L9+RMU!L9</f>
        <v>0</v>
      </c>
      <c r="Z9" s="928">
        <f t="shared" si="5"/>
        <v>35166</v>
      </c>
      <c r="AA9" s="859">
        <f>ostatni!Q9</f>
        <v>41646.733</v>
      </c>
      <c r="AB9" s="239"/>
      <c r="AC9" s="239"/>
    </row>
    <row r="10" spans="1:29" s="65" customFormat="1" ht="12">
      <c r="A10" s="61"/>
      <c r="B10" s="62"/>
      <c r="C10" s="62"/>
      <c r="D10" s="63" t="s">
        <v>22</v>
      </c>
      <c r="E10" s="914">
        <v>8</v>
      </c>
      <c r="F10" s="918">
        <f>'CEITEC MU'!F10</f>
        <v>0</v>
      </c>
      <c r="G10" s="918">
        <f>'CEITEC-CŘS'!F10</f>
        <v>0</v>
      </c>
      <c r="H10" s="925">
        <f>SKM!F10</f>
        <v>37000</v>
      </c>
      <c r="I10" s="926">
        <f>SUKB!F12</f>
        <v>50</v>
      </c>
      <c r="J10" s="926">
        <f>UCT!F10</f>
        <v>2217</v>
      </c>
      <c r="K10" s="926">
        <f>SPSSN!F10</f>
        <v>130</v>
      </c>
      <c r="L10" s="926">
        <f>IBA!F10</f>
        <v>450</v>
      </c>
      <c r="M10" s="926">
        <f>CTT!F10</f>
        <v>34</v>
      </c>
      <c r="N10" s="926">
        <f>ÚVT!F10</f>
        <v>8276</v>
      </c>
      <c r="O10" s="926">
        <f>CJV!F10</f>
        <v>501</v>
      </c>
      <c r="P10" s="926">
        <f>CZS!F10</f>
        <v>589</v>
      </c>
      <c r="Q10" s="927">
        <f>RMU!F10</f>
        <v>7288</v>
      </c>
      <c r="R10" s="489">
        <f t="shared" si="4"/>
        <v>56535</v>
      </c>
      <c r="S10" s="929"/>
      <c r="T10" s="945">
        <f>'CEITEC MU'!G10+'CEITEC-CŘS'!G10+SKM!G10+SUKB!G12+UCT!G10+SPSSN!G10+IBA!G10+CTT!G10+ÚVT!G10+CJV!G10+CZS!G10+RMU!G10</f>
        <v>53640</v>
      </c>
      <c r="U10" s="925">
        <f>'CEITEC MU'!H10+'CEITEC-CŘS'!H10+SKM!H10+SUKB!H12+UCT!H10+SPSSN!H10+IBA!H10+CTT!H10+ÚVT!H10+CJV!H10+CZS!H10+RMU!H10</f>
        <v>2445</v>
      </c>
      <c r="V10" s="930">
        <f>'CEITEC MU'!I10+'CEITEC-CŘS'!I10+SKM!I10+SUKB!I12+UCT!I10+SPSSN!I10+IBA!I10+CTT!I10+ÚVT!I10+CJV!I10+CZS!I10+RMU!I10</f>
        <v>450</v>
      </c>
      <c r="W10" s="930">
        <f>'CEITEC MU'!J10+'CEITEC-CŘS'!J10+SKM!J10+SUKB!J12+UCT!J10+SPSSN!J10+IBA!J10+CTT!J10+ÚVT!J10+CJV!J10+CZS!J10+RMU!J10</f>
        <v>0</v>
      </c>
      <c r="X10" s="930">
        <f>'CEITEC MU'!K10+'CEITEC-CŘS'!K10+SKM!K10+SUKB!K12+UCT!K10+SPSSN!K10+IBA!K10+CTT!K10+ÚVT!K10+CJV!K10+CZS!K10+RMU!K10</f>
        <v>0</v>
      </c>
      <c r="Y10" s="925">
        <f>'CEITEC MU'!L10+'CEITEC-CŘS'!L10+SKM!L10+SUKB!L12+UCT!L10+SPSSN!L10+IBA!L10+CTT!L10+ÚVT!L10+CJV!L10+CZS!L10+RMU!L10</f>
        <v>0</v>
      </c>
      <c r="Z10" s="928">
        <f t="shared" si="5"/>
        <v>56535</v>
      </c>
      <c r="AA10" s="859">
        <f>ostatni!Q10</f>
        <v>107119.56856</v>
      </c>
      <c r="AB10" s="239"/>
      <c r="AC10" s="239"/>
    </row>
    <row r="11" spans="1:29" s="65" customFormat="1" ht="12">
      <c r="A11" s="61"/>
      <c r="B11" s="62"/>
      <c r="C11" s="62"/>
      <c r="D11" s="63" t="s">
        <v>23</v>
      </c>
      <c r="E11" s="914">
        <v>9</v>
      </c>
      <c r="F11" s="918">
        <f>'CEITEC MU'!F11</f>
        <v>1520</v>
      </c>
      <c r="G11" s="918">
        <f>'CEITEC-CŘS'!F11</f>
        <v>0</v>
      </c>
      <c r="H11" s="925">
        <f>SKM!F11</f>
        <v>28000</v>
      </c>
      <c r="I11" s="926">
        <f>SUKB!F13</f>
        <v>0</v>
      </c>
      <c r="J11" s="926">
        <f>UCT!F11</f>
        <v>1000</v>
      </c>
      <c r="K11" s="926">
        <f>SPSSN!F11</f>
        <v>2349</v>
      </c>
      <c r="L11" s="926">
        <f>IBA!F11</f>
        <v>8000</v>
      </c>
      <c r="M11" s="926">
        <f>CTT!F11</f>
        <v>767</v>
      </c>
      <c r="N11" s="926">
        <f>ÚVT!F11</f>
        <v>23703</v>
      </c>
      <c r="O11" s="926">
        <f>CJV!F11</f>
        <v>300</v>
      </c>
      <c r="P11" s="926">
        <f>CZS!F11</f>
        <v>1390</v>
      </c>
      <c r="Q11" s="927">
        <f>RMU!F11</f>
        <v>35548</v>
      </c>
      <c r="R11" s="489">
        <f t="shared" si="4"/>
        <v>102577</v>
      </c>
      <c r="S11" s="929"/>
      <c r="T11" s="945">
        <f>'CEITEC MU'!G11+'CEITEC-CŘS'!G11+SKM!G11+SUKB!G13+UCT!G11+SPSSN!G11+IBA!G11+CTT!G11+ÚVT!G11+CJV!G11+CZS!G11+RMU!G11</f>
        <v>88910</v>
      </c>
      <c r="U11" s="925">
        <f>'CEITEC MU'!H11+'CEITEC-CŘS'!H11+SKM!H11+SUKB!H13+UCT!H11+SPSSN!H11+IBA!H11+CTT!H11+ÚVT!H11+CJV!H11+CZS!H11+RMU!H11</f>
        <v>5667</v>
      </c>
      <c r="V11" s="930">
        <f>'CEITEC MU'!I11+'CEITEC-CŘS'!I11+SKM!I11+SUKB!I13+UCT!I11+SPSSN!I11+IBA!I11+CTT!I11+ÚVT!I11+CJV!I11+CZS!I11+RMU!I11</f>
        <v>8000</v>
      </c>
      <c r="W11" s="930">
        <f>'CEITEC MU'!J11+'CEITEC-CŘS'!J11+SKM!J11+SUKB!J13+UCT!J11+SPSSN!J11+IBA!J11+CTT!J11+ÚVT!J11+CJV!J11+CZS!J11+RMU!J11</f>
        <v>0</v>
      </c>
      <c r="X11" s="930">
        <f>'CEITEC MU'!K11+'CEITEC-CŘS'!K11+SKM!K11+SUKB!K13+UCT!K11+SPSSN!K11+IBA!K11+CTT!K11+ÚVT!K11+CJV!K11+CZS!K11+RMU!K11</f>
        <v>0</v>
      </c>
      <c r="Y11" s="925">
        <f>'CEITEC MU'!L11+'CEITEC-CŘS'!L11+SKM!L11+SUKB!L13+UCT!L11+SPSSN!L11+IBA!L11+CTT!L11+ÚVT!L11+CJV!L11+CZS!L11+RMU!L11</f>
        <v>0</v>
      </c>
      <c r="Z11" s="928">
        <f t="shared" si="5"/>
        <v>102577</v>
      </c>
      <c r="AA11" s="859">
        <f>ostatni!Q11</f>
        <v>113834.33317999999</v>
      </c>
      <c r="AB11" s="239"/>
      <c r="AC11" s="239"/>
    </row>
    <row r="12" spans="1:29" s="65" customFormat="1" ht="12">
      <c r="A12" s="61"/>
      <c r="B12" s="62"/>
      <c r="C12" s="62"/>
      <c r="D12" s="63" t="s">
        <v>24</v>
      </c>
      <c r="E12" s="914">
        <v>10</v>
      </c>
      <c r="F12" s="918">
        <f>'CEITEC MU'!F12</f>
        <v>0</v>
      </c>
      <c r="G12" s="918">
        <f>'CEITEC-CŘS'!F12</f>
        <v>0</v>
      </c>
      <c r="H12" s="925">
        <f>SKM!F12</f>
        <v>70</v>
      </c>
      <c r="I12" s="926">
        <f>SUKB!F14</f>
        <v>0</v>
      </c>
      <c r="J12" s="926">
        <f>UCT!F12</f>
        <v>115</v>
      </c>
      <c r="K12" s="926">
        <f>SPSSN!F12</f>
        <v>30</v>
      </c>
      <c r="L12" s="926">
        <f>IBA!F12</f>
        <v>250</v>
      </c>
      <c r="M12" s="926">
        <f>CTT!F12</f>
        <v>120</v>
      </c>
      <c r="N12" s="926">
        <f>ÚVT!F12</f>
        <v>722</v>
      </c>
      <c r="O12" s="926">
        <f>CJV!F12</f>
        <v>100</v>
      </c>
      <c r="P12" s="926">
        <f>CZS!F12</f>
        <v>820</v>
      </c>
      <c r="Q12" s="927">
        <f>RMU!F12</f>
        <v>1787</v>
      </c>
      <c r="R12" s="489">
        <f t="shared" si="4"/>
        <v>4014</v>
      </c>
      <c r="S12" s="929"/>
      <c r="T12" s="945">
        <f>'CEITEC MU'!G12+'CEITEC-CŘS'!G12+SKM!G12+SUKB!G14+UCT!G12+SPSSN!G12+IBA!G12+CTT!G12+ÚVT!G12+CJV!G12+CZS!G12+RMU!G12</f>
        <v>3707</v>
      </c>
      <c r="U12" s="925">
        <f>'CEITEC MU'!H12+'CEITEC-CŘS'!H12+SKM!H12+SUKB!H14+UCT!H12+SPSSN!H12+IBA!H12+CTT!H12+ÚVT!H12+CJV!H12+CZS!H12+RMU!H12</f>
        <v>35</v>
      </c>
      <c r="V12" s="930">
        <f>'CEITEC MU'!I12+'CEITEC-CŘS'!I12+SKM!I12+SUKB!I14+UCT!I12+SPSSN!I12+IBA!I12+CTT!I12+ÚVT!I12+CJV!I12+CZS!I12+RMU!I12</f>
        <v>272</v>
      </c>
      <c r="W12" s="930">
        <f>'CEITEC MU'!J12+'CEITEC-CŘS'!J12+SKM!J12+SUKB!J14+UCT!J12+SPSSN!J12+IBA!J12+CTT!J12+ÚVT!J12+CJV!J12+CZS!J12+RMU!J12</f>
        <v>0</v>
      </c>
      <c r="X12" s="930">
        <f>'CEITEC MU'!K12+'CEITEC-CŘS'!K12+SKM!K12+SUKB!K14+UCT!K12+SPSSN!K12+IBA!K12+CTT!K12+ÚVT!K12+CJV!K12+CZS!K12+RMU!K12</f>
        <v>0</v>
      </c>
      <c r="Y12" s="925">
        <f>'CEITEC MU'!L12+'CEITEC-CŘS'!L12+SKM!L12+SUKB!L14+UCT!L12+SPSSN!L12+IBA!L12+CTT!L12+ÚVT!L12+CJV!L12+CZS!L12+RMU!L12</f>
        <v>0</v>
      </c>
      <c r="Z12" s="928">
        <f t="shared" si="5"/>
        <v>4014</v>
      </c>
      <c r="AA12" s="859">
        <f>ostatni!Q12</f>
        <v>4165.73557</v>
      </c>
      <c r="AB12" s="239"/>
      <c r="AC12" s="239"/>
    </row>
    <row r="13" spans="1:29" s="65" customFormat="1" ht="12">
      <c r="A13" s="61"/>
      <c r="B13" s="62"/>
      <c r="C13" s="62"/>
      <c r="D13" s="63" t="s">
        <v>25</v>
      </c>
      <c r="E13" s="914">
        <v>11</v>
      </c>
      <c r="F13" s="918">
        <f>'CEITEC MU'!F13</f>
        <v>0</v>
      </c>
      <c r="G13" s="918">
        <f>'CEITEC-CŘS'!F13</f>
        <v>0</v>
      </c>
      <c r="H13" s="925">
        <f>SKM!F13</f>
        <v>13679</v>
      </c>
      <c r="I13" s="926">
        <f>SUKB!F15</f>
        <v>113000</v>
      </c>
      <c r="J13" s="926">
        <f>UCT!F13</f>
        <v>261</v>
      </c>
      <c r="K13" s="926">
        <f>SPSSN!F13</f>
        <v>590</v>
      </c>
      <c r="L13" s="926">
        <f>IBA!F13</f>
        <v>258</v>
      </c>
      <c r="M13" s="926">
        <f>CTT!F13</f>
        <v>29</v>
      </c>
      <c r="N13" s="926">
        <f>ÚVT!F13</f>
        <v>47781</v>
      </c>
      <c r="O13" s="926">
        <f>CJV!F13</f>
        <v>183</v>
      </c>
      <c r="P13" s="926">
        <f>CZS!F13</f>
        <v>100</v>
      </c>
      <c r="Q13" s="927">
        <f>RMU!F13</f>
        <v>5272</v>
      </c>
      <c r="R13" s="489">
        <f t="shared" si="4"/>
        <v>181153</v>
      </c>
      <c r="S13" s="929"/>
      <c r="T13" s="945">
        <f>'CEITEC MU'!G13+'CEITEC-CŘS'!G13+SKM!G13+SUKB!G15+UCT!G13+SPSSN!G13+IBA!G13+CTT!G13+ÚVT!G13+CJV!G13+CZS!G13+RMU!G13</f>
        <v>181153</v>
      </c>
      <c r="U13" s="925">
        <f>'CEITEC MU'!H13+'CEITEC-CŘS'!H13+SKM!H13+SUKB!H15+UCT!H13+SPSSN!H13+IBA!H13+CTT!H13+ÚVT!H13+CJV!H13+CZS!H13+RMU!H13</f>
        <v>0</v>
      </c>
      <c r="V13" s="930">
        <f>'CEITEC MU'!I13+'CEITEC-CŘS'!I13+SKM!I13+SUKB!I15+UCT!I13+SPSSN!I13+IBA!I13+CTT!I13+ÚVT!I13+CJV!I13+CZS!I13+RMU!I13</f>
        <v>0</v>
      </c>
      <c r="W13" s="930">
        <f>'CEITEC MU'!J13+'CEITEC-CŘS'!J13+SKM!J13+SUKB!J15+UCT!J13+SPSSN!J13+IBA!J13+CTT!J13+ÚVT!J13+CJV!J13+CZS!J13+RMU!J13</f>
        <v>0</v>
      </c>
      <c r="X13" s="930">
        <f>'CEITEC MU'!K13+'CEITEC-CŘS'!K13+SKM!K13+SUKB!K15+UCT!K13+SPSSN!K13+IBA!K13+CTT!K13+ÚVT!K13+CJV!K13+CZS!K13+RMU!K13</f>
        <v>0</v>
      </c>
      <c r="Y13" s="925">
        <f>'CEITEC MU'!L13+'CEITEC-CŘS'!L13+SKM!L13+SUKB!L15+UCT!L13+SPSSN!L13+IBA!L13+CTT!L13+ÚVT!L13+CJV!L13+CZS!L13+RMU!L13</f>
        <v>0</v>
      </c>
      <c r="Z13" s="928">
        <f t="shared" si="5"/>
        <v>181153</v>
      </c>
      <c r="AA13" s="859">
        <f>ostatni!Q13</f>
        <v>144595.74141000002</v>
      </c>
      <c r="AB13" s="239"/>
      <c r="AC13" s="239"/>
    </row>
    <row r="14" spans="1:29" s="65" customFormat="1" ht="12">
      <c r="A14" s="61"/>
      <c r="B14" s="62"/>
      <c r="C14" s="62"/>
      <c r="D14" s="63" t="s">
        <v>26</v>
      </c>
      <c r="E14" s="914">
        <v>12</v>
      </c>
      <c r="F14" s="918">
        <f>'CEITEC MU'!F14</f>
        <v>0</v>
      </c>
      <c r="G14" s="918">
        <f>'CEITEC-CŘS'!F14</f>
        <v>0</v>
      </c>
      <c r="H14" s="925">
        <f>SKM!F14</f>
        <v>0</v>
      </c>
      <c r="I14" s="926">
        <f>SUKB!F16</f>
        <v>0</v>
      </c>
      <c r="J14" s="926">
        <f>UCT!F14</f>
        <v>0</v>
      </c>
      <c r="K14" s="926">
        <f>SPSSN!F14</f>
        <v>0</v>
      </c>
      <c r="L14" s="926">
        <f>IBA!F14</f>
        <v>0</v>
      </c>
      <c r="M14" s="926">
        <f>CTT!F14</f>
        <v>0</v>
      </c>
      <c r="N14" s="926">
        <f>ÚVT!F14</f>
        <v>0</v>
      </c>
      <c r="O14" s="926">
        <f>CJV!F14</f>
        <v>0</v>
      </c>
      <c r="P14" s="926">
        <f>CZS!F14</f>
        <v>1410</v>
      </c>
      <c r="Q14" s="927">
        <f>RMU!F14</f>
        <v>113629</v>
      </c>
      <c r="R14" s="489">
        <f t="shared" si="4"/>
        <v>115039</v>
      </c>
      <c r="S14" s="929"/>
      <c r="T14" s="945">
        <f>'CEITEC MU'!G14+'CEITEC-CŘS'!G14+SKM!G14+SUKB!G16+UCT!G14+SPSSN!G14+IBA!G14+CTT!G14+ÚVT!G14+CJV!G14+CZS!G14+RMU!G14</f>
        <v>114329</v>
      </c>
      <c r="U14" s="925">
        <f>'CEITEC MU'!H14+'CEITEC-CŘS'!H14+SKM!H14+SUKB!H16+UCT!H14+SPSSN!H14+IBA!H14+CTT!H14+ÚVT!H14+CJV!H14+CZS!H14+RMU!H14</f>
        <v>0</v>
      </c>
      <c r="V14" s="930">
        <f>'CEITEC MU'!I14+'CEITEC-CŘS'!I14+SKM!I14+SUKB!I16+UCT!I14+SPSSN!I14+IBA!I14+CTT!I14+ÚVT!I14+CJV!I14+CZS!I14+RMU!I14</f>
        <v>700</v>
      </c>
      <c r="W14" s="930">
        <f>'CEITEC MU'!J14+'CEITEC-CŘS'!J14+SKM!J14+SUKB!J16+UCT!J14+SPSSN!J14+IBA!J14+CTT!J14+ÚVT!J14+CJV!J14+CZS!J14+RMU!J14</f>
        <v>0</v>
      </c>
      <c r="X14" s="930">
        <f>'CEITEC MU'!K14+'CEITEC-CŘS'!K14+SKM!K14+SUKB!K16+UCT!K14+SPSSN!K14+IBA!K14+CTT!K14+ÚVT!K14+CJV!K14+CZS!K14+RMU!K14</f>
        <v>0</v>
      </c>
      <c r="Y14" s="925">
        <f>'CEITEC MU'!L14+'CEITEC-CŘS'!L14+SKM!L14+SUKB!L16+UCT!L14+SPSSN!L14+IBA!L14+CTT!L14+ÚVT!L14+CJV!L14+CZS!L14+RMU!L14</f>
        <v>10</v>
      </c>
      <c r="Z14" s="928">
        <f t="shared" si="5"/>
        <v>115039</v>
      </c>
      <c r="AA14" s="859">
        <f>ostatni!Q14</f>
        <v>116492</v>
      </c>
      <c r="AB14" s="239"/>
      <c r="AC14" s="239"/>
    </row>
    <row r="15" spans="1:29" s="65" customFormat="1" ht="12">
      <c r="A15" s="61"/>
      <c r="B15" s="62"/>
      <c r="C15" s="63"/>
      <c r="D15" s="63" t="s">
        <v>27</v>
      </c>
      <c r="E15" s="914">
        <v>13</v>
      </c>
      <c r="F15" s="918">
        <f>'CEITEC MU'!F15</f>
        <v>0</v>
      </c>
      <c r="G15" s="918">
        <f>'CEITEC-CŘS'!F15</f>
        <v>1180</v>
      </c>
      <c r="H15" s="925">
        <f>SKM!F15</f>
        <v>-3172</v>
      </c>
      <c r="I15" s="926">
        <f>SUKB!F17</f>
        <v>0</v>
      </c>
      <c r="J15" s="926">
        <f>UCT!F15</f>
        <v>600</v>
      </c>
      <c r="K15" s="926">
        <f>SPSSN!F15</f>
        <v>336</v>
      </c>
      <c r="L15" s="926">
        <f>IBA!F15</f>
        <v>5191</v>
      </c>
      <c r="M15" s="926">
        <f>CTT!F15</f>
        <v>337</v>
      </c>
      <c r="N15" s="926">
        <f>ÚVT!F15</f>
        <v>0</v>
      </c>
      <c r="O15" s="926">
        <f>CJV!F15</f>
        <v>320</v>
      </c>
      <c r="P15" s="926">
        <f>CZS!F15</f>
        <v>2746</v>
      </c>
      <c r="Q15" s="927">
        <f>RMU!F15</f>
        <v>36010</v>
      </c>
      <c r="R15" s="489">
        <f t="shared" si="4"/>
        <v>43548</v>
      </c>
      <c r="S15" s="929"/>
      <c r="T15" s="945">
        <f>'CEITEC MU'!G15+'CEITEC-CŘS'!G15+SKM!G15+SUKB!G17+UCT!G15+SPSSN!G15+IBA!G15+CTT!G15+ÚVT!G15+CJV!G15+CZS!G15+RMU!G15</f>
        <v>36134</v>
      </c>
      <c r="U15" s="925">
        <f>'CEITEC MU'!H15+'CEITEC-CŘS'!H15+SKM!H15+SUKB!H17+UCT!H15+SPSSN!H15+IBA!H15+CTT!H15+ÚVT!H15+CJV!H15+CZS!H15+RMU!H15</f>
        <v>702</v>
      </c>
      <c r="V15" s="930">
        <f>'CEITEC MU'!I15+'CEITEC-CŘS'!I15+SKM!I15+SUKB!I17+UCT!I15+SPSSN!I15+IBA!I15+CTT!I15+ÚVT!I15+CJV!I15+CZS!I15+RMU!I15</f>
        <v>4800</v>
      </c>
      <c r="W15" s="930">
        <f>'CEITEC MU'!J15+'CEITEC-CŘS'!J15+SKM!J15+SUKB!J17+UCT!J15+SPSSN!J15+IBA!J15+CTT!J15+ÚVT!J15+CJV!J15+CZS!J15+RMU!J15</f>
        <v>0</v>
      </c>
      <c r="X15" s="930">
        <f>'CEITEC MU'!K15+'CEITEC-CŘS'!K15+SKM!K15+SUKB!K17+UCT!K15+SPSSN!K15+IBA!K15+CTT!K15+ÚVT!K15+CJV!K15+CZS!K15+RMU!K15</f>
        <v>1912</v>
      </c>
      <c r="Y15" s="925">
        <f>'CEITEC MU'!L15+'CEITEC-CŘS'!L15+SKM!L15+SUKB!L17+UCT!L15+SPSSN!L15+IBA!L15+CTT!L15+ÚVT!L15+CJV!L15+CZS!L15+RMU!L15</f>
        <v>0</v>
      </c>
      <c r="Z15" s="928">
        <f t="shared" si="5"/>
        <v>43548</v>
      </c>
      <c r="AA15" s="859">
        <f>ostatni!Q15</f>
        <v>97655.91961</v>
      </c>
      <c r="AB15" s="239"/>
      <c r="AC15" s="239"/>
    </row>
    <row r="16" spans="1:29" s="25" customFormat="1" ht="12">
      <c r="A16" s="21"/>
      <c r="B16" s="30" t="s">
        <v>28</v>
      </c>
      <c r="C16" s="27"/>
      <c r="D16" s="27"/>
      <c r="E16" s="168">
        <v>14</v>
      </c>
      <c r="F16" s="931">
        <f>'CEITEC MU'!F16</f>
        <v>0</v>
      </c>
      <c r="G16" s="931">
        <f>'CEITEC-CŘS'!F16</f>
        <v>0</v>
      </c>
      <c r="H16" s="530">
        <f>SKM!F16</f>
        <v>0</v>
      </c>
      <c r="I16" s="844">
        <f>SUKB!F18</f>
        <v>0</v>
      </c>
      <c r="J16" s="844">
        <f>UCT!F16</f>
        <v>0</v>
      </c>
      <c r="K16" s="844">
        <f>SPSSN!F16</f>
        <v>0</v>
      </c>
      <c r="L16" s="844">
        <f>IBA!F16</f>
        <v>0</v>
      </c>
      <c r="M16" s="844">
        <f>CTT!F16</f>
        <v>0</v>
      </c>
      <c r="N16" s="844">
        <f>ÚVT!F16</f>
        <v>0</v>
      </c>
      <c r="O16" s="844">
        <f>CJV!F16</f>
        <v>0</v>
      </c>
      <c r="P16" s="844">
        <f>CZS!F16</f>
        <v>0</v>
      </c>
      <c r="Q16" s="932">
        <f>RMU!F16</f>
        <v>0</v>
      </c>
      <c r="R16" s="490">
        <f t="shared" si="4"/>
        <v>0</v>
      </c>
      <c r="S16" s="933"/>
      <c r="T16" s="945">
        <f>'CEITEC MU'!G16+'CEITEC-CŘS'!G16+SKM!G16+SUKB!G18+UCT!G16+SPSSN!G16+IBA!G16+CTT!G16+ÚVT!G16+CJV!G16+CZS!G16+RMU!G16</f>
        <v>0</v>
      </c>
      <c r="U16" s="925">
        <f>'CEITEC MU'!H16+'CEITEC-CŘS'!H16+SKM!H16+SUKB!H18+UCT!H16+SPSSN!H16+IBA!H16+CTT!H16+ÚVT!H16+CJV!H16+CZS!H16+RMU!H16</f>
        <v>0</v>
      </c>
      <c r="V16" s="930">
        <f>'CEITEC MU'!I16+'CEITEC-CŘS'!I16+SKM!I16+SUKB!I18+UCT!I16+SPSSN!I16+IBA!I16+CTT!I16+ÚVT!I16+CJV!I16+CZS!I16+RMU!I16</f>
        <v>0</v>
      </c>
      <c r="W16" s="930">
        <f>'CEITEC MU'!J16+'CEITEC-CŘS'!J16+SKM!J16+SUKB!J18+UCT!J16+SPSSN!J16+IBA!J16+CTT!J16+ÚVT!J16+CJV!J16+CZS!J16+RMU!J16</f>
        <v>0</v>
      </c>
      <c r="X16" s="930">
        <f>'CEITEC MU'!K16+'CEITEC-CŘS'!K16+SKM!K16+SUKB!K18+UCT!K16+SPSSN!K16+IBA!K16+CTT!K16+ÚVT!K16+CJV!K16+CZS!K16+RMU!K16</f>
        <v>0</v>
      </c>
      <c r="Y16" s="925">
        <f>'CEITEC MU'!L16+'CEITEC-CŘS'!L16+SKM!L16+SUKB!L18+UCT!L16+SPSSN!L16+IBA!L16+CTT!L16+ÚVT!L16+CJV!L16+CZS!L16+RMU!L16</f>
        <v>0</v>
      </c>
      <c r="Z16" s="96">
        <f t="shared" si="5"/>
        <v>0</v>
      </c>
      <c r="AA16" s="859">
        <f>ostatni!Q16</f>
        <v>0</v>
      </c>
      <c r="AB16" s="239"/>
      <c r="AC16" s="239"/>
    </row>
    <row r="17" spans="1:29" s="25" customFormat="1" ht="12">
      <c r="A17" s="21"/>
      <c r="B17" s="30" t="s">
        <v>30</v>
      </c>
      <c r="C17" s="27"/>
      <c r="D17" s="27"/>
      <c r="E17" s="168">
        <v>15</v>
      </c>
      <c r="F17" s="931">
        <f>'CEITEC MU'!F17</f>
        <v>0</v>
      </c>
      <c r="G17" s="931">
        <f>'CEITEC-CŘS'!F17</f>
        <v>0</v>
      </c>
      <c r="H17" s="530">
        <f>SKM!F17</f>
        <v>0</v>
      </c>
      <c r="I17" s="844">
        <f>SUKB!F19</f>
        <v>0</v>
      </c>
      <c r="J17" s="844">
        <f>UCT!F17</f>
        <v>0</v>
      </c>
      <c r="K17" s="844">
        <f>SPSSN!F17</f>
        <v>0</v>
      </c>
      <c r="L17" s="844">
        <f>IBA!F17</f>
        <v>0</v>
      </c>
      <c r="M17" s="844">
        <f>CTT!F17</f>
        <v>0</v>
      </c>
      <c r="N17" s="844">
        <f>ÚVT!F17</f>
        <v>0</v>
      </c>
      <c r="O17" s="844">
        <f>CJV!F17</f>
        <v>0</v>
      </c>
      <c r="P17" s="844">
        <f>CZS!F17</f>
        <v>37000</v>
      </c>
      <c r="Q17" s="932">
        <f>RMU!F17</f>
        <v>0</v>
      </c>
      <c r="R17" s="490">
        <f t="shared" si="4"/>
        <v>37000</v>
      </c>
      <c r="S17" s="933"/>
      <c r="T17" s="945">
        <f>'CEITEC MU'!G17+'CEITEC-CŘS'!G17+SKM!G17+SUKB!G19+UCT!G17+SPSSN!G17+IBA!G17+CTT!G17+ÚVT!G17+CJV!G17+CZS!G17+RMU!G17</f>
        <v>35461</v>
      </c>
      <c r="U17" s="925">
        <f>'CEITEC MU'!H17+'CEITEC-CŘS'!H17+SKM!H17+SUKB!H19+UCT!H17+SPSSN!H17+IBA!H17+CTT!H17+ÚVT!H17+CJV!H17+CZS!H17+RMU!H17</f>
        <v>0</v>
      </c>
      <c r="V17" s="930">
        <f>'CEITEC MU'!I17+'CEITEC-CŘS'!I17+SKM!I17+SUKB!I19+UCT!I17+SPSSN!I17+IBA!I17+CTT!I17+ÚVT!I17+CJV!I17+CZS!I17+RMU!I17</f>
        <v>1539</v>
      </c>
      <c r="W17" s="930">
        <f>'CEITEC MU'!J17+'CEITEC-CŘS'!J17+SKM!J17+SUKB!J19+UCT!J17+SPSSN!J17+IBA!J17+CTT!J17+ÚVT!J17+CJV!J17+CZS!J17+RMU!J17</f>
        <v>0</v>
      </c>
      <c r="X17" s="930">
        <f>'CEITEC MU'!K17+'CEITEC-CŘS'!K17+SKM!K17+SUKB!K19+UCT!K17+SPSSN!K17+IBA!K17+CTT!K17+ÚVT!K17+CJV!K17+CZS!K17+RMU!K17</f>
        <v>0</v>
      </c>
      <c r="Y17" s="925">
        <f>'CEITEC MU'!L17+'CEITEC-CŘS'!L17+SKM!L17+SUKB!L19+UCT!L17+SPSSN!L17+IBA!L17+CTT!L17+ÚVT!L17+CJV!L17+CZS!L17+RMU!L17</f>
        <v>0</v>
      </c>
      <c r="Z17" s="96">
        <f t="shared" si="5"/>
        <v>37000</v>
      </c>
      <c r="AA17" s="519">
        <f>ostatni!Q17</f>
        <v>38972.036</v>
      </c>
      <c r="AB17" s="239"/>
      <c r="AC17" s="239"/>
    </row>
    <row r="18" spans="1:29" s="25" customFormat="1" ht="12">
      <c r="A18" s="21"/>
      <c r="B18" s="31" t="s">
        <v>32</v>
      </c>
      <c r="C18" s="32"/>
      <c r="D18" s="32"/>
      <c r="E18" s="169">
        <v>16</v>
      </c>
      <c r="F18" s="931">
        <f>'CEITEC MU'!F18</f>
        <v>0</v>
      </c>
      <c r="G18" s="931">
        <f>'CEITEC-CŘS'!F18</f>
        <v>0</v>
      </c>
      <c r="H18" s="530">
        <f>SKM!F18</f>
        <v>0</v>
      </c>
      <c r="I18" s="844">
        <f>SUKB!F20</f>
        <v>0</v>
      </c>
      <c r="J18" s="844">
        <f>UCT!F18</f>
        <v>0</v>
      </c>
      <c r="K18" s="844">
        <f>SPSSN!F18</f>
        <v>21505</v>
      </c>
      <c r="L18" s="844">
        <f>IBA!F18</f>
        <v>0</v>
      </c>
      <c r="M18" s="844">
        <f>CTT!F18</f>
        <v>0</v>
      </c>
      <c r="N18" s="844">
        <f>ÚVT!F18</f>
        <v>16382</v>
      </c>
      <c r="O18" s="844">
        <f>CJV!F18</f>
        <v>324</v>
      </c>
      <c r="P18" s="844">
        <f>CZS!F18</f>
        <v>11050</v>
      </c>
      <c r="Q18" s="932">
        <f>RMU!F18</f>
        <v>41693</v>
      </c>
      <c r="R18" s="490">
        <f t="shared" si="4"/>
        <v>90954</v>
      </c>
      <c r="S18" s="933"/>
      <c r="T18" s="945">
        <f>'CEITEC MU'!G18+'CEITEC-CŘS'!G18+SKM!G18+SUKB!G20+UCT!G18+SPSSN!G18+IBA!G18+CTT!G18+ÚVT!G18+CJV!G18+CZS!G18+RMU!G18</f>
        <v>90954</v>
      </c>
      <c r="U18" s="925">
        <f>'CEITEC MU'!H18+'CEITEC-CŘS'!H18+SKM!H18+SUKB!H20+UCT!H18+SPSSN!H18+IBA!H18+CTT!H18+ÚVT!H18+CJV!H18+CZS!H18+RMU!H18</f>
        <v>0</v>
      </c>
      <c r="V18" s="930">
        <f>'CEITEC MU'!I18+'CEITEC-CŘS'!I18+SKM!I18+SUKB!I20+UCT!I18+SPSSN!I18+IBA!I18+CTT!I18+ÚVT!I18+CJV!I18+CZS!I18+RMU!I18</f>
        <v>0</v>
      </c>
      <c r="W18" s="930">
        <f>'CEITEC MU'!J18+'CEITEC-CŘS'!J18+SKM!J18+SUKB!J20+UCT!J18+SPSSN!J18+IBA!J18+CTT!J18+ÚVT!J18+CJV!J18+CZS!J18+RMU!J18</f>
        <v>0</v>
      </c>
      <c r="X18" s="930">
        <f>'CEITEC MU'!K18+'CEITEC-CŘS'!K18+SKM!K18+SUKB!K20+UCT!K18+SPSSN!K18+IBA!K18+CTT!K18+ÚVT!K18+CJV!K18+CZS!K18+RMU!K18</f>
        <v>0</v>
      </c>
      <c r="Y18" s="925">
        <f>'CEITEC MU'!L18+'CEITEC-CŘS'!L18+SKM!L18+SUKB!L20+UCT!L18+SPSSN!L18+IBA!L18+CTT!L18+ÚVT!L18+CJV!L18+CZS!L18+RMU!L18</f>
        <v>0</v>
      </c>
      <c r="Z18" s="96">
        <f t="shared" si="5"/>
        <v>90954</v>
      </c>
      <c r="AA18" s="519">
        <f>ostatni!Q18</f>
        <v>62950</v>
      </c>
      <c r="AB18" s="239"/>
      <c r="AC18" s="239"/>
    </row>
    <row r="19" spans="1:29" s="25" customFormat="1" ht="12">
      <c r="A19" s="21"/>
      <c r="B19" s="31" t="s">
        <v>34</v>
      </c>
      <c r="C19" s="32"/>
      <c r="D19" s="32"/>
      <c r="E19" s="169">
        <v>17</v>
      </c>
      <c r="F19" s="931">
        <f>'CEITEC MU'!F19</f>
        <v>0</v>
      </c>
      <c r="G19" s="931">
        <f>'CEITEC-CŘS'!F19</f>
        <v>0</v>
      </c>
      <c r="H19" s="530">
        <f>SKM!F19</f>
        <v>0</v>
      </c>
      <c r="I19" s="844">
        <f>SUKB!F21</f>
        <v>0</v>
      </c>
      <c r="J19" s="844">
        <f>UCT!F19</f>
        <v>0</v>
      </c>
      <c r="K19" s="844">
        <f>SPSSN!F19</f>
        <v>0</v>
      </c>
      <c r="L19" s="844">
        <f>IBA!F19</f>
        <v>0</v>
      </c>
      <c r="M19" s="844">
        <f>CTT!F19</f>
        <v>0</v>
      </c>
      <c r="N19" s="844">
        <f>ÚVT!F19</f>
        <v>0</v>
      </c>
      <c r="O19" s="844">
        <f>CJV!F19</f>
        <v>0</v>
      </c>
      <c r="P19" s="844">
        <f>CZS!F19</f>
        <v>0</v>
      </c>
      <c r="Q19" s="932">
        <f>RMU!F19</f>
        <v>0</v>
      </c>
      <c r="R19" s="490">
        <f t="shared" si="4"/>
        <v>0</v>
      </c>
      <c r="S19" s="933"/>
      <c r="T19" s="945">
        <f>'CEITEC MU'!G19+'CEITEC-CŘS'!G19+SKM!G19+SUKB!G21+UCT!G19+SPSSN!G19+IBA!G19+CTT!G19+ÚVT!G19+CJV!G19+CZS!G19+RMU!G19</f>
        <v>0</v>
      </c>
      <c r="U19" s="925">
        <f>'CEITEC MU'!H19+'CEITEC-CŘS'!H19+SKM!H19+SUKB!H21+UCT!H19+SPSSN!H19+IBA!H19+CTT!H19+ÚVT!H19+CJV!H19+CZS!H19+RMU!H19</f>
        <v>0</v>
      </c>
      <c r="V19" s="930">
        <f>'CEITEC MU'!I19+'CEITEC-CŘS'!I19+SKM!I19+SUKB!I21+UCT!I19+SPSSN!I19+IBA!I19+CTT!I19+ÚVT!I19+CJV!I19+CZS!I19+RMU!I19</f>
        <v>0</v>
      </c>
      <c r="W19" s="930">
        <f>'CEITEC MU'!J19+'CEITEC-CŘS'!J19+SKM!J19+SUKB!J21+UCT!J19+SPSSN!J19+IBA!J19+CTT!J19+ÚVT!J19+CJV!J19+CZS!J19+RMU!J19</f>
        <v>0</v>
      </c>
      <c r="X19" s="930">
        <f>'CEITEC MU'!K19+'CEITEC-CŘS'!K19+SKM!K19+SUKB!K21+UCT!K19+SPSSN!K19+IBA!K19+CTT!K19+ÚVT!K19+CJV!K19+CZS!K19+RMU!K19</f>
        <v>0</v>
      </c>
      <c r="Y19" s="925">
        <f>'CEITEC MU'!L19+'CEITEC-CŘS'!L19+SKM!L19+SUKB!L21+UCT!L19+SPSSN!L19+IBA!L19+CTT!L19+ÚVT!L19+CJV!L19+CZS!L19+RMU!L19</f>
        <v>0</v>
      </c>
      <c r="Z19" s="96">
        <f t="shared" si="5"/>
        <v>0</v>
      </c>
      <c r="AA19" s="519">
        <f>ostatni!Q19</f>
        <v>485</v>
      </c>
      <c r="AB19" s="239"/>
      <c r="AC19" s="239"/>
    </row>
    <row r="20" spans="1:29" s="25" customFormat="1" ht="12">
      <c r="A20" s="21"/>
      <c r="B20" s="31" t="s">
        <v>36</v>
      </c>
      <c r="C20" s="31"/>
      <c r="D20" s="31"/>
      <c r="E20" s="169">
        <v>18</v>
      </c>
      <c r="F20" s="931">
        <f>'CEITEC MU'!F20</f>
        <v>4280</v>
      </c>
      <c r="G20" s="931">
        <f>'CEITEC-CŘS'!F20</f>
        <v>0</v>
      </c>
      <c r="H20" s="530">
        <f>SKM!F20</f>
        <v>0</v>
      </c>
      <c r="I20" s="844">
        <f>SUKB!F22</f>
        <v>0</v>
      </c>
      <c r="J20" s="844">
        <f>UCT!F20</f>
        <v>0</v>
      </c>
      <c r="K20" s="844">
        <f>SPSSN!F20</f>
        <v>0</v>
      </c>
      <c r="L20" s="844">
        <f>IBA!F20</f>
        <v>0</v>
      </c>
      <c r="M20" s="844">
        <f>CTT!F20</f>
        <v>0</v>
      </c>
      <c r="N20" s="844">
        <f>ÚVT!F20</f>
        <v>5800</v>
      </c>
      <c r="O20" s="844">
        <f>CJV!F20</f>
        <v>0</v>
      </c>
      <c r="P20" s="844">
        <f>CZS!F20</f>
        <v>0</v>
      </c>
      <c r="Q20" s="932">
        <f>RMU!F20</f>
        <v>0</v>
      </c>
      <c r="R20" s="490">
        <f t="shared" si="4"/>
        <v>10080</v>
      </c>
      <c r="S20" s="933"/>
      <c r="T20" s="945">
        <f>'CEITEC MU'!G20+'CEITEC-CŘS'!G20+SKM!G20+SUKB!G22+UCT!G20+SPSSN!G20+IBA!G20+CTT!G20+ÚVT!G20+CJV!G20+CZS!G20+RMU!G20</f>
        <v>10080</v>
      </c>
      <c r="U20" s="925">
        <f>'CEITEC MU'!H20+'CEITEC-CŘS'!H20+SKM!H20+SUKB!H22+UCT!H20+SPSSN!H20+IBA!H20+CTT!H20+ÚVT!H20+CJV!H20+CZS!H20+RMU!H20</f>
        <v>0</v>
      </c>
      <c r="V20" s="930">
        <f>'CEITEC MU'!I20+'CEITEC-CŘS'!I20+SKM!I20+SUKB!I22+UCT!I20+SPSSN!I20+IBA!I20+CTT!I20+ÚVT!I20+CJV!I20+CZS!I20+RMU!I20</f>
        <v>0</v>
      </c>
      <c r="W20" s="930">
        <f>'CEITEC MU'!J20+'CEITEC-CŘS'!J20+SKM!J20+SUKB!J22+UCT!J20+SPSSN!J20+IBA!J20+CTT!J20+ÚVT!J20+CJV!J20+CZS!J20+RMU!J20</f>
        <v>0</v>
      </c>
      <c r="X20" s="930">
        <f>'CEITEC MU'!K20+'CEITEC-CŘS'!K20+SKM!K20+SUKB!K22+UCT!K20+SPSSN!K20+IBA!K20+CTT!K20+ÚVT!K20+CJV!K20+CZS!K20+RMU!K20</f>
        <v>0</v>
      </c>
      <c r="Y20" s="925">
        <f>'CEITEC MU'!L20+'CEITEC-CŘS'!L20+SKM!L20+SUKB!L22+UCT!L20+SPSSN!L20+IBA!L20+CTT!L20+ÚVT!L20+CJV!L20+CZS!L20+RMU!L20</f>
        <v>0</v>
      </c>
      <c r="Z20" s="96">
        <f t="shared" si="5"/>
        <v>10080</v>
      </c>
      <c r="AA20" s="519">
        <f>ostatni!Q20</f>
        <v>9689.25454</v>
      </c>
      <c r="AB20" s="239"/>
      <c r="AC20" s="239"/>
    </row>
    <row r="21" spans="1:29" s="25" customFormat="1" ht="12">
      <c r="A21" s="21"/>
      <c r="B21" s="31" t="s">
        <v>175</v>
      </c>
      <c r="C21" s="31"/>
      <c r="D21" s="31"/>
      <c r="E21" s="169">
        <v>19</v>
      </c>
      <c r="F21" s="931">
        <f>'CEITEC MU'!F21</f>
        <v>0</v>
      </c>
      <c r="G21" s="931">
        <f>'CEITEC-CŘS'!F21</f>
        <v>2662</v>
      </c>
      <c r="H21" s="530">
        <f>SKM!F21</f>
        <v>0</v>
      </c>
      <c r="I21" s="844">
        <f>SUKB!F23</f>
        <v>0</v>
      </c>
      <c r="J21" s="844">
        <f>UCT!F21</f>
        <v>0</v>
      </c>
      <c r="K21" s="844">
        <f>SPSSN!F21</f>
        <v>4500</v>
      </c>
      <c r="L21" s="844">
        <f>IBA!F21</f>
        <v>18307</v>
      </c>
      <c r="M21" s="844">
        <f>CTT!F21</f>
        <v>0</v>
      </c>
      <c r="N21" s="844">
        <f>ÚVT!F21</f>
        <v>5500</v>
      </c>
      <c r="O21" s="844">
        <f>CJV!F21</f>
        <v>5262</v>
      </c>
      <c r="P21" s="844">
        <f>CZS!F21</f>
        <v>0</v>
      </c>
      <c r="Q21" s="932">
        <f>RMU!F21</f>
        <v>17018</v>
      </c>
      <c r="R21" s="490">
        <f t="shared" si="4"/>
        <v>53249</v>
      </c>
      <c r="S21" s="933"/>
      <c r="T21" s="945">
        <f>'CEITEC MU'!G21+'CEITEC-CŘS'!G21+SKM!G21+SUKB!G23+UCT!G21+SPSSN!G21+IBA!G21+CTT!G21+ÚVT!G21+CJV!G21+CZS!G21+RMU!G21</f>
        <v>53249</v>
      </c>
      <c r="U21" s="925">
        <f>'CEITEC MU'!H21+'CEITEC-CŘS'!H21+SKM!H21+SUKB!H23+UCT!H21+SPSSN!H21+IBA!H21+CTT!H21+ÚVT!H21+CJV!H21+CZS!H21+RMU!H21</f>
        <v>0</v>
      </c>
      <c r="V21" s="930">
        <f>'CEITEC MU'!I21+'CEITEC-CŘS'!I21+SKM!I21+SUKB!I23+UCT!I21+SPSSN!I21+IBA!I21+CTT!I21+ÚVT!I21+CJV!I21+CZS!I21+RMU!I21</f>
        <v>0</v>
      </c>
      <c r="W21" s="930">
        <f>'CEITEC MU'!J21+'CEITEC-CŘS'!J21+SKM!J21+SUKB!J23+UCT!J21+SPSSN!J21+IBA!J21+CTT!J21+ÚVT!J21+CJV!J21+CZS!J21+RMU!J21</f>
        <v>0</v>
      </c>
      <c r="X21" s="930">
        <f>'CEITEC MU'!K21+'CEITEC-CŘS'!K21+SKM!K21+SUKB!K23+UCT!K21+SPSSN!K21+IBA!K21+CTT!K21+ÚVT!K21+CJV!K21+CZS!K21+RMU!K21</f>
        <v>0</v>
      </c>
      <c r="Y21" s="925">
        <f>'CEITEC MU'!L21+'CEITEC-CŘS'!L21+SKM!L21+SUKB!L23+UCT!L21+SPSSN!L21+IBA!L21+CTT!L21+ÚVT!L21+CJV!L21+CZS!L21+RMU!L21</f>
        <v>0</v>
      </c>
      <c r="Z21" s="96">
        <f t="shared" si="5"/>
        <v>53249</v>
      </c>
      <c r="AA21" s="519">
        <f>ostatni!Q21</f>
        <v>38361.738450000004</v>
      </c>
      <c r="AB21" s="239"/>
      <c r="AC21" s="239"/>
    </row>
    <row r="22" spans="1:29" s="25" customFormat="1" ht="12">
      <c r="A22" s="21"/>
      <c r="B22" s="31" t="s">
        <v>40</v>
      </c>
      <c r="C22" s="31"/>
      <c r="D22" s="31"/>
      <c r="E22" s="169">
        <v>20</v>
      </c>
      <c r="F22" s="931">
        <f>'CEITEC MU'!F22</f>
        <v>0</v>
      </c>
      <c r="G22" s="931">
        <f>'CEITEC-CŘS'!F22</f>
        <v>0</v>
      </c>
      <c r="H22" s="530">
        <f>SKM!F22</f>
        <v>0</v>
      </c>
      <c r="I22" s="844">
        <f>SUKB!F24</f>
        <v>0</v>
      </c>
      <c r="J22" s="844">
        <f>UCT!F22</f>
        <v>0</v>
      </c>
      <c r="K22" s="844">
        <f>SPSSN!F22</f>
        <v>0</v>
      </c>
      <c r="L22" s="844">
        <f>IBA!F22</f>
        <v>0</v>
      </c>
      <c r="M22" s="844">
        <f>CTT!F22</f>
        <v>507</v>
      </c>
      <c r="N22" s="844">
        <f>ÚVT!F22</f>
        <v>0</v>
      </c>
      <c r="O22" s="844">
        <f>CJV!F22</f>
        <v>562</v>
      </c>
      <c r="P22" s="844">
        <f>CZS!F22</f>
        <v>50000</v>
      </c>
      <c r="Q22" s="932">
        <f>RMU!F22</f>
        <v>2591</v>
      </c>
      <c r="R22" s="490">
        <f t="shared" si="4"/>
        <v>53660</v>
      </c>
      <c r="S22" s="933"/>
      <c r="T22" s="945">
        <f>'CEITEC MU'!G22+'CEITEC-CŘS'!G22+SKM!G22+SUKB!G24+UCT!G22+SPSSN!G22+IBA!G22+CTT!G22+ÚVT!G22+CJV!G22+CZS!G22+RMU!G22</f>
        <v>24936</v>
      </c>
      <c r="U22" s="925">
        <f>'CEITEC MU'!H22+'CEITEC-CŘS'!H22+SKM!H22+SUKB!H24+UCT!H22+SPSSN!H22+IBA!H22+CTT!H22+ÚVT!H22+CJV!H22+CZS!H22+RMU!H22</f>
        <v>0</v>
      </c>
      <c r="V22" s="930">
        <f>'CEITEC MU'!I22+'CEITEC-CŘS'!I22+SKM!I22+SUKB!I24+UCT!I22+SPSSN!I22+IBA!I22+CTT!I22+ÚVT!I22+CJV!I22+CZS!I22+RMU!I22</f>
        <v>28724</v>
      </c>
      <c r="W22" s="930">
        <f>'CEITEC MU'!J22+'CEITEC-CŘS'!J22+SKM!J22+SUKB!J24+UCT!J22+SPSSN!J22+IBA!J22+CTT!J22+ÚVT!J22+CJV!J22+CZS!J22+RMU!J22</f>
        <v>0</v>
      </c>
      <c r="X22" s="930">
        <f>'CEITEC MU'!K22+'CEITEC-CŘS'!K22+SKM!K22+SUKB!K24+UCT!K22+SPSSN!K22+IBA!K22+CTT!K22+ÚVT!K22+CJV!K22+CZS!K22+RMU!K22</f>
        <v>0</v>
      </c>
      <c r="Y22" s="925">
        <f>'CEITEC MU'!L22+'CEITEC-CŘS'!L22+SKM!L22+SUKB!L24+UCT!L22+SPSSN!L22+IBA!L22+CTT!L22+ÚVT!L22+CJV!L22+CZS!L22+RMU!L22</f>
        <v>0</v>
      </c>
      <c r="Z22" s="96">
        <f t="shared" si="5"/>
        <v>53660</v>
      </c>
      <c r="AA22" s="519">
        <f>ostatni!Q22</f>
        <v>58475.174</v>
      </c>
      <c r="AB22" s="239"/>
      <c r="AC22" s="239"/>
    </row>
    <row r="23" spans="1:29" s="25" customFormat="1" ht="12">
      <c r="A23" s="21"/>
      <c r="B23" s="31" t="s">
        <v>42</v>
      </c>
      <c r="C23" s="31"/>
      <c r="D23" s="31"/>
      <c r="E23" s="169">
        <v>21</v>
      </c>
      <c r="F23" s="931">
        <f>'CEITEC MU'!F23</f>
        <v>30315</v>
      </c>
      <c r="G23" s="931">
        <f>'CEITEC-CŘS'!F23</f>
        <v>0</v>
      </c>
      <c r="H23" s="530">
        <f>SKM!F23</f>
        <v>0</v>
      </c>
      <c r="I23" s="844">
        <f>SUKB!F25</f>
        <v>0</v>
      </c>
      <c r="J23" s="844">
        <f>UCT!F23</f>
        <v>0</v>
      </c>
      <c r="K23" s="844">
        <f>SPSSN!F23</f>
        <v>0</v>
      </c>
      <c r="L23" s="844">
        <f>IBA!F23</f>
        <v>0</v>
      </c>
      <c r="M23" s="844">
        <f>CTT!F23</f>
        <v>0</v>
      </c>
      <c r="N23" s="844">
        <f>ÚVT!F23</f>
        <v>43</v>
      </c>
      <c r="O23" s="844">
        <f>CJV!F23</f>
        <v>0</v>
      </c>
      <c r="P23" s="844">
        <f>CZS!F23</f>
        <v>0</v>
      </c>
      <c r="Q23" s="932">
        <f>RMU!F23</f>
        <v>0</v>
      </c>
      <c r="R23" s="490">
        <f t="shared" si="4"/>
        <v>30358</v>
      </c>
      <c r="S23" s="933"/>
      <c r="T23" s="945">
        <f>'CEITEC MU'!G23+'CEITEC-CŘS'!G23+SKM!G23+SUKB!G25+UCT!G23+SPSSN!G23+IBA!G23+CTT!G23+ÚVT!G23+CJV!G23+CZS!G23+RMU!G23</f>
        <v>30315</v>
      </c>
      <c r="U23" s="925">
        <f>'CEITEC MU'!H23+'CEITEC-CŘS'!H23+SKM!H23+SUKB!H25+UCT!H23+SPSSN!H23+IBA!H23+CTT!H23+ÚVT!H23+CJV!H23+CZS!H23+RMU!H23</f>
        <v>0</v>
      </c>
      <c r="V23" s="930">
        <f>'CEITEC MU'!I23+'CEITEC-CŘS'!I23+SKM!I23+SUKB!I25+UCT!I23+SPSSN!I23+IBA!I23+CTT!I23+ÚVT!I23+CJV!I23+CZS!I23+RMU!I23</f>
        <v>43</v>
      </c>
      <c r="W23" s="930">
        <f>'CEITEC MU'!J23+'CEITEC-CŘS'!J23+SKM!J23+SUKB!J25+UCT!J23+SPSSN!J23+IBA!J23+CTT!J23+ÚVT!J23+CJV!J23+CZS!J23+RMU!J23</f>
        <v>0</v>
      </c>
      <c r="X23" s="930">
        <f>'CEITEC MU'!K23+'CEITEC-CŘS'!K23+SKM!K23+SUKB!K25+UCT!K23+SPSSN!K23+IBA!K23+CTT!K23+ÚVT!K23+CJV!K23+CZS!K23+RMU!K23</f>
        <v>0</v>
      </c>
      <c r="Y23" s="925">
        <f>'CEITEC MU'!L23+'CEITEC-CŘS'!L23+SKM!L23+SUKB!L25+UCT!L23+SPSSN!L23+IBA!L23+CTT!L23+ÚVT!L23+CJV!L23+CZS!L23+RMU!L23</f>
        <v>0</v>
      </c>
      <c r="Z23" s="96">
        <f t="shared" si="5"/>
        <v>30358</v>
      </c>
      <c r="AA23" s="519">
        <f>ostatni!Q23</f>
        <v>930.95</v>
      </c>
      <c r="AB23" s="239"/>
      <c r="AC23" s="239"/>
    </row>
    <row r="24" spans="1:29" s="25" customFormat="1" ht="12">
      <c r="A24" s="21"/>
      <c r="B24" s="31" t="s">
        <v>43</v>
      </c>
      <c r="C24" s="31"/>
      <c r="D24" s="31"/>
      <c r="E24" s="169">
        <v>22</v>
      </c>
      <c r="F24" s="931">
        <f>'CEITEC MU'!F24</f>
        <v>36809</v>
      </c>
      <c r="G24" s="931">
        <f>'CEITEC-CŘS'!F24</f>
        <v>0</v>
      </c>
      <c r="H24" s="530">
        <f>SKM!F24</f>
        <v>0</v>
      </c>
      <c r="I24" s="844">
        <f>SUKB!F26</f>
        <v>0</v>
      </c>
      <c r="J24" s="844">
        <f>UCT!F24</f>
        <v>0</v>
      </c>
      <c r="K24" s="844">
        <f>SPSSN!F24</f>
        <v>0</v>
      </c>
      <c r="L24" s="844">
        <f>IBA!F24</f>
        <v>908</v>
      </c>
      <c r="M24" s="844">
        <f>CTT!F24</f>
        <v>0</v>
      </c>
      <c r="N24" s="844">
        <f>ÚVT!F24</f>
        <v>3029</v>
      </c>
      <c r="O24" s="844">
        <f>CJV!F24</f>
        <v>0</v>
      </c>
      <c r="P24" s="844">
        <f>CZS!F24</f>
        <v>0</v>
      </c>
      <c r="Q24" s="932">
        <f>RMU!F24</f>
        <v>1890</v>
      </c>
      <c r="R24" s="490">
        <f t="shared" si="4"/>
        <v>42636</v>
      </c>
      <c r="S24" s="933"/>
      <c r="T24" s="945">
        <f>'CEITEC MU'!G24+'CEITEC-CŘS'!G24+SKM!G24+SUKB!G26+UCT!G24+SPSSN!G24+IBA!G24+CTT!G24+ÚVT!G24+CJV!G24+CZS!G24+RMU!G24</f>
        <v>42150</v>
      </c>
      <c r="U24" s="925">
        <f>'CEITEC MU'!H24+'CEITEC-CŘS'!H24+SKM!H24+SUKB!H26+UCT!H24+SPSSN!H24+IBA!H24+CTT!H24+ÚVT!H24+CJV!H24+CZS!H24+RMU!H24</f>
        <v>0</v>
      </c>
      <c r="V24" s="930">
        <f>'CEITEC MU'!I24+'CEITEC-CŘS'!I24+SKM!I24+SUKB!I26+UCT!I24+SPSSN!I24+IBA!I24+CTT!I24+ÚVT!I24+CJV!I24+CZS!I24+RMU!I24</f>
        <v>486</v>
      </c>
      <c r="W24" s="930">
        <f>'CEITEC MU'!J24+'CEITEC-CŘS'!J24+SKM!J24+SUKB!J26+UCT!J24+SPSSN!J24+IBA!J24+CTT!J24+ÚVT!J24+CJV!J24+CZS!J24+RMU!J24</f>
        <v>0</v>
      </c>
      <c r="X24" s="930">
        <f>'CEITEC MU'!K24+'CEITEC-CŘS'!K24+SKM!K24+SUKB!K26+UCT!K24+SPSSN!K24+IBA!K24+CTT!K24+ÚVT!K24+CJV!K24+CZS!K24+RMU!K24</f>
        <v>0</v>
      </c>
      <c r="Y24" s="925">
        <f>'CEITEC MU'!L24+'CEITEC-CŘS'!L24+SKM!L24+SUKB!L26+UCT!L24+SPSSN!L24+IBA!L24+CTT!L24+ÚVT!L24+CJV!L24+CZS!L24+RMU!L24</f>
        <v>0</v>
      </c>
      <c r="Z24" s="96">
        <f t="shared" si="5"/>
        <v>42636</v>
      </c>
      <c r="AA24" s="519">
        <f>ostatni!Q24</f>
        <v>6253</v>
      </c>
      <c r="AB24" s="239"/>
      <c r="AC24" s="239"/>
    </row>
    <row r="25" spans="1:29" s="25" customFormat="1" ht="12">
      <c r="A25" s="21"/>
      <c r="B25" s="31" t="s">
        <v>186</v>
      </c>
      <c r="C25" s="31"/>
      <c r="D25" s="31"/>
      <c r="E25" s="169">
        <v>23</v>
      </c>
      <c r="F25" s="931">
        <f>'CEITEC MU'!F25</f>
        <v>61328</v>
      </c>
      <c r="G25" s="931">
        <f>'CEITEC-CŘS'!F25</f>
        <v>30514</v>
      </c>
      <c r="H25" s="530">
        <f>SKM!F25</f>
        <v>0</v>
      </c>
      <c r="I25" s="844">
        <f>SUKB!F27</f>
        <v>0</v>
      </c>
      <c r="J25" s="844">
        <f>UCT!F25</f>
        <v>0</v>
      </c>
      <c r="K25" s="844">
        <f>SPSSN!F25</f>
        <v>0</v>
      </c>
      <c r="L25" s="844">
        <f>IBA!F25</f>
        <v>2590</v>
      </c>
      <c r="M25" s="844">
        <f>CTT!F25</f>
        <v>0</v>
      </c>
      <c r="N25" s="844">
        <f>ÚVT!F25</f>
        <v>457</v>
      </c>
      <c r="O25" s="844">
        <f>CJV!F25</f>
        <v>0</v>
      </c>
      <c r="P25" s="844">
        <f>CZS!F25</f>
        <v>0</v>
      </c>
      <c r="Q25" s="932">
        <f>RMU!F25</f>
        <v>0</v>
      </c>
      <c r="R25" s="490">
        <f t="shared" si="4"/>
        <v>94889</v>
      </c>
      <c r="S25" s="933"/>
      <c r="T25" s="945">
        <f>'CEITEC MU'!G25+'CEITEC-CŘS'!G25+SKM!G25+SUKB!G27+UCT!G25+SPSSN!G25+IBA!G25+CTT!G25+ÚVT!G25+CJV!G25+CZS!G25+RMU!G25</f>
        <v>82984</v>
      </c>
      <c r="U25" s="925">
        <f>'CEITEC MU'!H25+'CEITEC-CŘS'!H25+SKM!H25+SUKB!H27+UCT!H25+SPSSN!H25+IBA!H25+CTT!H25+ÚVT!H25+CJV!H25+CZS!H25+RMU!H25</f>
        <v>0</v>
      </c>
      <c r="V25" s="930">
        <f>'CEITEC MU'!I25+'CEITEC-CŘS'!I25+SKM!I25+SUKB!I27+UCT!I25+SPSSN!I25+IBA!I25+CTT!I25+ÚVT!I25+CJV!I25+CZS!I25+RMU!I25</f>
        <v>11905</v>
      </c>
      <c r="W25" s="930">
        <f>'CEITEC MU'!J25+'CEITEC-CŘS'!J25+SKM!J25+SUKB!J27+UCT!J25+SPSSN!J25+IBA!J25+CTT!J25+ÚVT!J25+CJV!J25+CZS!J25+RMU!J25</f>
        <v>0</v>
      </c>
      <c r="X25" s="930">
        <f>'CEITEC MU'!K25+'CEITEC-CŘS'!K25+SKM!K25+SUKB!K27+UCT!K25+SPSSN!K25+IBA!K25+CTT!K25+ÚVT!K25+CJV!K25+CZS!K25+RMU!K25</f>
        <v>0</v>
      </c>
      <c r="Y25" s="925">
        <f>'CEITEC MU'!L25+'CEITEC-CŘS'!L25+SKM!L25+SUKB!L27+UCT!L25+SPSSN!L25+IBA!L25+CTT!L25+ÚVT!L25+CJV!L25+CZS!L25+RMU!L25</f>
        <v>0</v>
      </c>
      <c r="Z25" s="96">
        <f t="shared" si="5"/>
        <v>94889</v>
      </c>
      <c r="AA25" s="519">
        <f>ostatni!Q25</f>
        <v>16705</v>
      </c>
      <c r="AB25" s="239"/>
      <c r="AC25" s="239"/>
    </row>
    <row r="26" spans="1:29" s="25" customFormat="1" ht="12">
      <c r="A26" s="21"/>
      <c r="B26" s="31" t="s">
        <v>45</v>
      </c>
      <c r="C26" s="31"/>
      <c r="D26" s="31"/>
      <c r="E26" s="169">
        <v>24</v>
      </c>
      <c r="F26" s="931">
        <f>'CEITEC MU'!F26</f>
        <v>5553</v>
      </c>
      <c r="G26" s="931">
        <f>'CEITEC-CŘS'!F26</f>
        <v>0</v>
      </c>
      <c r="H26" s="530">
        <f>SKM!F26</f>
        <v>0</v>
      </c>
      <c r="I26" s="844">
        <f>SUKB!F28</f>
        <v>0</v>
      </c>
      <c r="J26" s="844">
        <f>UCT!F26</f>
        <v>0</v>
      </c>
      <c r="K26" s="844">
        <f>SPSSN!F26</f>
        <v>0</v>
      </c>
      <c r="L26" s="844">
        <f>IBA!F26</f>
        <v>0</v>
      </c>
      <c r="M26" s="844">
        <f>CTT!F26</f>
        <v>0</v>
      </c>
      <c r="N26" s="844">
        <f>ÚVT!F26</f>
        <v>0</v>
      </c>
      <c r="O26" s="844">
        <f>CJV!F26</f>
        <v>0</v>
      </c>
      <c r="P26" s="844">
        <f>CZS!F26</f>
        <v>0</v>
      </c>
      <c r="Q26" s="932">
        <f>RMU!F26</f>
        <v>0</v>
      </c>
      <c r="R26" s="490">
        <f t="shared" si="4"/>
        <v>5553</v>
      </c>
      <c r="S26" s="933"/>
      <c r="T26" s="945">
        <f>'CEITEC MU'!G26+'CEITEC-CŘS'!G26+SKM!G26+SUKB!G28+UCT!G26+SPSSN!G26+IBA!G26+CTT!G26+ÚVT!G26+CJV!G26+CZS!G26+RMU!G26</f>
        <v>5553</v>
      </c>
      <c r="U26" s="925">
        <f>'CEITEC MU'!H26+'CEITEC-CŘS'!H26+SKM!H26+SUKB!H28+UCT!H26+SPSSN!H26+IBA!H26+CTT!H26+ÚVT!H26+CJV!H26+CZS!H26+RMU!H26</f>
        <v>0</v>
      </c>
      <c r="V26" s="930">
        <f>'CEITEC MU'!I26+'CEITEC-CŘS'!I26+SKM!I26+SUKB!I28+UCT!I26+SPSSN!I26+IBA!I26+CTT!I26+ÚVT!I26+CJV!I26+CZS!I26+RMU!I26</f>
        <v>0</v>
      </c>
      <c r="W26" s="930">
        <f>'CEITEC MU'!J26+'CEITEC-CŘS'!J26+SKM!J26+SUKB!J28+UCT!J26+SPSSN!J26+IBA!J26+CTT!J26+ÚVT!J26+CJV!J26+CZS!J26+RMU!J26</f>
        <v>0</v>
      </c>
      <c r="X26" s="930">
        <f>'CEITEC MU'!K26+'CEITEC-CŘS'!K26+SKM!K26+SUKB!K28+UCT!K26+SPSSN!K26+IBA!K26+CTT!K26+ÚVT!K26+CJV!K26+CZS!K26+RMU!K26</f>
        <v>0</v>
      </c>
      <c r="Y26" s="925">
        <f>'CEITEC MU'!L26+'CEITEC-CŘS'!L26+SKM!L26+SUKB!L28+UCT!L26+SPSSN!L26+IBA!L26+CTT!L26+ÚVT!L26+CJV!L26+CZS!L26+RMU!L26</f>
        <v>0</v>
      </c>
      <c r="Z26" s="96">
        <f t="shared" si="5"/>
        <v>5553</v>
      </c>
      <c r="AA26" s="519">
        <f>ostatni!Q26</f>
        <v>3033</v>
      </c>
      <c r="AB26" s="239"/>
      <c r="AC26" s="239"/>
    </row>
    <row r="27" spans="1:29" s="25" customFormat="1" ht="12.75" thickBot="1">
      <c r="A27" s="21"/>
      <c r="B27" s="30" t="s">
        <v>47</v>
      </c>
      <c r="C27" s="30"/>
      <c r="D27" s="30"/>
      <c r="E27" s="168">
        <v>25</v>
      </c>
      <c r="F27" s="931">
        <f>'CEITEC MU'!F27</f>
        <v>790</v>
      </c>
      <c r="G27" s="931">
        <f>'CEITEC-CŘS'!F27</f>
        <v>0</v>
      </c>
      <c r="H27" s="530">
        <f>SKM!F27</f>
        <v>33955</v>
      </c>
      <c r="I27" s="844">
        <f>SUKB!F29</f>
        <v>0</v>
      </c>
      <c r="J27" s="844">
        <f>UCT!F27</f>
        <v>0</v>
      </c>
      <c r="K27" s="844">
        <f>SPSSN!F27</f>
        <v>0</v>
      </c>
      <c r="L27" s="844">
        <f>IBA!F27</f>
        <v>28500</v>
      </c>
      <c r="M27" s="844">
        <f>CTT!F27</f>
        <v>0</v>
      </c>
      <c r="N27" s="844">
        <f>ÚVT!F27</f>
        <v>9000</v>
      </c>
      <c r="O27" s="844">
        <f>CJV!F27</f>
        <v>0</v>
      </c>
      <c r="P27" s="844">
        <f>CZS!F27</f>
        <v>0</v>
      </c>
      <c r="Q27" s="932">
        <f>RMU!F27</f>
        <v>606</v>
      </c>
      <c r="R27" s="870">
        <f t="shared" si="4"/>
        <v>72851</v>
      </c>
      <c r="S27" s="933"/>
      <c r="T27" s="945">
        <f>'CEITEC MU'!G27+'CEITEC-CŘS'!G27+SKM!G27+SUKB!G29+UCT!G27+SPSSN!G27+IBA!G27+CTT!G27+ÚVT!G27+CJV!G27+CZS!G27+RMU!G27</f>
        <v>72768</v>
      </c>
      <c r="U27" s="925">
        <f>'CEITEC MU'!H27+'CEITEC-CŘS'!H27+SKM!H27+SUKB!H29+UCT!H27+SPSSN!H27+IBA!H27+CTT!H27+ÚVT!H27+CJV!H27+CZS!H27+RMU!H27</f>
        <v>0</v>
      </c>
      <c r="V27" s="930">
        <f>'CEITEC MU'!I27+'CEITEC-CŘS'!I27+SKM!I27+SUKB!I29+UCT!I27+SPSSN!I27+IBA!I27+CTT!I27+ÚVT!I27+CJV!I27+CZS!I27+RMU!I27</f>
        <v>0</v>
      </c>
      <c r="W27" s="930">
        <f>'CEITEC MU'!J27+'CEITEC-CŘS'!J27+SKM!J27+SUKB!J29+UCT!J27+SPSSN!J27+IBA!J27+CTT!J27+ÚVT!J27+CJV!J27+CZS!J27+RMU!J27</f>
        <v>0</v>
      </c>
      <c r="X27" s="930">
        <f>'CEITEC MU'!K27+'CEITEC-CŘS'!K27+SKM!K27+SUKB!K29+UCT!K27+SPSSN!K27+IBA!K27+CTT!K27+ÚVT!K27+CJV!K27+CZS!K27+RMU!K27</f>
        <v>83</v>
      </c>
      <c r="Y27" s="925">
        <f>'CEITEC MU'!L27+'CEITEC-CŘS'!L27+SKM!L27+SUKB!L29+UCT!L27+SPSSN!L27+IBA!L27+CTT!L27+ÚVT!L27+CJV!L27+CZS!L27+RMU!L27</f>
        <v>0</v>
      </c>
      <c r="Z27" s="96">
        <f t="shared" si="5"/>
        <v>72851</v>
      </c>
      <c r="AA27" s="519">
        <f>ostatni!Q27</f>
        <v>83181.68289</v>
      </c>
      <c r="AB27" s="239"/>
      <c r="AC27" s="239"/>
    </row>
    <row r="28" spans="1:29" ht="13.5" thickBot="1">
      <c r="A28" s="37" t="s">
        <v>49</v>
      </c>
      <c r="B28" s="38"/>
      <c r="C28" s="38"/>
      <c r="D28" s="38"/>
      <c r="E28" s="171">
        <v>26</v>
      </c>
      <c r="F28" s="916">
        <f aca="true" t="shared" si="6" ref="F28:Y28">SUM(F29:F45)</f>
        <v>140775</v>
      </c>
      <c r="G28" s="916">
        <f t="shared" si="6"/>
        <v>34356</v>
      </c>
      <c r="H28" s="916">
        <f t="shared" si="6"/>
        <v>214873</v>
      </c>
      <c r="I28" s="916">
        <f t="shared" si="6"/>
        <v>113958</v>
      </c>
      <c r="J28" s="916">
        <f t="shared" si="6"/>
        <v>12552</v>
      </c>
      <c r="K28" s="916">
        <f t="shared" si="6"/>
        <v>30840</v>
      </c>
      <c r="L28" s="916">
        <f t="shared" si="6"/>
        <v>90104</v>
      </c>
      <c r="M28" s="916">
        <f t="shared" si="6"/>
        <v>4869</v>
      </c>
      <c r="N28" s="916">
        <f t="shared" si="6"/>
        <v>215413</v>
      </c>
      <c r="O28" s="916">
        <f t="shared" si="6"/>
        <v>34815</v>
      </c>
      <c r="P28" s="916">
        <f t="shared" si="6"/>
        <v>113595</v>
      </c>
      <c r="Q28" s="916">
        <f t="shared" si="6"/>
        <v>386094</v>
      </c>
      <c r="R28" s="471">
        <f>SUM(R29:R45)</f>
        <v>1392244</v>
      </c>
      <c r="S28" s="197">
        <f t="shared" si="6"/>
        <v>0</v>
      </c>
      <c r="T28" s="249">
        <f t="shared" si="6"/>
        <v>1297925</v>
      </c>
      <c r="U28" s="249">
        <f t="shared" si="6"/>
        <v>11208</v>
      </c>
      <c r="V28" s="249">
        <f t="shared" si="6"/>
        <v>81069</v>
      </c>
      <c r="W28" s="249">
        <f t="shared" si="6"/>
        <v>37</v>
      </c>
      <c r="X28" s="249">
        <f t="shared" si="6"/>
        <v>1995</v>
      </c>
      <c r="Y28" s="249">
        <f t="shared" si="6"/>
        <v>10</v>
      </c>
      <c r="Z28" s="921">
        <f t="shared" si="5"/>
        <v>1392244</v>
      </c>
      <c r="AA28" s="588">
        <f>ostatni!Q28</f>
        <v>1331910.62989</v>
      </c>
      <c r="AB28" s="239"/>
      <c r="AC28" s="239"/>
    </row>
    <row r="29" spans="1:29" s="25" customFormat="1" ht="12">
      <c r="A29" s="21" t="s">
        <v>14</v>
      </c>
      <c r="B29" s="27" t="s">
        <v>50</v>
      </c>
      <c r="C29" s="27"/>
      <c r="D29" s="27"/>
      <c r="E29" s="168">
        <v>27</v>
      </c>
      <c r="F29" s="931">
        <f>'CEITEC MU'!F29</f>
        <v>0</v>
      </c>
      <c r="G29" s="931">
        <f>'CEITEC-CŘS'!F29</f>
        <v>0</v>
      </c>
      <c r="H29" s="530">
        <f>SKM!F29</f>
        <v>0</v>
      </c>
      <c r="I29" s="844">
        <f>SUKB!F31</f>
        <v>0</v>
      </c>
      <c r="J29" s="844">
        <f>UCT!F29</f>
        <v>8417</v>
      </c>
      <c r="K29" s="844">
        <f>SPSSN!F29</f>
        <v>3221</v>
      </c>
      <c r="L29" s="844">
        <f>IBA!F29</f>
        <v>0</v>
      </c>
      <c r="M29" s="844">
        <f>CTT!F29</f>
        <v>3500</v>
      </c>
      <c r="N29" s="844">
        <f>ÚVT!F29</f>
        <v>128441</v>
      </c>
      <c r="O29" s="844">
        <f>CJV!F29</f>
        <v>28141</v>
      </c>
      <c r="P29" s="844">
        <f>CZS!F29</f>
        <v>8173</v>
      </c>
      <c r="Q29" s="932">
        <f>RMU!F29</f>
        <v>180091</v>
      </c>
      <c r="R29" s="937">
        <f t="shared" si="4"/>
        <v>359984</v>
      </c>
      <c r="S29" s="922"/>
      <c r="T29" s="945">
        <f>'CEITEC MU'!G29+'CEITEC-CŘS'!G29+SKM!G29+SUKB!G31+UCT!G29+SPSSN!G29+IBA!G29+CTT!G29+ÚVT!G29+CJV!G29+CZS!G29+RMU!G29</f>
        <v>359984</v>
      </c>
      <c r="U29" s="925">
        <f>'CEITEC MU'!H29+'CEITEC-CŘS'!H29+SKM!H29+SUKB!H31+UCT!H29+SPSSN!H29+IBA!H29+CTT!H29+ÚVT!H29+CJV!H29+CZS!H29+RMU!H29</f>
        <v>0</v>
      </c>
      <c r="V29" s="930">
        <f>'CEITEC MU'!I29+'CEITEC-CŘS'!I29+SKM!I29+SUKB!I31+UCT!I29+SPSSN!I29+IBA!I29+CTT!I29+ÚVT!I29+CJV!I29+CZS!I29+RMU!I29</f>
        <v>0</v>
      </c>
      <c r="W29" s="930">
        <f>'CEITEC MU'!J29+'CEITEC-CŘS'!J29+SKM!J29+SUKB!J31+UCT!J29+SPSSN!J29+IBA!J29+CTT!J29+ÚVT!J29+CJV!J29+CZS!J29+RMU!J29</f>
        <v>0</v>
      </c>
      <c r="X29" s="930">
        <f>'CEITEC MU'!K29+'CEITEC-CŘS'!K29+SKM!K29+SUKB!K31+UCT!K29+SPSSN!K29+IBA!K29+CTT!K29+ÚVT!K29+CJV!K29+CZS!K29+RMU!K29</f>
        <v>0</v>
      </c>
      <c r="Y29" s="925">
        <f>'CEITEC MU'!L29+'CEITEC-CŘS'!L29+SKM!L29+SUKB!L31+UCT!L29+SPSSN!L29+IBA!L29+CTT!L29+ÚVT!L29+CJV!L29+CZS!L29+RMU!L29</f>
        <v>0</v>
      </c>
      <c r="Z29" s="96">
        <f t="shared" si="5"/>
        <v>359984</v>
      </c>
      <c r="AA29" s="519">
        <f>ostatni!Q29</f>
        <v>461403</v>
      </c>
      <c r="AB29" s="239"/>
      <c r="AC29" s="239"/>
    </row>
    <row r="30" spans="1:29" s="25" customFormat="1" ht="12">
      <c r="A30" s="21"/>
      <c r="B30" s="30" t="s">
        <v>28</v>
      </c>
      <c r="C30" s="30"/>
      <c r="D30" s="30"/>
      <c r="E30" s="168">
        <v>28</v>
      </c>
      <c r="F30" s="931">
        <f>'CEITEC MU'!F30</f>
        <v>0</v>
      </c>
      <c r="G30" s="931">
        <f>'CEITEC-CŘS'!F30</f>
        <v>0</v>
      </c>
      <c r="H30" s="530">
        <f>SKM!F30</f>
        <v>0</v>
      </c>
      <c r="I30" s="844">
        <f>SUKB!F32</f>
        <v>0</v>
      </c>
      <c r="J30" s="844">
        <f>UCT!F30</f>
        <v>0</v>
      </c>
      <c r="K30" s="844">
        <f>SPSSN!F30</f>
        <v>0</v>
      </c>
      <c r="L30" s="844">
        <f>IBA!F30</f>
        <v>0</v>
      </c>
      <c r="M30" s="844">
        <f>CTT!F30</f>
        <v>0</v>
      </c>
      <c r="N30" s="844">
        <f>ÚVT!F30</f>
        <v>0</v>
      </c>
      <c r="O30" s="844">
        <f>CJV!F30</f>
        <v>0</v>
      </c>
      <c r="P30" s="844">
        <f>CZS!F30</f>
        <v>0</v>
      </c>
      <c r="Q30" s="932">
        <f>RMU!F30</f>
        <v>0</v>
      </c>
      <c r="R30" s="490">
        <f t="shared" si="4"/>
        <v>0</v>
      </c>
      <c r="S30" s="530"/>
      <c r="T30" s="945">
        <f>'CEITEC MU'!G30+'CEITEC-CŘS'!G30+SKM!G30+SUKB!G32+UCT!G30+SPSSN!G30+IBA!G30+CTT!G30+ÚVT!G30+CJV!G30+CZS!G30+RMU!G30</f>
        <v>0</v>
      </c>
      <c r="U30" s="925">
        <f>'CEITEC MU'!H30+'CEITEC-CŘS'!H30+SKM!H30+SUKB!H32+UCT!H30+SPSSN!H30+IBA!H30+CTT!H30+ÚVT!H30+CJV!H30+CZS!H30+RMU!H30</f>
        <v>0</v>
      </c>
      <c r="V30" s="930">
        <f>'CEITEC MU'!I30+'CEITEC-CŘS'!I30+SKM!I30+SUKB!I32+UCT!I30+SPSSN!I30+IBA!I30+CTT!I30+ÚVT!I30+CJV!I30+CZS!I30+RMU!I30</f>
        <v>0</v>
      </c>
      <c r="W30" s="930">
        <f>'CEITEC MU'!J30+'CEITEC-CŘS'!J30+SKM!J30+SUKB!J32+UCT!J30+SPSSN!J30+IBA!J30+CTT!J30+ÚVT!J30+CJV!J30+CZS!J30+RMU!J30</f>
        <v>0</v>
      </c>
      <c r="X30" s="930">
        <f>'CEITEC MU'!K30+'CEITEC-CŘS'!K30+SKM!K30+SUKB!K32+UCT!K30+SPSSN!K30+IBA!K30+CTT!K30+ÚVT!K30+CJV!K30+CZS!K30+RMU!K30</f>
        <v>0</v>
      </c>
      <c r="Y30" s="925">
        <f>'CEITEC MU'!L30+'CEITEC-CŘS'!L30+SKM!L30+SUKB!L32+UCT!L30+SPSSN!L30+IBA!L30+CTT!L30+ÚVT!L30+CJV!L30+CZS!L30+RMU!L30</f>
        <v>0</v>
      </c>
      <c r="Z30" s="96">
        <f t="shared" si="5"/>
        <v>0</v>
      </c>
      <c r="AA30" s="519">
        <f>ostatni!Q30</f>
        <v>0</v>
      </c>
      <c r="AB30" s="239"/>
      <c r="AC30" s="239"/>
    </row>
    <row r="31" spans="1:29" s="25" customFormat="1" ht="12">
      <c r="A31" s="21"/>
      <c r="B31" s="30" t="s">
        <v>30</v>
      </c>
      <c r="C31" s="30"/>
      <c r="D31" s="30"/>
      <c r="E31" s="168">
        <v>29</v>
      </c>
      <c r="F31" s="931">
        <f>'CEITEC MU'!F31</f>
        <v>0</v>
      </c>
      <c r="G31" s="931">
        <f>'CEITEC-CŘS'!F31</f>
        <v>0</v>
      </c>
      <c r="H31" s="530">
        <f>SKM!F31</f>
        <v>0</v>
      </c>
      <c r="I31" s="844">
        <f>SUKB!F33</f>
        <v>0</v>
      </c>
      <c r="J31" s="844">
        <f>UCT!F31</f>
        <v>0</v>
      </c>
      <c r="K31" s="844">
        <f>SPSSN!F31</f>
        <v>0</v>
      </c>
      <c r="L31" s="844">
        <f>IBA!F31</f>
        <v>0</v>
      </c>
      <c r="M31" s="844">
        <f>CTT!F31</f>
        <v>0</v>
      </c>
      <c r="N31" s="844">
        <f>ÚVT!F31</f>
        <v>0</v>
      </c>
      <c r="O31" s="844">
        <f>CJV!F31</f>
        <v>0</v>
      </c>
      <c r="P31" s="844">
        <f>CZS!F31</f>
        <v>37000</v>
      </c>
      <c r="Q31" s="932">
        <f>RMU!F31</f>
        <v>0</v>
      </c>
      <c r="R31" s="490">
        <f t="shared" si="4"/>
        <v>37000</v>
      </c>
      <c r="S31" s="530"/>
      <c r="T31" s="945">
        <f>'CEITEC MU'!G31+'CEITEC-CŘS'!G31+SKM!G31+SUKB!G33+UCT!G31+SPSSN!G31+IBA!G31+CTT!G31+ÚVT!G31+CJV!G31+CZS!G31+RMU!G31</f>
        <v>35461</v>
      </c>
      <c r="U31" s="925">
        <f>'CEITEC MU'!H31+'CEITEC-CŘS'!H31+SKM!H31+SUKB!H33+UCT!H31+SPSSN!H31+IBA!H31+CTT!H31+ÚVT!H31+CJV!H31+CZS!H31+RMU!H31</f>
        <v>0</v>
      </c>
      <c r="V31" s="930">
        <f>'CEITEC MU'!I31+'CEITEC-CŘS'!I31+SKM!I31+SUKB!I33+UCT!I31+SPSSN!I31+IBA!I31+CTT!I31+ÚVT!I31+CJV!I31+CZS!I31+RMU!I31</f>
        <v>1539</v>
      </c>
      <c r="W31" s="930">
        <f>'CEITEC MU'!J31+'CEITEC-CŘS'!J31+SKM!J31+SUKB!J33+UCT!J31+SPSSN!J31+IBA!J31+CTT!J31+ÚVT!J31+CJV!J31+CZS!J31+RMU!J31</f>
        <v>0</v>
      </c>
      <c r="X31" s="930">
        <f>'CEITEC MU'!K31+'CEITEC-CŘS'!K31+SKM!K31+SUKB!K33+UCT!K31+SPSSN!K31+IBA!K31+CTT!K31+ÚVT!K31+CJV!K31+CZS!K31+RMU!K31</f>
        <v>0</v>
      </c>
      <c r="Y31" s="925">
        <f>'CEITEC MU'!L31+'CEITEC-CŘS'!L31+SKM!L31+SUKB!L33+UCT!L31+SPSSN!L31+IBA!L31+CTT!L31+ÚVT!L31+CJV!L31+CZS!L31+RMU!L31</f>
        <v>0</v>
      </c>
      <c r="Z31" s="96">
        <f t="shared" si="5"/>
        <v>37000</v>
      </c>
      <c r="AA31" s="519">
        <f>ostatni!Q31</f>
        <v>38972.036</v>
      </c>
      <c r="AB31" s="239"/>
      <c r="AC31" s="239"/>
    </row>
    <row r="32" spans="1:29" s="25" customFormat="1" ht="12">
      <c r="A32" s="21"/>
      <c r="B32" s="31" t="s">
        <v>32</v>
      </c>
      <c r="C32" s="32"/>
      <c r="D32" s="32"/>
      <c r="E32" s="169">
        <v>30</v>
      </c>
      <c r="F32" s="931">
        <f>'CEITEC MU'!F32</f>
        <v>0</v>
      </c>
      <c r="G32" s="931">
        <f>'CEITEC-CŘS'!F32</f>
        <v>0</v>
      </c>
      <c r="H32" s="530">
        <f>SKM!F32</f>
        <v>0</v>
      </c>
      <c r="I32" s="844">
        <f>SUKB!F34</f>
        <v>0</v>
      </c>
      <c r="J32" s="844">
        <f>UCT!F32</f>
        <v>0</v>
      </c>
      <c r="K32" s="844">
        <f>SPSSN!F32</f>
        <v>21505</v>
      </c>
      <c r="L32" s="844">
        <f>IBA!F32</f>
        <v>0</v>
      </c>
      <c r="M32" s="844">
        <f>CTT!F32</f>
        <v>0</v>
      </c>
      <c r="N32" s="844">
        <f>ÚVT!F32</f>
        <v>16382</v>
      </c>
      <c r="O32" s="844">
        <f>CJV!F32</f>
        <v>324</v>
      </c>
      <c r="P32" s="844">
        <f>CZS!F32</f>
        <v>11050</v>
      </c>
      <c r="Q32" s="932">
        <f>RMU!F32</f>
        <v>41693</v>
      </c>
      <c r="R32" s="490">
        <f t="shared" si="4"/>
        <v>90954</v>
      </c>
      <c r="S32" s="530"/>
      <c r="T32" s="945">
        <f>'CEITEC MU'!G32+'CEITEC-CŘS'!G32+SKM!G32+SUKB!G34+UCT!G32+SPSSN!G32+IBA!G32+CTT!G32+ÚVT!G32+CJV!G32+CZS!G32+RMU!G32</f>
        <v>90954</v>
      </c>
      <c r="U32" s="925">
        <f>'CEITEC MU'!H32+'CEITEC-CŘS'!H32+SKM!H32+SUKB!H34+UCT!H32+SPSSN!H32+IBA!H32+CTT!H32+ÚVT!H32+CJV!H32+CZS!H32+RMU!H32</f>
        <v>0</v>
      </c>
      <c r="V32" s="930">
        <f>'CEITEC MU'!I32+'CEITEC-CŘS'!I32+SKM!I32+SUKB!I34+UCT!I32+SPSSN!I32+IBA!I32+CTT!I32+ÚVT!I32+CJV!I32+CZS!I32+RMU!I32</f>
        <v>0</v>
      </c>
      <c r="W32" s="930">
        <f>'CEITEC MU'!J32+'CEITEC-CŘS'!J32+SKM!J32+SUKB!J34+UCT!J32+SPSSN!J32+IBA!J32+CTT!J32+ÚVT!J32+CJV!J32+CZS!J32+RMU!J32</f>
        <v>0</v>
      </c>
      <c r="X32" s="930">
        <f>'CEITEC MU'!K32+'CEITEC-CŘS'!K32+SKM!K32+SUKB!K34+UCT!K32+SPSSN!K32+IBA!K32+CTT!K32+ÚVT!K32+CJV!K32+CZS!K32+RMU!K32</f>
        <v>0</v>
      </c>
      <c r="Y32" s="925">
        <f>'CEITEC MU'!L32+'CEITEC-CŘS'!L32+SKM!L32+SUKB!L34+UCT!L32+SPSSN!L32+IBA!L32+CTT!L32+ÚVT!L32+CJV!L32+CZS!L32+RMU!L32</f>
        <v>0</v>
      </c>
      <c r="Z32" s="96">
        <f t="shared" si="5"/>
        <v>90954</v>
      </c>
      <c r="AA32" s="519">
        <f>ostatni!Q32</f>
        <v>62950</v>
      </c>
      <c r="AB32" s="239"/>
      <c r="AC32" s="239"/>
    </row>
    <row r="33" spans="1:29" s="25" customFormat="1" ht="12">
      <c r="A33" s="21"/>
      <c r="B33" s="31" t="s">
        <v>34</v>
      </c>
      <c r="C33" s="31"/>
      <c r="D33" s="31"/>
      <c r="E33" s="169">
        <v>31</v>
      </c>
      <c r="F33" s="931">
        <f>'CEITEC MU'!F33</f>
        <v>0</v>
      </c>
      <c r="G33" s="931">
        <f>'CEITEC-CŘS'!F33</f>
        <v>0</v>
      </c>
      <c r="H33" s="530">
        <f>SKM!F33</f>
        <v>0</v>
      </c>
      <c r="I33" s="844">
        <f>SUKB!F35</f>
        <v>0</v>
      </c>
      <c r="J33" s="844">
        <f>UCT!F33</f>
        <v>0</v>
      </c>
      <c r="K33" s="844">
        <f>SPSSN!F33</f>
        <v>0</v>
      </c>
      <c r="L33" s="844">
        <f>IBA!F33</f>
        <v>0</v>
      </c>
      <c r="M33" s="844">
        <f>CTT!F33</f>
        <v>0</v>
      </c>
      <c r="N33" s="844">
        <f>ÚVT!F33</f>
        <v>0</v>
      </c>
      <c r="O33" s="844">
        <f>CJV!F33</f>
        <v>0</v>
      </c>
      <c r="P33" s="844">
        <f>CZS!F33</f>
        <v>0</v>
      </c>
      <c r="Q33" s="932">
        <f>RMU!F33</f>
        <v>0</v>
      </c>
      <c r="R33" s="490">
        <f t="shared" si="4"/>
        <v>0</v>
      </c>
      <c r="S33" s="530"/>
      <c r="T33" s="945">
        <f>'CEITEC MU'!G33+'CEITEC-CŘS'!G33+SKM!G33+SUKB!G35+UCT!G33+SPSSN!G33+IBA!G33+CTT!G33+ÚVT!G33+CJV!G33+CZS!G33+RMU!G33</f>
        <v>0</v>
      </c>
      <c r="U33" s="925">
        <f>'CEITEC MU'!H33+'CEITEC-CŘS'!H33+SKM!H33+SUKB!H35+UCT!H33+SPSSN!H33+IBA!H33+CTT!H33+ÚVT!H33+CJV!H33+CZS!H33+RMU!H33</f>
        <v>0</v>
      </c>
      <c r="V33" s="930">
        <f>'CEITEC MU'!I33+'CEITEC-CŘS'!I33+SKM!I33+SUKB!I35+UCT!I33+SPSSN!I33+IBA!I33+CTT!I33+ÚVT!I33+CJV!I33+CZS!I33+RMU!I33</f>
        <v>0</v>
      </c>
      <c r="W33" s="930">
        <f>'CEITEC MU'!J33+'CEITEC-CŘS'!J33+SKM!J33+SUKB!J35+UCT!J33+SPSSN!J33+IBA!J33+CTT!J33+ÚVT!J33+CJV!J33+CZS!J33+RMU!J33</f>
        <v>0</v>
      </c>
      <c r="X33" s="930">
        <f>'CEITEC MU'!K33+'CEITEC-CŘS'!K33+SKM!K33+SUKB!K35+UCT!K33+SPSSN!K33+IBA!K33+CTT!K33+ÚVT!K33+CJV!K33+CZS!K33+RMU!K33</f>
        <v>0</v>
      </c>
      <c r="Y33" s="925">
        <f>'CEITEC MU'!L33+'CEITEC-CŘS'!L33+SKM!L33+SUKB!L35+UCT!L33+SPSSN!L33+IBA!L33+CTT!L33+ÚVT!L33+CJV!L33+CZS!L33+RMU!L33</f>
        <v>0</v>
      </c>
      <c r="Z33" s="96">
        <f t="shared" si="5"/>
        <v>0</v>
      </c>
      <c r="AA33" s="519">
        <f>ostatni!Q33</f>
        <v>485</v>
      </c>
      <c r="AB33" s="239"/>
      <c r="AC33" s="239"/>
    </row>
    <row r="34" spans="1:29" s="25" customFormat="1" ht="12">
      <c r="A34" s="21"/>
      <c r="B34" s="31" t="s">
        <v>52</v>
      </c>
      <c r="C34" s="31"/>
      <c r="D34" s="31"/>
      <c r="E34" s="169">
        <v>32</v>
      </c>
      <c r="F34" s="931">
        <f>'CEITEC MU'!F34</f>
        <v>0</v>
      </c>
      <c r="G34" s="931">
        <f>'CEITEC-CŘS'!F34</f>
        <v>0</v>
      </c>
      <c r="H34" s="530">
        <f>SKM!F34</f>
        <v>28133</v>
      </c>
      <c r="I34" s="844">
        <f>SUKB!F36</f>
        <v>0</v>
      </c>
      <c r="J34" s="844">
        <f>UCT!F34</f>
        <v>0</v>
      </c>
      <c r="K34" s="844">
        <f>SPSSN!F34</f>
        <v>0</v>
      </c>
      <c r="L34" s="844">
        <f>IBA!F34</f>
        <v>0</v>
      </c>
      <c r="M34" s="844">
        <f>CTT!F34</f>
        <v>0</v>
      </c>
      <c r="N34" s="844">
        <f>ÚVT!F34</f>
        <v>0</v>
      </c>
      <c r="O34" s="844">
        <f>CJV!F34</f>
        <v>0</v>
      </c>
      <c r="P34" s="844">
        <f>CZS!F34</f>
        <v>0</v>
      </c>
      <c r="Q34" s="932">
        <f>RMU!F34</f>
        <v>112334</v>
      </c>
      <c r="R34" s="490">
        <f t="shared" si="4"/>
        <v>140467</v>
      </c>
      <c r="S34" s="530"/>
      <c r="T34" s="945">
        <f>'CEITEC MU'!G34+'CEITEC-CŘS'!G34+SKM!G34+SUKB!G36+UCT!G34+SPSSN!G34+IBA!G34+CTT!G34+ÚVT!G34+CJV!G34+CZS!G34+RMU!G34</f>
        <v>140467</v>
      </c>
      <c r="U34" s="925">
        <f>'CEITEC MU'!H34+'CEITEC-CŘS'!H34+SKM!H34+SUKB!H36+UCT!H34+SPSSN!H34+IBA!H34+CTT!H34+ÚVT!H34+CJV!H34+CZS!H34+RMU!H34</f>
        <v>0</v>
      </c>
      <c r="V34" s="930">
        <f>'CEITEC MU'!I34+'CEITEC-CŘS'!I34+SKM!I34+SUKB!I36+UCT!I34+SPSSN!I34+IBA!I34+CTT!I34+ÚVT!I34+CJV!I34+CZS!I34+RMU!I34</f>
        <v>0</v>
      </c>
      <c r="W34" s="930">
        <f>'CEITEC MU'!J34+'CEITEC-CŘS'!J34+SKM!J34+SUKB!J36+UCT!J34+SPSSN!J34+IBA!J34+CTT!J34+ÚVT!J34+CJV!J34+CZS!J34+RMU!J34</f>
        <v>0</v>
      </c>
      <c r="X34" s="930">
        <f>'CEITEC MU'!K34+'CEITEC-CŘS'!K34+SKM!K34+SUKB!K36+UCT!K34+SPSSN!K34+IBA!K34+CTT!K34+ÚVT!K34+CJV!K34+CZS!K34+RMU!K34</f>
        <v>0</v>
      </c>
      <c r="Y34" s="925">
        <f>'CEITEC MU'!L34+'CEITEC-CŘS'!L34+SKM!L34+SUKB!L36+UCT!L34+SPSSN!L34+IBA!L34+CTT!L34+ÚVT!L34+CJV!L34+CZS!L34+RMU!L34</f>
        <v>0</v>
      </c>
      <c r="Z34" s="96">
        <f t="shared" si="5"/>
        <v>140467</v>
      </c>
      <c r="AA34" s="519">
        <f>ostatni!Q34</f>
        <v>152660.173</v>
      </c>
      <c r="AB34" s="239"/>
      <c r="AC34" s="239"/>
    </row>
    <row r="35" spans="1:29" s="25" customFormat="1" ht="12">
      <c r="A35" s="21"/>
      <c r="B35" s="31" t="s">
        <v>36</v>
      </c>
      <c r="C35" s="31"/>
      <c r="D35" s="31"/>
      <c r="E35" s="169">
        <v>33</v>
      </c>
      <c r="F35" s="931">
        <f>'CEITEC MU'!F35</f>
        <v>4280</v>
      </c>
      <c r="G35" s="931">
        <f>'CEITEC-CŘS'!F35</f>
        <v>0</v>
      </c>
      <c r="H35" s="530">
        <f>SKM!F35</f>
        <v>0</v>
      </c>
      <c r="I35" s="844">
        <f>SUKB!F37</f>
        <v>0</v>
      </c>
      <c r="J35" s="844">
        <f>UCT!F35</f>
        <v>0</v>
      </c>
      <c r="K35" s="844">
        <f>SPSSN!F35</f>
        <v>0</v>
      </c>
      <c r="L35" s="844">
        <f>IBA!F35</f>
        <v>0</v>
      </c>
      <c r="M35" s="844">
        <f>CTT!F35</f>
        <v>0</v>
      </c>
      <c r="N35" s="844">
        <f>ÚVT!F35</f>
        <v>5800</v>
      </c>
      <c r="O35" s="844">
        <f>CJV!F35</f>
        <v>0</v>
      </c>
      <c r="P35" s="844">
        <f>CZS!F35</f>
        <v>0</v>
      </c>
      <c r="Q35" s="932">
        <f>RMU!F35</f>
        <v>0</v>
      </c>
      <c r="R35" s="490">
        <f t="shared" si="4"/>
        <v>10080</v>
      </c>
      <c r="S35" s="530"/>
      <c r="T35" s="945">
        <f>'CEITEC MU'!G35+'CEITEC-CŘS'!G35+SKM!G35+SUKB!G37+UCT!G35+SPSSN!G35+IBA!G35+CTT!G35+ÚVT!G35+CJV!G35+CZS!G35+RMU!G35</f>
        <v>10080</v>
      </c>
      <c r="U35" s="925">
        <f>'CEITEC MU'!H35+'CEITEC-CŘS'!H35+SKM!H35+SUKB!H37+UCT!H35+SPSSN!H35+IBA!H35+CTT!H35+ÚVT!H35+CJV!H35+CZS!H35+RMU!H35</f>
        <v>0</v>
      </c>
      <c r="V35" s="930">
        <f>'CEITEC MU'!I35+'CEITEC-CŘS'!I35+SKM!I35+SUKB!I37+UCT!I35+SPSSN!I35+IBA!I35+CTT!I35+ÚVT!I35+CJV!I35+CZS!I35+RMU!I35</f>
        <v>0</v>
      </c>
      <c r="W35" s="930">
        <f>'CEITEC MU'!J35+'CEITEC-CŘS'!J35+SKM!J35+SUKB!J37+UCT!J35+SPSSN!J35+IBA!J35+CTT!J35+ÚVT!J35+CJV!J35+CZS!J35+RMU!J35</f>
        <v>0</v>
      </c>
      <c r="X35" s="930">
        <f>'CEITEC MU'!K35+'CEITEC-CŘS'!K35+SKM!K35+SUKB!K37+UCT!K35+SPSSN!K35+IBA!K35+CTT!K35+ÚVT!K35+CJV!K35+CZS!K35+RMU!K35</f>
        <v>0</v>
      </c>
      <c r="Y35" s="925">
        <f>'CEITEC MU'!L35+'CEITEC-CŘS'!L35+SKM!L35+SUKB!L37+UCT!L35+SPSSN!L35+IBA!L35+CTT!L35+ÚVT!L35+CJV!L35+CZS!L35+RMU!L35</f>
        <v>0</v>
      </c>
      <c r="Z35" s="96">
        <f t="shared" si="5"/>
        <v>10080</v>
      </c>
      <c r="AA35" s="519">
        <f>ostatni!Q35</f>
        <v>9689.25454</v>
      </c>
      <c r="AB35" s="239"/>
      <c r="AC35" s="239"/>
    </row>
    <row r="36" spans="1:29" s="25" customFormat="1" ht="12">
      <c r="A36" s="21"/>
      <c r="B36" s="31" t="s">
        <v>175</v>
      </c>
      <c r="C36" s="31"/>
      <c r="D36" s="31"/>
      <c r="E36" s="169">
        <v>34</v>
      </c>
      <c r="F36" s="931">
        <f>'CEITEC MU'!F36</f>
        <v>0</v>
      </c>
      <c r="G36" s="931">
        <f>'CEITEC-CŘS'!F36</f>
        <v>2662</v>
      </c>
      <c r="H36" s="530">
        <f>SKM!F36</f>
        <v>0</v>
      </c>
      <c r="I36" s="844">
        <f>SUKB!F38</f>
        <v>0</v>
      </c>
      <c r="J36" s="844">
        <f>UCT!F36</f>
        <v>0</v>
      </c>
      <c r="K36" s="844">
        <f>SPSSN!F36</f>
        <v>4500</v>
      </c>
      <c r="L36" s="844">
        <f>IBA!F36</f>
        <v>18307</v>
      </c>
      <c r="M36" s="844">
        <f>CTT!F36</f>
        <v>0</v>
      </c>
      <c r="N36" s="844">
        <f>ÚVT!F36</f>
        <v>5500</v>
      </c>
      <c r="O36" s="844">
        <f>CJV!F36</f>
        <v>5262</v>
      </c>
      <c r="P36" s="844">
        <f>CZS!F36</f>
        <v>0</v>
      </c>
      <c r="Q36" s="932">
        <f>RMU!F36</f>
        <v>17018</v>
      </c>
      <c r="R36" s="490">
        <f t="shared" si="4"/>
        <v>53249</v>
      </c>
      <c r="S36" s="530"/>
      <c r="T36" s="945">
        <f>'CEITEC MU'!G36+'CEITEC-CŘS'!G36+SKM!G36+SUKB!G38+UCT!G36+SPSSN!G36+IBA!G36+CTT!G36+ÚVT!G36+CJV!G36+CZS!G36+RMU!G36</f>
        <v>53249</v>
      </c>
      <c r="U36" s="925">
        <f>'CEITEC MU'!H36+'CEITEC-CŘS'!H36+SKM!H36+SUKB!H38+UCT!H36+SPSSN!H36+IBA!H36+CTT!H36+ÚVT!H36+CJV!H36+CZS!H36+RMU!H36</f>
        <v>0</v>
      </c>
      <c r="V36" s="930">
        <f>'CEITEC MU'!I36+'CEITEC-CŘS'!I36+SKM!I36+SUKB!I38+UCT!I36+SPSSN!I36+IBA!I36+CTT!I36+ÚVT!I36+CJV!I36+CZS!I36+RMU!I36</f>
        <v>0</v>
      </c>
      <c r="W36" s="930">
        <f>'CEITEC MU'!J36+'CEITEC-CŘS'!J36+SKM!J36+SUKB!J38+UCT!J36+SPSSN!J36+IBA!J36+CTT!J36+ÚVT!J36+CJV!J36+CZS!J36+RMU!J36</f>
        <v>0</v>
      </c>
      <c r="X36" s="930">
        <f>'CEITEC MU'!K36+'CEITEC-CŘS'!K36+SKM!K36+SUKB!K38+UCT!K36+SPSSN!K36+IBA!K36+CTT!K36+ÚVT!K36+CJV!K36+CZS!K36+RMU!K36</f>
        <v>0</v>
      </c>
      <c r="Y36" s="925">
        <f>'CEITEC MU'!L36+'CEITEC-CŘS'!L36+SKM!L36+SUKB!L38+UCT!L36+SPSSN!L36+IBA!L36+CTT!L36+ÚVT!L36+CJV!L36+CZS!L36+RMU!L36</f>
        <v>0</v>
      </c>
      <c r="Z36" s="96">
        <f t="shared" si="5"/>
        <v>53249</v>
      </c>
      <c r="AA36" s="519">
        <f>ostatni!Q36</f>
        <v>38361.738450000004</v>
      </c>
      <c r="AB36" s="239"/>
      <c r="AC36" s="239"/>
    </row>
    <row r="37" spans="1:29" s="25" customFormat="1" ht="12">
      <c r="A37" s="21"/>
      <c r="B37" s="31" t="s">
        <v>54</v>
      </c>
      <c r="C37" s="31"/>
      <c r="D37" s="31"/>
      <c r="E37" s="169">
        <v>35</v>
      </c>
      <c r="F37" s="931">
        <f>'CEITEC MU'!F37</f>
        <v>0</v>
      </c>
      <c r="G37" s="931">
        <f>'CEITEC-CŘS'!F37</f>
        <v>0</v>
      </c>
      <c r="H37" s="530">
        <f>SKM!F37</f>
        <v>0</v>
      </c>
      <c r="I37" s="844">
        <f>SUKB!F39</f>
        <v>0</v>
      </c>
      <c r="J37" s="844">
        <f>UCT!F37</f>
        <v>0</v>
      </c>
      <c r="K37" s="844">
        <f>SPSSN!F37</f>
        <v>0</v>
      </c>
      <c r="L37" s="844">
        <f>IBA!F37</f>
        <v>0</v>
      </c>
      <c r="M37" s="844">
        <f>CTT!F37</f>
        <v>507</v>
      </c>
      <c r="N37" s="844">
        <f>ÚVT!F37</f>
        <v>0</v>
      </c>
      <c r="O37" s="844">
        <f>CJV!F37</f>
        <v>562</v>
      </c>
      <c r="P37" s="844">
        <f>CZS!F37</f>
        <v>50000</v>
      </c>
      <c r="Q37" s="932">
        <f>RMU!F37</f>
        <v>2591</v>
      </c>
      <c r="R37" s="490">
        <f t="shared" si="4"/>
        <v>53660</v>
      </c>
      <c r="S37" s="530"/>
      <c r="T37" s="945">
        <f>'CEITEC MU'!G37+'CEITEC-CŘS'!G37+SKM!G37+SUKB!G39+UCT!G37+SPSSN!G37+IBA!G37+CTT!G37+ÚVT!G37+CJV!G37+CZS!G37+RMU!G37</f>
        <v>24936</v>
      </c>
      <c r="U37" s="925">
        <f>'CEITEC MU'!H37+'CEITEC-CŘS'!H37+SKM!H37+SUKB!H39+UCT!H37+SPSSN!H37+IBA!H37+CTT!H37+ÚVT!H37+CJV!H37+CZS!H37+RMU!H37</f>
        <v>0</v>
      </c>
      <c r="V37" s="930">
        <f>'CEITEC MU'!I37+'CEITEC-CŘS'!I37+SKM!I37+SUKB!I39+UCT!I37+SPSSN!I37+IBA!I37+CTT!I37+ÚVT!I37+CJV!I37+CZS!I37+RMU!I37</f>
        <v>28724</v>
      </c>
      <c r="W37" s="930">
        <f>'CEITEC MU'!J37+'CEITEC-CŘS'!J37+SKM!J37+SUKB!J39+UCT!J37+SPSSN!J37+IBA!J37+CTT!J37+ÚVT!J37+CJV!J37+CZS!J37+RMU!J37</f>
        <v>0</v>
      </c>
      <c r="X37" s="930">
        <f>'CEITEC MU'!K37+'CEITEC-CŘS'!K37+SKM!K37+SUKB!K39+UCT!K37+SPSSN!K37+IBA!K37+CTT!K37+ÚVT!K37+CJV!K37+CZS!K37+RMU!K37</f>
        <v>0</v>
      </c>
      <c r="Y37" s="925">
        <f>'CEITEC MU'!L37+'CEITEC-CŘS'!L37+SKM!L37+SUKB!L39+UCT!L37+SPSSN!L37+IBA!L37+CTT!L37+ÚVT!L37+CJV!L37+CZS!L37+RMU!L37</f>
        <v>0</v>
      </c>
      <c r="Z37" s="96">
        <f t="shared" si="5"/>
        <v>53660</v>
      </c>
      <c r="AA37" s="519">
        <f>ostatni!Q37</f>
        <v>58525.174</v>
      </c>
      <c r="AB37" s="239"/>
      <c r="AC37" s="239"/>
    </row>
    <row r="38" spans="1:29" s="25" customFormat="1" ht="12">
      <c r="A38" s="21"/>
      <c r="B38" s="31" t="s">
        <v>170</v>
      </c>
      <c r="C38" s="31"/>
      <c r="D38" s="31"/>
      <c r="E38" s="169">
        <v>36</v>
      </c>
      <c r="F38" s="1024">
        <f>'CEITEC MU'!F38</f>
        <v>0</v>
      </c>
      <c r="G38" s="931">
        <f>'CEITEC-CŘS'!F38</f>
        <v>0</v>
      </c>
      <c r="H38" s="530">
        <f>SKM!F38</f>
        <v>0</v>
      </c>
      <c r="I38" s="844">
        <f>SUKB!F40</f>
        <v>0</v>
      </c>
      <c r="J38" s="844">
        <f>UCT!F38</f>
        <v>0</v>
      </c>
      <c r="K38" s="844">
        <f>SPSSN!F38</f>
        <v>0</v>
      </c>
      <c r="L38" s="844">
        <f>IBA!F38</f>
        <v>0</v>
      </c>
      <c r="M38" s="844">
        <f>CTT!F38</f>
        <v>0</v>
      </c>
      <c r="N38" s="844">
        <f>ÚVT!F38</f>
        <v>200</v>
      </c>
      <c r="O38" s="844">
        <f>CJV!F38</f>
        <v>0</v>
      </c>
      <c r="P38" s="844">
        <f>CZS!F38</f>
        <v>0</v>
      </c>
      <c r="Q38" s="932">
        <f>RMU!F38</f>
        <v>312</v>
      </c>
      <c r="R38" s="490">
        <f t="shared" si="4"/>
        <v>512</v>
      </c>
      <c r="S38" s="530"/>
      <c r="T38" s="945">
        <f>'CEITEC MU'!G38+'CEITEC-CŘS'!G38+SKM!G38+SUKB!G40+UCT!G38+SPSSN!G38+IBA!G38+CTT!G38+ÚVT!G38+CJV!G38+CZS!G38+RMU!G38</f>
        <v>512</v>
      </c>
      <c r="U38" s="925">
        <f>'CEITEC MU'!H38+'CEITEC-CŘS'!H38+SKM!H38+SUKB!H40+UCT!H38+SPSSN!H38+IBA!H38+CTT!H38+ÚVT!H38+CJV!H38+CZS!H38+RMU!H38</f>
        <v>0</v>
      </c>
      <c r="V38" s="930">
        <f>'CEITEC MU'!I38+'CEITEC-CŘS'!I38+SKM!I38+SUKB!I40+UCT!I38+SPSSN!I38+IBA!I38+CTT!I38+ÚVT!I38+CJV!I38+CZS!I38+RMU!I38</f>
        <v>0</v>
      </c>
      <c r="W38" s="930">
        <f>'CEITEC MU'!J38+'CEITEC-CŘS'!J38+SKM!J38+SUKB!J40+UCT!J38+SPSSN!J38+IBA!J38+CTT!J38+ÚVT!J38+CJV!J38+CZS!J38+RMU!J38</f>
        <v>0</v>
      </c>
      <c r="X38" s="930">
        <f>'CEITEC MU'!K38+'CEITEC-CŘS'!K38+SKM!K38+SUKB!K40+UCT!K38+SPSSN!K38+IBA!K38+CTT!K38+ÚVT!K38+CJV!K38+CZS!K38+RMU!K38</f>
        <v>0</v>
      </c>
      <c r="Y38" s="925">
        <f>'CEITEC MU'!L38+'CEITEC-CŘS'!L38+SKM!L38+SUKB!L40+UCT!L38+SPSSN!L38+IBA!L38+CTT!L38+ÚVT!L38+CJV!L38+CZS!L38+RMU!L38</f>
        <v>0</v>
      </c>
      <c r="Z38" s="96">
        <f t="shared" si="5"/>
        <v>512</v>
      </c>
      <c r="AA38" s="519">
        <f>ostatni!Q38</f>
        <v>746</v>
      </c>
      <c r="AB38" s="239"/>
      <c r="AC38" s="239"/>
    </row>
    <row r="39" spans="1:29" s="25" customFormat="1" ht="12">
      <c r="A39" s="21"/>
      <c r="B39" s="31" t="s">
        <v>56</v>
      </c>
      <c r="C39" s="31"/>
      <c r="D39" s="31"/>
      <c r="E39" s="169">
        <v>37</v>
      </c>
      <c r="F39" s="931">
        <f>'CEITEC MU'!F39</f>
        <v>30315</v>
      </c>
      <c r="G39" s="931">
        <f>'CEITEC-CŘS'!F39</f>
        <v>0</v>
      </c>
      <c r="H39" s="530">
        <f>SKM!F39</f>
        <v>0</v>
      </c>
      <c r="I39" s="844">
        <f>SUKB!F41</f>
        <v>0</v>
      </c>
      <c r="J39" s="844">
        <f>UCT!F39</f>
        <v>0</v>
      </c>
      <c r="K39" s="844">
        <f>SPSSN!F39</f>
        <v>0</v>
      </c>
      <c r="L39" s="844">
        <f>IBA!F39</f>
        <v>0</v>
      </c>
      <c r="M39" s="844">
        <f>CTT!F39</f>
        <v>0</v>
      </c>
      <c r="N39" s="844">
        <f>ÚVT!F39</f>
        <v>0</v>
      </c>
      <c r="O39" s="844">
        <f>CJV!F39</f>
        <v>0</v>
      </c>
      <c r="P39" s="844">
        <f>CZS!F39</f>
        <v>0</v>
      </c>
      <c r="Q39" s="932">
        <f>RMU!F39</f>
        <v>0</v>
      </c>
      <c r="R39" s="490">
        <f t="shared" si="4"/>
        <v>30315</v>
      </c>
      <c r="S39" s="530"/>
      <c r="T39" s="945">
        <f>'CEITEC MU'!G39+'CEITEC-CŘS'!G39+SKM!G39+SUKB!G41+UCT!G39+SPSSN!G39+IBA!G39+CTT!G39+ÚVT!G39+CJV!G39+CZS!G39+RMU!G39</f>
        <v>30315</v>
      </c>
      <c r="U39" s="925">
        <f>'CEITEC MU'!H39+'CEITEC-CŘS'!H39+SKM!H39+SUKB!H41+UCT!H39+SPSSN!H39+IBA!H39+CTT!H39+ÚVT!H39+CJV!H39+CZS!H39+RMU!H39</f>
        <v>0</v>
      </c>
      <c r="V39" s="930">
        <f>'CEITEC MU'!I39+'CEITEC-CŘS'!I39+SKM!I39+SUKB!I41+UCT!I39+SPSSN!I39+IBA!I39+CTT!I39+ÚVT!I39+CJV!I39+CZS!I39+RMU!I39</f>
        <v>0</v>
      </c>
      <c r="W39" s="930">
        <f>'CEITEC MU'!J39+'CEITEC-CŘS'!J39+SKM!J39+SUKB!J41+UCT!J39+SPSSN!J39+IBA!J39+CTT!J39+ÚVT!J39+CJV!J39+CZS!J39+RMU!J39</f>
        <v>0</v>
      </c>
      <c r="X39" s="930">
        <f>'CEITEC MU'!K39+'CEITEC-CŘS'!K39+SKM!K39+SUKB!K41+UCT!K39+SPSSN!K39+IBA!K39+CTT!K39+ÚVT!K39+CJV!K39+CZS!K39+RMU!K39</f>
        <v>0</v>
      </c>
      <c r="Y39" s="925">
        <f>'CEITEC MU'!L39+'CEITEC-CŘS'!L39+SKM!L39+SUKB!L41+UCT!L39+SPSSN!L39+IBA!L39+CTT!L39+ÚVT!L39+CJV!L39+CZS!L39+RMU!L39</f>
        <v>0</v>
      </c>
      <c r="Z39" s="96">
        <f t="shared" si="5"/>
        <v>30315</v>
      </c>
      <c r="AA39" s="519">
        <f>ostatni!Q39</f>
        <v>930.95</v>
      </c>
      <c r="AB39" s="239"/>
      <c r="AC39" s="239"/>
    </row>
    <row r="40" spans="1:29" s="25" customFormat="1" ht="12">
      <c r="A40" s="21"/>
      <c r="B40" s="31" t="s">
        <v>57</v>
      </c>
      <c r="C40" s="31"/>
      <c r="D40" s="31"/>
      <c r="E40" s="169">
        <v>38</v>
      </c>
      <c r="F40" s="931">
        <f>'CEITEC MU'!F40</f>
        <v>36809</v>
      </c>
      <c r="G40" s="931">
        <f>'CEITEC-CŘS'!F40</f>
        <v>0</v>
      </c>
      <c r="H40" s="530">
        <f>SKM!F40</f>
        <v>0</v>
      </c>
      <c r="I40" s="844">
        <f>SUKB!F42</f>
        <v>0</v>
      </c>
      <c r="J40" s="844">
        <f>UCT!F40</f>
        <v>0</v>
      </c>
      <c r="K40" s="844">
        <f>SPSSN!F40</f>
        <v>0</v>
      </c>
      <c r="L40" s="844">
        <f>IBA!F40</f>
        <v>908</v>
      </c>
      <c r="M40" s="844">
        <f>CTT!F40</f>
        <v>0</v>
      </c>
      <c r="N40" s="844">
        <f>ÚVT!F40</f>
        <v>3029</v>
      </c>
      <c r="O40" s="844">
        <f>CJV!F40</f>
        <v>0</v>
      </c>
      <c r="P40" s="844">
        <f>CZS!F40</f>
        <v>0</v>
      </c>
      <c r="Q40" s="932">
        <f>RMU!F40</f>
        <v>1890</v>
      </c>
      <c r="R40" s="490">
        <f t="shared" si="4"/>
        <v>42636</v>
      </c>
      <c r="S40" s="530"/>
      <c r="T40" s="945">
        <f>'CEITEC MU'!G40+'CEITEC-CŘS'!G40+SKM!G40+SUKB!G42+UCT!G40+SPSSN!G40+IBA!G40+CTT!G40+ÚVT!G40+CJV!G40+CZS!G40+RMU!G40</f>
        <v>42150</v>
      </c>
      <c r="U40" s="925">
        <f>'CEITEC MU'!H40+'CEITEC-CŘS'!H40+SKM!H40+SUKB!H42+UCT!H40+SPSSN!H40+IBA!H40+CTT!H40+ÚVT!H40+CJV!H40+CZS!H40+RMU!H40</f>
        <v>0</v>
      </c>
      <c r="V40" s="930">
        <f>'CEITEC MU'!I40+'CEITEC-CŘS'!I40+SKM!I40+SUKB!I42+UCT!I40+SPSSN!I40+IBA!I40+CTT!I40+ÚVT!I40+CJV!I40+CZS!I40+RMU!I40</f>
        <v>486</v>
      </c>
      <c r="W40" s="930">
        <f>'CEITEC MU'!J40+'CEITEC-CŘS'!J40+SKM!J40+SUKB!J42+UCT!J40+SPSSN!J40+IBA!J40+CTT!J40+ÚVT!J40+CJV!J40+CZS!J40+RMU!J40</f>
        <v>0</v>
      </c>
      <c r="X40" s="930">
        <f>'CEITEC MU'!K40+'CEITEC-CŘS'!K40+SKM!K40+SUKB!K42+UCT!K40+SPSSN!K40+IBA!K40+CTT!K40+ÚVT!K40+CJV!K40+CZS!K40+RMU!K40</f>
        <v>0</v>
      </c>
      <c r="Y40" s="925">
        <f>'CEITEC MU'!L40+'CEITEC-CŘS'!L40+SKM!L40+SUKB!L42+UCT!L40+SPSSN!L40+IBA!L40+CTT!L40+ÚVT!L40+CJV!L40+CZS!L40+RMU!L40</f>
        <v>0</v>
      </c>
      <c r="Z40" s="96">
        <f t="shared" si="5"/>
        <v>42636</v>
      </c>
      <c r="AA40" s="519">
        <f>ostatni!Q40</f>
        <v>6253</v>
      </c>
      <c r="AB40" s="239"/>
      <c r="AC40" s="239"/>
    </row>
    <row r="41" spans="1:29" s="25" customFormat="1" ht="12">
      <c r="A41" s="21"/>
      <c r="B41" s="31" t="s">
        <v>186</v>
      </c>
      <c r="C41" s="31"/>
      <c r="D41" s="31"/>
      <c r="E41" s="169">
        <v>39</v>
      </c>
      <c r="F41" s="931">
        <f>'CEITEC MU'!F41</f>
        <v>61328</v>
      </c>
      <c r="G41" s="931">
        <f>'CEITEC-CŘS'!F41</f>
        <v>30514</v>
      </c>
      <c r="H41" s="530">
        <f>SKM!F41</f>
        <v>0</v>
      </c>
      <c r="I41" s="844">
        <f>SUKB!F43</f>
        <v>0</v>
      </c>
      <c r="J41" s="844">
        <f>UCT!F41</f>
        <v>0</v>
      </c>
      <c r="K41" s="844">
        <f>SPSSN!F41</f>
        <v>0</v>
      </c>
      <c r="L41" s="844">
        <f>IBA!F41</f>
        <v>2590</v>
      </c>
      <c r="M41" s="844">
        <f>CTT!F41</f>
        <v>0</v>
      </c>
      <c r="N41" s="844">
        <f>ÚVT!F41</f>
        <v>457</v>
      </c>
      <c r="O41" s="844">
        <f>CJV!F41</f>
        <v>0</v>
      </c>
      <c r="P41" s="844">
        <f>CZS!F41</f>
        <v>0</v>
      </c>
      <c r="Q41" s="932">
        <f>RMU!F41</f>
        <v>0</v>
      </c>
      <c r="R41" s="490">
        <f t="shared" si="4"/>
        <v>94889</v>
      </c>
      <c r="S41" s="530"/>
      <c r="T41" s="945">
        <f>'CEITEC MU'!G41+'CEITEC-CŘS'!G41+SKM!G41+SUKB!G43+UCT!G41+SPSSN!G41+IBA!G41+CTT!G41+ÚVT!G41+CJV!G41+CZS!G41+RMU!G41</f>
        <v>82984</v>
      </c>
      <c r="U41" s="925">
        <f>'CEITEC MU'!H41+'CEITEC-CŘS'!H41+SKM!H41+SUKB!H43+UCT!H41+SPSSN!H41+IBA!H41+CTT!H41+ÚVT!H41+CJV!H41+CZS!H41+RMU!H41</f>
        <v>0</v>
      </c>
      <c r="V41" s="930">
        <f>'CEITEC MU'!I41+'CEITEC-CŘS'!I41+SKM!I41+SUKB!I43+UCT!I41+SPSSN!I41+IBA!I41+CTT!I41+ÚVT!I41+CJV!I41+CZS!I41+RMU!I41</f>
        <v>11905</v>
      </c>
      <c r="W41" s="930">
        <f>'CEITEC MU'!J41+'CEITEC-CŘS'!J41+SKM!J41+SUKB!J43+UCT!J41+SPSSN!J41+IBA!J41+CTT!J41+ÚVT!J41+CJV!J41+CZS!J41+RMU!J41</f>
        <v>0</v>
      </c>
      <c r="X41" s="930">
        <f>'CEITEC MU'!K41+'CEITEC-CŘS'!K41+SKM!K41+SUKB!K43+UCT!K41+SPSSN!K41+IBA!K41+CTT!K41+ÚVT!K41+CJV!K41+CZS!K41+RMU!K41</f>
        <v>0</v>
      </c>
      <c r="Y41" s="925">
        <f>'CEITEC MU'!L41+'CEITEC-CŘS'!L41+SKM!L41+SUKB!L43+UCT!L41+SPSSN!L41+IBA!L41+CTT!L41+ÚVT!L41+CJV!L41+CZS!L41+RMU!L41</f>
        <v>0</v>
      </c>
      <c r="Z41" s="96">
        <f t="shared" si="5"/>
        <v>94889</v>
      </c>
      <c r="AA41" s="519">
        <f>ostatni!Q41</f>
        <v>16705</v>
      </c>
      <c r="AB41" s="239"/>
      <c r="AC41" s="239"/>
    </row>
    <row r="42" spans="1:29" s="25" customFormat="1" ht="12">
      <c r="A42" s="21"/>
      <c r="B42" s="31" t="s">
        <v>58</v>
      </c>
      <c r="C42" s="31"/>
      <c r="D42" s="31"/>
      <c r="E42" s="169">
        <v>40</v>
      </c>
      <c r="F42" s="931">
        <f>'CEITEC MU'!F42</f>
        <v>5553</v>
      </c>
      <c r="G42" s="931">
        <f>'CEITEC-CŘS'!F42</f>
        <v>0</v>
      </c>
      <c r="H42" s="530">
        <f>SKM!F42</f>
        <v>0</v>
      </c>
      <c r="I42" s="844">
        <f>SUKB!F44</f>
        <v>0</v>
      </c>
      <c r="J42" s="844">
        <f>UCT!F42</f>
        <v>0</v>
      </c>
      <c r="K42" s="844">
        <f>SPSSN!F42</f>
        <v>0</v>
      </c>
      <c r="L42" s="844">
        <f>IBA!F42</f>
        <v>0</v>
      </c>
      <c r="M42" s="844">
        <f>CTT!F42</f>
        <v>0</v>
      </c>
      <c r="N42" s="844">
        <f>ÚVT!F42</f>
        <v>0</v>
      </c>
      <c r="O42" s="844">
        <f>CJV!F42</f>
        <v>0</v>
      </c>
      <c r="P42" s="844">
        <f>CZS!F42</f>
        <v>0</v>
      </c>
      <c r="Q42" s="932">
        <f>RMU!F42</f>
        <v>0</v>
      </c>
      <c r="R42" s="490">
        <f t="shared" si="4"/>
        <v>5553</v>
      </c>
      <c r="S42" s="530"/>
      <c r="T42" s="945">
        <f>'CEITEC MU'!G42+'CEITEC-CŘS'!G42+SKM!G42+SUKB!G44+UCT!G42+SPSSN!G42+IBA!G42+CTT!G42+ÚVT!G42+CJV!G42+CZS!G42+RMU!G42</f>
        <v>5553</v>
      </c>
      <c r="U42" s="925">
        <f>'CEITEC MU'!H42+'CEITEC-CŘS'!H42+SKM!H42+SUKB!H44+UCT!H42+SPSSN!H42+IBA!H42+CTT!H42+ÚVT!H42+CJV!H42+CZS!H42+RMU!H42</f>
        <v>0</v>
      </c>
      <c r="V42" s="930">
        <f>'CEITEC MU'!I42+'CEITEC-CŘS'!I42+SKM!I42+SUKB!I44+UCT!I42+SPSSN!I42+IBA!I42+CTT!I42+ÚVT!I42+CJV!I42+CZS!I42+RMU!I42</f>
        <v>0</v>
      </c>
      <c r="W42" s="930">
        <f>'CEITEC MU'!J42+'CEITEC-CŘS'!J42+SKM!J42+SUKB!J44+UCT!J42+SPSSN!J42+IBA!J42+CTT!J42+ÚVT!J42+CJV!J42+CZS!J42+RMU!J42</f>
        <v>0</v>
      </c>
      <c r="X42" s="930">
        <f>'CEITEC MU'!K42+'CEITEC-CŘS'!K42+SKM!K42+SUKB!K44+UCT!K42+SPSSN!K42+IBA!K42+CTT!K42+ÚVT!K42+CJV!K42+CZS!K42+RMU!K42</f>
        <v>0</v>
      </c>
      <c r="Y42" s="925">
        <f>'CEITEC MU'!L42+'CEITEC-CŘS'!L42+SKM!L42+SUKB!L44+UCT!L42+SPSSN!L42+IBA!L42+CTT!L42+ÚVT!L42+CJV!L42+CZS!L42+RMU!L42</f>
        <v>0</v>
      </c>
      <c r="Z42" s="96">
        <f t="shared" si="5"/>
        <v>5553</v>
      </c>
      <c r="AA42" s="519">
        <f>ostatni!Q42</f>
        <v>3033</v>
      </c>
      <c r="AB42" s="239"/>
      <c r="AC42" s="239"/>
    </row>
    <row r="43" spans="1:29" s="25" customFormat="1" ht="12">
      <c r="A43" s="21"/>
      <c r="B43" s="31" t="s">
        <v>59</v>
      </c>
      <c r="C43" s="31"/>
      <c r="D43" s="31"/>
      <c r="E43" s="169">
        <v>41</v>
      </c>
      <c r="F43" s="931">
        <f>'CEITEC MU'!F43</f>
        <v>1520</v>
      </c>
      <c r="G43" s="931">
        <f>'CEITEC-CŘS'!F43</f>
        <v>1180</v>
      </c>
      <c r="H43" s="530">
        <f>SKM!F43</f>
        <v>142429</v>
      </c>
      <c r="I43" s="844">
        <f>SUKB!F45</f>
        <v>113958</v>
      </c>
      <c r="J43" s="844">
        <f>UCT!F43</f>
        <v>600</v>
      </c>
      <c r="K43" s="844">
        <f>SPSSN!F43</f>
        <v>559</v>
      </c>
      <c r="L43" s="844">
        <f>IBA!F43</f>
        <v>398</v>
      </c>
      <c r="M43" s="844">
        <f>CTT!F43</f>
        <v>22</v>
      </c>
      <c r="N43" s="844">
        <f>ÚVT!F43</f>
        <v>41336</v>
      </c>
      <c r="O43" s="844">
        <f>CJV!F43</f>
        <v>178</v>
      </c>
      <c r="P43" s="844">
        <f>CZS!F43</f>
        <v>6590</v>
      </c>
      <c r="Q43" s="932">
        <f>RMU!F43</f>
        <v>28225</v>
      </c>
      <c r="R43" s="490">
        <f t="shared" si="4"/>
        <v>336995</v>
      </c>
      <c r="S43" s="530"/>
      <c r="T43" s="945">
        <f>'CEITEC MU'!G43+'CEITEC-CŘS'!G43+SKM!G43+SUKB!G45+UCT!G43+SPSSN!G43+IBA!G43+CTT!G43+ÚVT!G43+CJV!G43+CZS!G43+RMU!G43</f>
        <v>336295</v>
      </c>
      <c r="U43" s="925">
        <f>'CEITEC MU'!H43+'CEITEC-CŘS'!H43+SKM!H43+SUKB!H45+UCT!H43+SPSSN!H43+IBA!H43+CTT!H43+ÚVT!H43+CJV!H43+CZS!H43+RMU!H43</f>
        <v>0</v>
      </c>
      <c r="V43" s="930">
        <f>'CEITEC MU'!I43+'CEITEC-CŘS'!I43+SKM!I43+SUKB!I45+UCT!I43+SPSSN!I43+IBA!I43+CTT!I43+ÚVT!I43+CJV!I43+CZS!I43+RMU!I43</f>
        <v>700</v>
      </c>
      <c r="W43" s="930">
        <f>'CEITEC MU'!J43+'CEITEC-CŘS'!J43+SKM!J43+SUKB!J45+UCT!J43+SPSSN!J43+IBA!J43+CTT!J43+ÚVT!J43+CJV!J43+CZS!J43+RMU!J43</f>
        <v>0</v>
      </c>
      <c r="X43" s="930">
        <f>'CEITEC MU'!K43+'CEITEC-CŘS'!K43+SKM!K43+SUKB!K45+UCT!K43+SPSSN!K43+IBA!K43+CTT!K43+ÚVT!K43+CJV!K43+CZS!K43+RMU!K43</f>
        <v>0</v>
      </c>
      <c r="Y43" s="925">
        <f>'CEITEC MU'!L43+'CEITEC-CŘS'!L43+SKM!L43+SUKB!L45+UCT!L43+SPSSN!L43+IBA!L43+CTT!L43+ÚVT!L43+CJV!L43+CZS!L43+RMU!L43</f>
        <v>0</v>
      </c>
      <c r="Z43" s="96">
        <f t="shared" si="5"/>
        <v>336995</v>
      </c>
      <c r="AA43" s="519">
        <f>ostatni!Q43</f>
        <v>362311.28283000004</v>
      </c>
      <c r="AB43" s="239"/>
      <c r="AC43" s="239"/>
    </row>
    <row r="44" spans="1:29" s="25" customFormat="1" ht="12">
      <c r="A44" s="21"/>
      <c r="B44" s="31" t="s">
        <v>60</v>
      </c>
      <c r="C44" s="31"/>
      <c r="D44" s="31"/>
      <c r="E44" s="169">
        <v>42</v>
      </c>
      <c r="F44" s="931">
        <f>'CEITEC MU'!F44</f>
        <v>0</v>
      </c>
      <c r="G44" s="931">
        <f>'CEITEC-CŘS'!F44</f>
        <v>0</v>
      </c>
      <c r="H44" s="530">
        <f>SKM!F44</f>
        <v>486</v>
      </c>
      <c r="I44" s="844">
        <f>SUKB!F46</f>
        <v>0</v>
      </c>
      <c r="J44" s="844">
        <f>UCT!F44</f>
        <v>3535</v>
      </c>
      <c r="K44" s="844">
        <f>SPSSN!F44</f>
        <v>1055</v>
      </c>
      <c r="L44" s="844">
        <f>IBA!F44</f>
        <v>37901</v>
      </c>
      <c r="M44" s="844">
        <f>CTT!F44</f>
        <v>840</v>
      </c>
      <c r="N44" s="844">
        <f>ÚVT!F44</f>
        <v>4768</v>
      </c>
      <c r="O44" s="844">
        <f>CJV!F44</f>
        <v>348</v>
      </c>
      <c r="P44" s="844">
        <f>CZS!F44</f>
        <v>782</v>
      </c>
      <c r="Q44" s="932">
        <f>RMU!F44</f>
        <v>1250</v>
      </c>
      <c r="R44" s="490">
        <f t="shared" si="4"/>
        <v>50965</v>
      </c>
      <c r="S44" s="530"/>
      <c r="T44" s="945">
        <f>'CEITEC MU'!G44+'CEITEC-CŘS'!G44+SKM!G44+SUKB!G46+UCT!G44+SPSSN!G44+IBA!G44+CTT!G44+ÚVT!G44+CJV!G44+CZS!G44+RMU!G44</f>
        <v>0</v>
      </c>
      <c r="U44" s="925">
        <f>'CEITEC MU'!H44+'CEITEC-CŘS'!H44+SKM!H44+SUKB!H46+UCT!H44+SPSSN!H44+IBA!H44+CTT!H44+ÚVT!H44+CJV!H44+CZS!H44+RMU!H44</f>
        <v>11208</v>
      </c>
      <c r="V44" s="930">
        <f>'CEITEC MU'!I44+'CEITEC-CŘS'!I44+SKM!I44+SUKB!I46+UCT!I44+SPSSN!I44+IBA!I44+CTT!I44+ÚVT!I44+CJV!I44+CZS!I44+RMU!I44</f>
        <v>37715</v>
      </c>
      <c r="W44" s="930">
        <f>'CEITEC MU'!J44+'CEITEC-CŘS'!J44+SKM!J44+SUKB!J46+UCT!J44+SPSSN!J44+IBA!J44+CTT!J44+ÚVT!J44+CJV!J44+CZS!J44+RMU!J44</f>
        <v>37</v>
      </c>
      <c r="X44" s="930">
        <f>'CEITEC MU'!K44+'CEITEC-CŘS'!K44+SKM!K44+SUKB!K46+UCT!K44+SPSSN!K44+IBA!K44+CTT!K44+ÚVT!K44+CJV!K44+CZS!K44+RMU!K44</f>
        <v>1995</v>
      </c>
      <c r="Y44" s="925">
        <f>'CEITEC MU'!L44+'CEITEC-CŘS'!L44+SKM!L44+SUKB!L46+UCT!L44+SPSSN!L44+IBA!L44+CTT!L44+ÚVT!L44+CJV!L44+CZS!L44+RMU!L44</f>
        <v>10</v>
      </c>
      <c r="Z44" s="96">
        <f t="shared" si="5"/>
        <v>50965</v>
      </c>
      <c r="AA44" s="519">
        <f>ostatni!Q44</f>
        <v>19926.89611</v>
      </c>
      <c r="AB44" s="239"/>
      <c r="AC44" s="239"/>
    </row>
    <row r="45" spans="1:29" s="25" customFormat="1" ht="12.75" thickBot="1">
      <c r="A45" s="40"/>
      <c r="B45" s="41" t="s">
        <v>47</v>
      </c>
      <c r="C45" s="41"/>
      <c r="D45" s="41"/>
      <c r="E45" s="170">
        <v>43</v>
      </c>
      <c r="F45" s="931">
        <f>'CEITEC MU'!F45</f>
        <v>970</v>
      </c>
      <c r="G45" s="931">
        <f>'CEITEC-CŘS'!F45</f>
        <v>0</v>
      </c>
      <c r="H45" s="925">
        <f>SKM!F45</f>
        <v>43825</v>
      </c>
      <c r="I45" s="844">
        <f>SUKB!F47</f>
        <v>0</v>
      </c>
      <c r="J45" s="844">
        <f>UCT!F45</f>
        <v>0</v>
      </c>
      <c r="K45" s="844">
        <f>SPSSN!F45</f>
        <v>0</v>
      </c>
      <c r="L45" s="844">
        <f>IBA!F45</f>
        <v>30000</v>
      </c>
      <c r="M45" s="844">
        <f>CTT!F45</f>
        <v>0</v>
      </c>
      <c r="N45" s="844">
        <f>ÚVT!F45</f>
        <v>9500</v>
      </c>
      <c r="O45" s="844">
        <f>CJV!F45</f>
        <v>0</v>
      </c>
      <c r="P45" s="844">
        <f>CZS!F45</f>
        <v>0</v>
      </c>
      <c r="Q45" s="932">
        <f>RMU!F45</f>
        <v>690</v>
      </c>
      <c r="R45" s="490">
        <f t="shared" si="4"/>
        <v>84985</v>
      </c>
      <c r="S45" s="934"/>
      <c r="T45" s="945">
        <f>'CEITEC MU'!G45+'CEITEC-CŘS'!G45+SKM!G45+SUKB!G47+UCT!G45+SPSSN!G45+IBA!G45+CTT!G45+ÚVT!G45+CJV!G45+CZS!G45+RMU!G45</f>
        <v>84985</v>
      </c>
      <c r="U45" s="925">
        <f>'CEITEC MU'!H45+'CEITEC-CŘS'!H45+SKM!H45+SUKB!H47+UCT!H45+SPSSN!H45+IBA!H45+CTT!H45+ÚVT!H45+CJV!H45+CZS!H45+RMU!H45</f>
        <v>0</v>
      </c>
      <c r="V45" s="930">
        <f>'CEITEC MU'!I45+'CEITEC-CŘS'!I45+SKM!I45+SUKB!I47+UCT!I45+SPSSN!I45+IBA!I45+CTT!I45+ÚVT!I45+CJV!I45+CZS!I45+RMU!I45</f>
        <v>0</v>
      </c>
      <c r="W45" s="930">
        <f>'CEITEC MU'!J45+'CEITEC-CŘS'!J45+SKM!J45+SUKB!J47+UCT!J45+SPSSN!J45+IBA!J45+CTT!J45+ÚVT!J45+CJV!J45+CZS!J45+RMU!J45</f>
        <v>0</v>
      </c>
      <c r="X45" s="930">
        <f>'CEITEC MU'!K45+'CEITEC-CŘS'!K45+SKM!K45+SUKB!K47+UCT!K45+SPSSN!K45+IBA!K45+CTT!K45+ÚVT!K45+CJV!K45+CZS!K45+RMU!K45</f>
        <v>0</v>
      </c>
      <c r="Y45" s="925">
        <f>'CEITEC MU'!L45+'CEITEC-CŘS'!L45+SKM!L45+SUKB!L47+UCT!L45+SPSSN!L45+IBA!L45+CTT!L45+ÚVT!L45+CJV!L45+CZS!L45+RMU!L45</f>
        <v>0</v>
      </c>
      <c r="Z45" s="96">
        <f t="shared" si="5"/>
        <v>84985</v>
      </c>
      <c r="AA45" s="519">
        <f>ostatni!Q45</f>
        <v>98958.12496</v>
      </c>
      <c r="AB45" s="239"/>
      <c r="AC45" s="239"/>
    </row>
    <row r="46" spans="1:29" s="25" customFormat="1" ht="12.75" hidden="1" thickBot="1">
      <c r="A46" s="44" t="s">
        <v>61</v>
      </c>
      <c r="B46" s="45"/>
      <c r="C46" s="45"/>
      <c r="D46" s="45"/>
      <c r="E46" s="168">
        <v>44</v>
      </c>
      <c r="F46" s="919"/>
      <c r="G46" s="918">
        <f>'CEITEC-CŘS'!F46</f>
        <v>0</v>
      </c>
      <c r="H46" s="935">
        <f>H29+H34+H38+H43+H44+H45-H4-H27</f>
        <v>2877</v>
      </c>
      <c r="I46" s="926">
        <f>SUKB!F48</f>
        <v>0</v>
      </c>
      <c r="J46" s="926">
        <f>UCT!F46</f>
        <v>200</v>
      </c>
      <c r="K46" s="926">
        <f>SPSSN!F46</f>
        <v>65</v>
      </c>
      <c r="L46" s="926">
        <f>IBA!F46</f>
        <v>1500</v>
      </c>
      <c r="M46" s="926"/>
      <c r="N46" s="926">
        <f>ÚVT!F46</f>
        <v>663</v>
      </c>
      <c r="O46" s="926">
        <f>CJV!F46</f>
        <v>80</v>
      </c>
      <c r="P46" s="926">
        <f>CZS!F46</f>
        <v>800</v>
      </c>
      <c r="Q46" s="927">
        <f>RMU!F46</f>
        <v>8421</v>
      </c>
      <c r="R46" s="492">
        <f>R29+R34+R38+R43+R44+R45-R4-R27</f>
        <v>14786</v>
      </c>
      <c r="S46" s="935">
        <f>S29+S34+S38+S43+S44+S45+-S4-S27</f>
        <v>0</v>
      </c>
      <c r="T46" s="946">
        <f>SKM!G46/1000+SUKB!G48/1000+UCT!G46/1000+SPSSN!G46/1000+IBA!G46/1000+ÚVT!G46/1000+CJV!G46/1000+CZS!G46/1000+RMU!G46/1000</f>
        <v>14.562999999999999</v>
      </c>
      <c r="U46" s="940">
        <f>SKM!H46/1000+SUKB!H48/1000+UCT!H46/1000+SPSSN!H46/1000+IBA!H46/1000+ÚVT!H46/1000+CJV!H46/1000+CZS!H46/1000+RMU!H46/1000</f>
        <v>0</v>
      </c>
      <c r="V46" s="936">
        <f>SKM!I46/1000+SUKB!I48/1000+UCT!I46/1000+SPSSN!I46/1000+IBA!I46/1000+ÚVT!I46/1000+CJV!I46/1000+CZS!I46/1000+RMU!I46/1000</f>
        <v>0.043</v>
      </c>
      <c r="W46" s="936">
        <f>SKM!J46/1000+SUKB!J48/1000+UCT!J46/1000+SPSSN!J46/1000+IBA!J46/1000+ÚVT!J46/1000+CJV!J46/1000+CZS!J46/1000+RMU!J46/1000</f>
        <v>0</v>
      </c>
      <c r="X46" s="936">
        <f>SKM!K46/1000+SUKB!K48/1000+UCT!K46/1000+SPSSN!K46/1000+IBA!K46/1000+ÚVT!K46/1000+CJV!K46/1000+CZS!K46/1000+RMU!K46/1000</f>
        <v>0</v>
      </c>
      <c r="Y46" s="936">
        <f>SKM!L46/1000+SUKB!L48/1000+UCT!L46/1000+SPSSN!L46/1000+IBA!L46/1000+ÚVT!L46/1000+CJV!L46/1000+CZS!L46/1000+RMU!L46/1000</f>
        <v>0</v>
      </c>
      <c r="Z46" s="928">
        <f>(SKM!N46+SUKB!N48+UCT!N46+SPSSN!N46+IBA!N46+ÚVT!N46+CJV!N46+CZS!N46+RMU!N46)/1000</f>
        <v>936.9220799999999</v>
      </c>
      <c r="AA46" s="859">
        <f>ostatni!Q46</f>
        <v>22084.65306000003</v>
      </c>
      <c r="AB46" s="239"/>
      <c r="AC46" s="239"/>
    </row>
    <row r="47" spans="1:29" ht="13.5" thickBot="1">
      <c r="A47" s="37" t="s">
        <v>62</v>
      </c>
      <c r="B47" s="38"/>
      <c r="C47" s="38"/>
      <c r="D47" s="38"/>
      <c r="E47" s="171">
        <v>45</v>
      </c>
      <c r="F47" s="916">
        <f aca="true" t="shared" si="7" ref="F47:R47">F28-F3</f>
        <v>180</v>
      </c>
      <c r="G47" s="916">
        <f t="shared" si="7"/>
        <v>0</v>
      </c>
      <c r="H47" s="479">
        <f t="shared" si="7"/>
        <v>2877</v>
      </c>
      <c r="I47" s="916">
        <f t="shared" si="7"/>
        <v>0</v>
      </c>
      <c r="J47" s="916">
        <f t="shared" si="7"/>
        <v>200</v>
      </c>
      <c r="K47" s="916">
        <f t="shared" si="7"/>
        <v>65</v>
      </c>
      <c r="L47" s="916">
        <f t="shared" si="7"/>
        <v>1500</v>
      </c>
      <c r="M47" s="916">
        <f t="shared" si="7"/>
        <v>0</v>
      </c>
      <c r="N47" s="916">
        <f t="shared" si="7"/>
        <v>620</v>
      </c>
      <c r="O47" s="916">
        <f t="shared" si="7"/>
        <v>80</v>
      </c>
      <c r="P47" s="916">
        <f t="shared" si="7"/>
        <v>800</v>
      </c>
      <c r="Q47" s="250">
        <f t="shared" si="7"/>
        <v>8421</v>
      </c>
      <c r="R47" s="471">
        <f t="shared" si="7"/>
        <v>14743</v>
      </c>
      <c r="S47" s="479">
        <f aca="true" t="shared" si="8" ref="S47:AA47">S28-S3</f>
        <v>0</v>
      </c>
      <c r="T47" s="943">
        <f t="shared" si="8"/>
        <v>14743</v>
      </c>
      <c r="U47" s="938">
        <f t="shared" si="8"/>
        <v>0</v>
      </c>
      <c r="V47" s="249">
        <f t="shared" si="8"/>
        <v>0</v>
      </c>
      <c r="W47" s="249">
        <f t="shared" si="8"/>
        <v>0</v>
      </c>
      <c r="X47" s="249">
        <f>X28-X3</f>
        <v>0</v>
      </c>
      <c r="Y47" s="479">
        <f t="shared" si="8"/>
        <v>0</v>
      </c>
      <c r="Z47" s="197">
        <f t="shared" si="8"/>
        <v>14743</v>
      </c>
      <c r="AA47" s="588">
        <f t="shared" si="8"/>
        <v>22134.653059999924</v>
      </c>
      <c r="AB47" s="239"/>
      <c r="AC47" s="239"/>
    </row>
    <row r="48" spans="1:7" ht="9" customHeight="1">
      <c r="A48" s="47"/>
      <c r="B48" s="47"/>
      <c r="C48" s="47"/>
      <c r="D48" s="47"/>
      <c r="E48" s="48"/>
      <c r="F48" s="48"/>
      <c r="G48" s="48"/>
    </row>
    <row r="49" spans="1:26" s="51" customFormat="1" ht="12.75">
      <c r="A49" s="1054" t="s">
        <v>90</v>
      </c>
      <c r="B49" s="1055"/>
      <c r="C49" s="1055"/>
      <c r="D49" s="1055"/>
      <c r="E49" s="1055"/>
      <c r="F49" s="1077"/>
      <c r="G49" s="1077"/>
      <c r="H49" s="51">
        <f>SKM!I50/1000</f>
        <v>0</v>
      </c>
      <c r="I49" s="51">
        <f>SUKB!I52/1000</f>
        <v>0</v>
      </c>
      <c r="J49" s="51">
        <f>UCT!I50/1000</f>
        <v>0</v>
      </c>
      <c r="K49" s="51">
        <f>SPSSN!I50/1000</f>
        <v>0</v>
      </c>
      <c r="L49" s="51">
        <f>IBA!I50/1000</f>
        <v>0</v>
      </c>
      <c r="N49" s="51">
        <f>ÚVT!I50/1000</f>
        <v>0</v>
      </c>
      <c r="O49" s="51">
        <f>CJV!I50/1000</f>
        <v>0</v>
      </c>
      <c r="P49" s="51">
        <f>CZS!I50</f>
        <v>0</v>
      </c>
      <c r="Q49" s="51">
        <f>RMU!I50/1000</f>
        <v>0</v>
      </c>
      <c r="R49" s="1078">
        <f>ostatni!I50/1000</f>
        <v>0</v>
      </c>
      <c r="Y49" s="1079"/>
      <c r="Z49" s="1079"/>
    </row>
    <row r="50" spans="1:29" s="47" customFormat="1" ht="12.75">
      <c r="A50" s="1055"/>
      <c r="B50" s="1055"/>
      <c r="C50" s="1055"/>
      <c r="D50" s="1055"/>
      <c r="E50" s="1055"/>
      <c r="F50" s="875"/>
      <c r="G50" s="875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493"/>
      <c r="T50" s="59"/>
      <c r="U50" s="59"/>
      <c r="V50" s="59"/>
      <c r="W50" s="59"/>
      <c r="X50" s="59"/>
      <c r="Y50" s="59"/>
      <c r="Z50" s="59"/>
      <c r="AA50" s="72"/>
      <c r="AB50" s="59"/>
      <c r="AC50" s="59"/>
    </row>
    <row r="51" spans="1:29" s="47" customFormat="1" ht="11.25" hidden="1">
      <c r="A51" s="51" t="s">
        <v>65</v>
      </c>
      <c r="E51" s="48"/>
      <c r="F51" s="48"/>
      <c r="G51" s="48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493"/>
      <c r="T51" s="59"/>
      <c r="U51" s="59"/>
      <c r="V51" s="59"/>
      <c r="W51" s="59"/>
      <c r="X51" s="59"/>
      <c r="Y51" s="59"/>
      <c r="Z51" s="59"/>
      <c r="AA51" s="72"/>
      <c r="AB51" s="59"/>
      <c r="AC51" s="59"/>
    </row>
    <row r="52" spans="1:29" s="47" customFormat="1" ht="11.25" hidden="1">
      <c r="A52" s="51" t="s">
        <v>66</v>
      </c>
      <c r="E52" s="48"/>
      <c r="F52" s="48"/>
      <c r="G52" s="48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493"/>
      <c r="T52" s="59"/>
      <c r="U52" s="59"/>
      <c r="V52" s="59"/>
      <c r="W52" s="59"/>
      <c r="X52" s="59"/>
      <c r="Y52" s="59"/>
      <c r="Z52" s="59"/>
      <c r="AA52" s="72"/>
      <c r="AB52" s="59"/>
      <c r="AC52" s="59"/>
    </row>
    <row r="53" spans="1:29" s="51" customFormat="1" ht="11.25" hidden="1">
      <c r="A53" s="51" t="s">
        <v>68</v>
      </c>
      <c r="E53" s="53"/>
      <c r="F53" s="53"/>
      <c r="G53" s="53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496"/>
      <c r="T53" s="72"/>
      <c r="U53" s="72"/>
      <c r="V53" s="72"/>
      <c r="W53" s="72"/>
      <c r="X53" s="72"/>
      <c r="Y53" s="72"/>
      <c r="Z53" s="72"/>
      <c r="AA53" s="72"/>
      <c r="AB53" s="59"/>
      <c r="AC53" s="59"/>
    </row>
    <row r="54" spans="1:29" s="51" customFormat="1" ht="11.25" hidden="1">
      <c r="A54" s="51" t="s">
        <v>69</v>
      </c>
      <c r="E54" s="53"/>
      <c r="F54" s="53"/>
      <c r="G54" s="53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496"/>
      <c r="T54" s="72"/>
      <c r="U54" s="72"/>
      <c r="V54" s="72"/>
      <c r="W54" s="72"/>
      <c r="X54" s="72"/>
      <c r="Y54" s="72"/>
      <c r="Z54" s="72"/>
      <c r="AA54" s="72"/>
      <c r="AB54" s="59"/>
      <c r="AC54" s="59"/>
    </row>
    <row r="55" spans="1:29" s="51" customFormat="1" ht="11.25" hidden="1">
      <c r="A55" s="51" t="s">
        <v>70</v>
      </c>
      <c r="E55" s="53"/>
      <c r="F55" s="53"/>
      <c r="G55" s="53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496"/>
      <c r="T55" s="72"/>
      <c r="U55" s="72"/>
      <c r="V55" s="72"/>
      <c r="W55" s="72"/>
      <c r="X55" s="72"/>
      <c r="Y55" s="72"/>
      <c r="Z55" s="72"/>
      <c r="AA55" s="72"/>
      <c r="AB55" s="59"/>
      <c r="AC55" s="59"/>
    </row>
    <row r="56" spans="1:29" s="47" customFormat="1" ht="11.25">
      <c r="A56" s="51"/>
      <c r="B56" s="51"/>
      <c r="C56" s="51"/>
      <c r="D56" s="51"/>
      <c r="E56" s="48"/>
      <c r="F56" s="48"/>
      <c r="G56" s="48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493"/>
      <c r="T56" s="59"/>
      <c r="U56" s="59"/>
      <c r="V56" s="59"/>
      <c r="W56" s="59"/>
      <c r="X56" s="59"/>
      <c r="Y56" s="59"/>
      <c r="Z56" s="59"/>
      <c r="AA56" s="72"/>
      <c r="AB56" s="59"/>
      <c r="AC56" s="59"/>
    </row>
    <row r="57" spans="1:27" s="59" customFormat="1" ht="11.25">
      <c r="A57" s="51"/>
      <c r="B57" s="51"/>
      <c r="C57" s="51"/>
      <c r="D57" s="51"/>
      <c r="E57" s="57"/>
      <c r="F57" s="57"/>
      <c r="G57" s="57"/>
      <c r="R57" s="493"/>
      <c r="AA57" s="72"/>
    </row>
    <row r="58" spans="1:27" s="59" customFormat="1" ht="11.25">
      <c r="A58" s="51"/>
      <c r="B58" s="51"/>
      <c r="C58" s="51"/>
      <c r="D58" s="51"/>
      <c r="E58" s="57"/>
      <c r="F58" s="57"/>
      <c r="G58" s="57"/>
      <c r="R58" s="493"/>
      <c r="AA58" s="72"/>
    </row>
    <row r="59" spans="1:27" s="59" customFormat="1" ht="11.25">
      <c r="A59" s="51"/>
      <c r="B59" s="51"/>
      <c r="C59" s="51"/>
      <c r="D59" s="51"/>
      <c r="E59" s="57"/>
      <c r="F59" s="57"/>
      <c r="G59" s="57"/>
      <c r="R59" s="493"/>
      <c r="AA59" s="72"/>
    </row>
  </sheetData>
  <mergeCells count="4">
    <mergeCell ref="A1:D1"/>
    <mergeCell ref="U1:Y1"/>
    <mergeCell ref="C2:D2"/>
    <mergeCell ref="A49:E50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workbookViewId="0" topLeftCell="A1">
      <pane ySplit="3" topLeftCell="BM46" activePane="bottomLeft" state="frozen"/>
      <selection pane="topLeft" activeCell="A34" sqref="A34"/>
      <selection pane="bottomLeft" activeCell="A34" sqref="A34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60" bestFit="1" customWidth="1"/>
    <col min="6" max="6" width="10.125" style="47" bestFit="1" customWidth="1"/>
    <col min="7" max="7" width="10.125" style="59" bestFit="1" customWidth="1"/>
    <col min="8" max="8" width="9.25390625" style="59" customWidth="1"/>
    <col min="9" max="9" width="8.00390625" style="59" customWidth="1"/>
    <col min="10" max="10" width="8.375" style="59" customWidth="1"/>
    <col min="11" max="11" width="8.00390625" style="59" customWidth="1"/>
    <col min="12" max="12" width="8.125" style="59" customWidth="1"/>
    <col min="13" max="13" width="10.25390625" style="59" hidden="1" customWidth="1"/>
    <col min="14" max="14" width="10.00390625" style="59" hidden="1" customWidth="1"/>
    <col min="15" max="15" width="7.875" style="253" hidden="1" customWidth="1"/>
    <col min="16" max="16" width="11.25390625" style="0" hidden="1" customWidth="1"/>
    <col min="17" max="17" width="10.125" style="0" bestFit="1" customWidth="1"/>
    <col min="18" max="18" width="6.875" style="255" customWidth="1"/>
    <col min="19" max="19" width="5.875" style="255" customWidth="1"/>
  </cols>
  <sheetData>
    <row r="1" spans="1:19" ht="15.75" customHeight="1">
      <c r="A1" s="1046" t="s">
        <v>236</v>
      </c>
      <c r="B1" s="1047"/>
      <c r="C1" s="1047"/>
      <c r="D1" s="1048"/>
      <c r="E1" s="1"/>
      <c r="F1" s="543" t="s">
        <v>0</v>
      </c>
      <c r="G1" s="606" t="s">
        <v>2</v>
      </c>
      <c r="H1" s="1050" t="s">
        <v>3</v>
      </c>
      <c r="I1" s="1050"/>
      <c r="J1" s="1050"/>
      <c r="K1" s="1050"/>
      <c r="L1" s="1051"/>
      <c r="M1" s="181" t="s">
        <v>1</v>
      </c>
      <c r="N1" s="538" t="s">
        <v>4</v>
      </c>
      <c r="O1" s="67" t="s">
        <v>144</v>
      </c>
      <c r="P1" s="67" t="s">
        <v>145</v>
      </c>
      <c r="Q1" s="67" t="s">
        <v>4</v>
      </c>
      <c r="R1" s="1056" t="s">
        <v>190</v>
      </c>
      <c r="S1" s="1057" t="s">
        <v>188</v>
      </c>
    </row>
    <row r="2" spans="1:19" s="16" customFormat="1" ht="13.5" thickBot="1">
      <c r="A2" s="298" t="s">
        <v>127</v>
      </c>
      <c r="B2" s="7"/>
      <c r="C2" s="1052" t="s">
        <v>73</v>
      </c>
      <c r="D2" s="1053"/>
      <c r="E2" s="9" t="s">
        <v>5</v>
      </c>
      <c r="F2" s="544">
        <v>2011</v>
      </c>
      <c r="G2" s="607" t="s">
        <v>8</v>
      </c>
      <c r="H2" s="69" t="s">
        <v>9</v>
      </c>
      <c r="I2" s="70" t="s">
        <v>10</v>
      </c>
      <c r="J2" s="303" t="s">
        <v>11</v>
      </c>
      <c r="K2" s="248" t="s">
        <v>126</v>
      </c>
      <c r="L2" s="68" t="s">
        <v>12</v>
      </c>
      <c r="M2" s="544" t="s">
        <v>7</v>
      </c>
      <c r="N2" s="539">
        <v>2011</v>
      </c>
      <c r="O2" s="71"/>
      <c r="P2" s="71"/>
      <c r="Q2" s="71">
        <v>2010</v>
      </c>
      <c r="R2" s="1056"/>
      <c r="S2" s="1057"/>
    </row>
    <row r="3" spans="1:17" ht="13.5" thickBot="1">
      <c r="A3" s="17" t="s">
        <v>13</v>
      </c>
      <c r="B3" s="18"/>
      <c r="C3" s="18"/>
      <c r="D3" s="18"/>
      <c r="E3" s="19">
        <v>1</v>
      </c>
      <c r="F3" s="197">
        <f>SUM(F5:F27)</f>
        <v>675224</v>
      </c>
      <c r="G3" s="597">
        <f aca="true" t="shared" si="0" ref="G3:N3">SUM(G5:G27)</f>
        <v>620984</v>
      </c>
      <c r="H3" s="125">
        <f t="shared" si="0"/>
        <v>43990</v>
      </c>
      <c r="I3" s="77">
        <f t="shared" si="0"/>
        <v>3650</v>
      </c>
      <c r="J3" s="304">
        <f t="shared" si="0"/>
        <v>0</v>
      </c>
      <c r="K3" s="77">
        <f t="shared" si="0"/>
        <v>4400</v>
      </c>
      <c r="L3" s="76">
        <f t="shared" si="0"/>
        <v>2200</v>
      </c>
      <c r="M3" s="197">
        <f>SUM(M5:M27)</f>
        <v>0</v>
      </c>
      <c r="N3" s="471">
        <f t="shared" si="0"/>
        <v>0</v>
      </c>
      <c r="O3" s="413">
        <f aca="true" t="shared" si="1" ref="O3:O19">IF(F3=0,0,N3/F3)</f>
        <v>0</v>
      </c>
      <c r="P3" s="78" t="e">
        <f>SUM(P5:P27)</f>
        <v>#DIV/0!</v>
      </c>
      <c r="Q3" s="78">
        <f>SUM(Q5:Q27)</f>
        <v>674145</v>
      </c>
    </row>
    <row r="4" spans="1:19" s="25" customFormat="1" ht="12">
      <c r="A4" s="21" t="s">
        <v>14</v>
      </c>
      <c r="B4" s="22" t="s">
        <v>15</v>
      </c>
      <c r="C4" s="22"/>
      <c r="D4" s="22"/>
      <c r="E4" s="23">
        <v>2</v>
      </c>
      <c r="F4" s="119">
        <f>SUM(F5:F15)</f>
        <v>473060</v>
      </c>
      <c r="G4" s="608">
        <f aca="true" t="shared" si="2" ref="G4:L4">SUM(G5:G15)</f>
        <v>420960</v>
      </c>
      <c r="H4" s="112">
        <f t="shared" si="2"/>
        <v>43990</v>
      </c>
      <c r="I4" s="81">
        <f t="shared" si="2"/>
        <v>1510</v>
      </c>
      <c r="J4" s="305">
        <f t="shared" si="2"/>
        <v>0</v>
      </c>
      <c r="K4" s="81">
        <f t="shared" si="2"/>
        <v>4400</v>
      </c>
      <c r="L4" s="80">
        <f t="shared" si="2"/>
        <v>2200</v>
      </c>
      <c r="M4" s="198">
        <f>SUM(M5:M15)</f>
        <v>0</v>
      </c>
      <c r="N4" s="417">
        <f>SUM(N5:N15)</f>
        <v>0</v>
      </c>
      <c r="O4" s="410">
        <f t="shared" si="1"/>
        <v>0</v>
      </c>
      <c r="P4" s="323" t="e">
        <f>SUM(P5:P15)</f>
        <v>#DIV/0!</v>
      </c>
      <c r="Q4" s="82">
        <f>SUM(Q5:Q15)</f>
        <v>435910</v>
      </c>
      <c r="R4" s="252"/>
      <c r="S4" s="252"/>
    </row>
    <row r="5" spans="1:19" s="25" customFormat="1" ht="12">
      <c r="A5" s="21"/>
      <c r="B5" s="26"/>
      <c r="C5" s="26" t="s">
        <v>16</v>
      </c>
      <c r="D5" s="27" t="s">
        <v>17</v>
      </c>
      <c r="E5" s="28">
        <v>3</v>
      </c>
      <c r="F5" s="199">
        <f>SUM(G5:L5)</f>
        <v>201495</v>
      </c>
      <c r="G5" s="609">
        <v>197200</v>
      </c>
      <c r="H5" s="84">
        <v>4295</v>
      </c>
      <c r="I5" s="85"/>
      <c r="J5" s="306"/>
      <c r="K5" s="85"/>
      <c r="L5" s="86"/>
      <c r="M5" s="199"/>
      <c r="N5" s="418"/>
      <c r="O5" s="423">
        <f t="shared" si="1"/>
        <v>0</v>
      </c>
      <c r="P5" s="848">
        <f>N5</f>
        <v>0</v>
      </c>
      <c r="Q5" s="323">
        <v>180683</v>
      </c>
      <c r="R5" s="252"/>
      <c r="S5" s="252"/>
    </row>
    <row r="6" spans="1:19" s="25" customFormat="1" ht="12">
      <c r="A6" s="21"/>
      <c r="B6" s="26"/>
      <c r="C6" s="26"/>
      <c r="D6" s="27" t="s">
        <v>18</v>
      </c>
      <c r="E6" s="28">
        <v>4</v>
      </c>
      <c r="F6" s="199">
        <f aca="true" t="shared" si="3" ref="F6:F45">SUM(G6:L6)</f>
        <v>5000</v>
      </c>
      <c r="G6" s="609">
        <v>5000</v>
      </c>
      <c r="H6" s="84"/>
      <c r="I6" s="85"/>
      <c r="J6" s="306"/>
      <c r="K6" s="85"/>
      <c r="L6" s="86"/>
      <c r="M6" s="199"/>
      <c r="N6" s="418"/>
      <c r="O6" s="423">
        <f t="shared" si="1"/>
        <v>0</v>
      </c>
      <c r="P6" s="848">
        <f>N6</f>
        <v>0</v>
      </c>
      <c r="Q6" s="323">
        <v>5108</v>
      </c>
      <c r="R6" s="252"/>
      <c r="S6" s="252"/>
    </row>
    <row r="7" spans="1:19" s="25" customFormat="1" ht="12">
      <c r="A7" s="21"/>
      <c r="B7" s="26"/>
      <c r="C7" s="26"/>
      <c r="D7" s="27" t="s">
        <v>19</v>
      </c>
      <c r="E7" s="28">
        <v>5</v>
      </c>
      <c r="F7" s="199">
        <f t="shared" si="3"/>
        <v>70522</v>
      </c>
      <c r="G7" s="609">
        <v>69019</v>
      </c>
      <c r="H7" s="84">
        <v>1503</v>
      </c>
      <c r="I7" s="85"/>
      <c r="J7" s="306"/>
      <c r="K7" s="85"/>
      <c r="L7" s="86"/>
      <c r="M7" s="199"/>
      <c r="N7" s="418"/>
      <c r="O7" s="423">
        <f t="shared" si="1"/>
        <v>0</v>
      </c>
      <c r="P7" s="848">
        <f>N7</f>
        <v>0</v>
      </c>
      <c r="Q7" s="323">
        <v>64896</v>
      </c>
      <c r="R7" s="252"/>
      <c r="S7" s="252"/>
    </row>
    <row r="8" spans="1:19" s="25" customFormat="1" ht="12">
      <c r="A8" s="21"/>
      <c r="B8" s="26"/>
      <c r="C8" s="26"/>
      <c r="D8" s="27" t="s">
        <v>20</v>
      </c>
      <c r="E8" s="28">
        <v>6</v>
      </c>
      <c r="F8" s="199">
        <f t="shared" si="3"/>
        <v>34442</v>
      </c>
      <c r="G8" s="609">
        <v>17092</v>
      </c>
      <c r="H8" s="84">
        <v>17350</v>
      </c>
      <c r="I8" s="85"/>
      <c r="J8" s="306"/>
      <c r="K8" s="85"/>
      <c r="L8" s="86"/>
      <c r="M8" s="199"/>
      <c r="N8" s="418"/>
      <c r="O8" s="423">
        <f t="shared" si="1"/>
        <v>0</v>
      </c>
      <c r="P8" s="323" t="e">
        <f>N8/titl!$H$17*12</f>
        <v>#DIV/0!</v>
      </c>
      <c r="Q8" s="323">
        <v>20917</v>
      </c>
      <c r="R8" s="252"/>
      <c r="S8" s="252"/>
    </row>
    <row r="9" spans="1:19" s="25" customFormat="1" ht="12">
      <c r="A9" s="21"/>
      <c r="B9" s="26"/>
      <c r="C9" s="26"/>
      <c r="D9" s="27" t="s">
        <v>21</v>
      </c>
      <c r="E9" s="28">
        <v>7</v>
      </c>
      <c r="F9" s="199">
        <f t="shared" si="3"/>
        <v>16021</v>
      </c>
      <c r="G9" s="609">
        <v>10121</v>
      </c>
      <c r="H9" s="84">
        <v>5900</v>
      </c>
      <c r="I9" s="85"/>
      <c r="J9" s="306"/>
      <c r="K9" s="85"/>
      <c r="L9" s="86"/>
      <c r="M9" s="199"/>
      <c r="N9" s="418"/>
      <c r="O9" s="423">
        <f t="shared" si="1"/>
        <v>0</v>
      </c>
      <c r="P9" s="323" t="e">
        <f>N9/titl!$H$17*12</f>
        <v>#DIV/0!</v>
      </c>
      <c r="Q9" s="323">
        <v>8668</v>
      </c>
      <c r="R9" s="252"/>
      <c r="S9" s="252"/>
    </row>
    <row r="10" spans="1:19" s="25" customFormat="1" ht="12">
      <c r="A10" s="21"/>
      <c r="B10" s="26"/>
      <c r="C10" s="26"/>
      <c r="D10" s="27" t="s">
        <v>22</v>
      </c>
      <c r="E10" s="28">
        <v>8</v>
      </c>
      <c r="F10" s="199">
        <f t="shared" si="3"/>
        <v>19532</v>
      </c>
      <c r="G10" s="609">
        <v>18610</v>
      </c>
      <c r="H10" s="84">
        <v>822</v>
      </c>
      <c r="I10" s="85">
        <v>100</v>
      </c>
      <c r="J10" s="306"/>
      <c r="K10" s="85"/>
      <c r="L10" s="86"/>
      <c r="M10" s="199"/>
      <c r="N10" s="418"/>
      <c r="O10" s="423">
        <f t="shared" si="1"/>
        <v>0</v>
      </c>
      <c r="P10" s="323" t="e">
        <f>N10/titl!$H$17*12</f>
        <v>#DIV/0!</v>
      </c>
      <c r="Q10" s="323">
        <v>11859</v>
      </c>
      <c r="R10" s="252"/>
      <c r="S10" s="252"/>
    </row>
    <row r="11" spans="1:19" s="25" customFormat="1" ht="12">
      <c r="A11" s="21"/>
      <c r="B11" s="26"/>
      <c r="C11" s="26"/>
      <c r="D11" s="27" t="s">
        <v>23</v>
      </c>
      <c r="E11" s="28">
        <v>9</v>
      </c>
      <c r="F11" s="199">
        <f t="shared" si="3"/>
        <v>25527</v>
      </c>
      <c r="G11" s="609">
        <v>20447</v>
      </c>
      <c r="H11" s="84">
        <v>4980</v>
      </c>
      <c r="I11" s="85">
        <v>100</v>
      </c>
      <c r="J11" s="306"/>
      <c r="K11" s="85"/>
      <c r="L11" s="86"/>
      <c r="M11" s="199"/>
      <c r="N11" s="418"/>
      <c r="O11" s="423">
        <f t="shared" si="1"/>
        <v>0</v>
      </c>
      <c r="P11" s="323" t="e">
        <f>N11/titl!$H$17*12</f>
        <v>#DIV/0!</v>
      </c>
      <c r="Q11" s="323">
        <v>22917</v>
      </c>
      <c r="R11" s="252"/>
      <c r="S11" s="252"/>
    </row>
    <row r="12" spans="1:19" s="25" customFormat="1" ht="12">
      <c r="A12" s="21"/>
      <c r="B12" s="26"/>
      <c r="C12" s="26"/>
      <c r="D12" s="27" t="s">
        <v>24</v>
      </c>
      <c r="E12" s="28">
        <v>10</v>
      </c>
      <c r="F12" s="199">
        <f t="shared" si="3"/>
        <v>1800</v>
      </c>
      <c r="G12" s="609">
        <v>1400</v>
      </c>
      <c r="H12" s="84"/>
      <c r="I12" s="85">
        <v>400</v>
      </c>
      <c r="J12" s="306"/>
      <c r="K12" s="85"/>
      <c r="L12" s="86"/>
      <c r="M12" s="199"/>
      <c r="N12" s="418"/>
      <c r="O12" s="423">
        <f t="shared" si="1"/>
        <v>0</v>
      </c>
      <c r="P12" s="323" t="e">
        <f>N12/titl!$H$17*12</f>
        <v>#DIV/0!</v>
      </c>
      <c r="Q12" s="323">
        <v>1297</v>
      </c>
      <c r="R12" s="252"/>
      <c r="S12" s="252"/>
    </row>
    <row r="13" spans="1:19" s="25" customFormat="1" ht="12">
      <c r="A13" s="21"/>
      <c r="B13" s="26"/>
      <c r="C13" s="26"/>
      <c r="D13" s="27" t="s">
        <v>25</v>
      </c>
      <c r="E13" s="28">
        <v>11</v>
      </c>
      <c r="F13" s="199">
        <f t="shared" si="3"/>
        <v>49927</v>
      </c>
      <c r="G13" s="609">
        <v>45207</v>
      </c>
      <c r="H13" s="84">
        <v>4720</v>
      </c>
      <c r="I13" s="85"/>
      <c r="J13" s="306"/>
      <c r="K13" s="85"/>
      <c r="L13" s="86"/>
      <c r="M13" s="199"/>
      <c r="N13" s="418"/>
      <c r="O13" s="423">
        <f t="shared" si="1"/>
        <v>0</v>
      </c>
      <c r="P13" s="848">
        <f>N13</f>
        <v>0</v>
      </c>
      <c r="Q13" s="323">
        <v>49957</v>
      </c>
      <c r="R13" s="252"/>
      <c r="S13" s="252"/>
    </row>
    <row r="14" spans="1:19" s="25" customFormat="1" ht="12">
      <c r="A14" s="21"/>
      <c r="B14" s="26"/>
      <c r="C14" s="26"/>
      <c r="D14" s="27" t="s">
        <v>26</v>
      </c>
      <c r="E14" s="28">
        <v>12</v>
      </c>
      <c r="F14" s="199">
        <f t="shared" si="3"/>
        <v>2500</v>
      </c>
      <c r="G14" s="609">
        <v>300</v>
      </c>
      <c r="H14" s="84"/>
      <c r="I14" s="85"/>
      <c r="J14" s="306"/>
      <c r="K14" s="85"/>
      <c r="L14" s="86">
        <v>2200</v>
      </c>
      <c r="M14" s="199"/>
      <c r="N14" s="418"/>
      <c r="O14" s="423">
        <f t="shared" si="1"/>
        <v>0</v>
      </c>
      <c r="P14" s="323" t="e">
        <f>N14/titl!$H$17*12</f>
        <v>#DIV/0!</v>
      </c>
      <c r="Q14" s="323">
        <v>2126</v>
      </c>
      <c r="R14" s="252"/>
      <c r="S14" s="252"/>
    </row>
    <row r="15" spans="1:19" s="25" customFormat="1" ht="12">
      <c r="A15" s="21"/>
      <c r="B15" s="26"/>
      <c r="C15" s="27"/>
      <c r="D15" s="27" t="s">
        <v>27</v>
      </c>
      <c r="E15" s="28">
        <v>13</v>
      </c>
      <c r="F15" s="199">
        <f t="shared" si="3"/>
        <v>46294</v>
      </c>
      <c r="G15" s="610">
        <v>36564</v>
      </c>
      <c r="H15" s="84">
        <v>4420</v>
      </c>
      <c r="I15" s="85">
        <v>910</v>
      </c>
      <c r="J15" s="306"/>
      <c r="K15" s="85">
        <v>4400</v>
      </c>
      <c r="L15" s="86"/>
      <c r="M15" s="199"/>
      <c r="N15" s="418"/>
      <c r="O15" s="423">
        <f t="shared" si="1"/>
        <v>0</v>
      </c>
      <c r="P15" s="323" t="e">
        <f>N15/titl!$H$17*12</f>
        <v>#DIV/0!</v>
      </c>
      <c r="Q15" s="323">
        <v>67482</v>
      </c>
      <c r="R15" s="252"/>
      <c r="S15" s="252"/>
    </row>
    <row r="16" spans="1:19" s="25" customFormat="1" ht="12">
      <c r="A16" s="21"/>
      <c r="B16" s="30" t="s">
        <v>28</v>
      </c>
      <c r="C16" s="27"/>
      <c r="D16" s="27"/>
      <c r="E16" s="28">
        <v>14</v>
      </c>
      <c r="F16" s="119">
        <f t="shared" si="3"/>
        <v>26626</v>
      </c>
      <c r="G16" s="611">
        <v>26626</v>
      </c>
      <c r="H16" s="89"/>
      <c r="I16" s="90"/>
      <c r="J16" s="307"/>
      <c r="K16" s="90"/>
      <c r="L16" s="91"/>
      <c r="M16" s="119">
        <f>M30</f>
        <v>0</v>
      </c>
      <c r="N16" s="419"/>
      <c r="O16" s="424">
        <f t="shared" si="1"/>
        <v>0</v>
      </c>
      <c r="P16" s="157">
        <f>P30</f>
        <v>0</v>
      </c>
      <c r="Q16" s="157">
        <v>24302</v>
      </c>
      <c r="R16" s="252"/>
      <c r="S16" s="252"/>
    </row>
    <row r="17" spans="1:19" s="25" customFormat="1" ht="12">
      <c r="A17" s="21"/>
      <c r="B17" s="30" t="s">
        <v>30</v>
      </c>
      <c r="C17" s="27"/>
      <c r="D17" s="27"/>
      <c r="E17" s="28">
        <v>15</v>
      </c>
      <c r="F17" s="119">
        <f t="shared" si="3"/>
        <v>500</v>
      </c>
      <c r="G17" s="596">
        <v>500</v>
      </c>
      <c r="H17" s="89"/>
      <c r="I17" s="90"/>
      <c r="J17" s="307"/>
      <c r="K17" s="90"/>
      <c r="L17" s="91"/>
      <c r="M17" s="119">
        <f>M31</f>
        <v>0</v>
      </c>
      <c r="N17" s="419"/>
      <c r="O17" s="424">
        <f t="shared" si="1"/>
        <v>0</v>
      </c>
      <c r="P17" s="157">
        <f>P31</f>
        <v>0</v>
      </c>
      <c r="Q17" s="157">
        <v>833</v>
      </c>
      <c r="R17" s="252"/>
      <c r="S17" s="252"/>
    </row>
    <row r="18" spans="1:19" s="25" customFormat="1" ht="12">
      <c r="A18" s="21"/>
      <c r="B18" s="31" t="s">
        <v>32</v>
      </c>
      <c r="C18" s="32"/>
      <c r="D18" s="32"/>
      <c r="E18" s="33">
        <v>16</v>
      </c>
      <c r="F18" s="119">
        <f t="shared" si="3"/>
        <v>2331</v>
      </c>
      <c r="G18" s="596">
        <v>2331</v>
      </c>
      <c r="H18" s="89"/>
      <c r="I18" s="90"/>
      <c r="J18" s="307"/>
      <c r="K18" s="90"/>
      <c r="L18" s="91"/>
      <c r="M18" s="119">
        <f>M32</f>
        <v>0</v>
      </c>
      <c r="N18" s="419"/>
      <c r="O18" s="424">
        <f t="shared" si="1"/>
        <v>0</v>
      </c>
      <c r="P18" s="157">
        <f>P32</f>
        <v>0</v>
      </c>
      <c r="Q18" s="157">
        <v>7896</v>
      </c>
      <c r="R18" s="252"/>
      <c r="S18" s="252"/>
    </row>
    <row r="19" spans="1:19" s="25" customFormat="1" ht="12">
      <c r="A19" s="21"/>
      <c r="B19" s="31" t="s">
        <v>34</v>
      </c>
      <c r="C19" s="32"/>
      <c r="D19" s="32"/>
      <c r="E19" s="33">
        <v>17</v>
      </c>
      <c r="F19" s="119">
        <f t="shared" si="3"/>
        <v>412</v>
      </c>
      <c r="G19" s="596">
        <v>412</v>
      </c>
      <c r="H19" s="89"/>
      <c r="I19" s="90"/>
      <c r="J19" s="307"/>
      <c r="K19" s="90"/>
      <c r="L19" s="91"/>
      <c r="M19" s="119">
        <f>M33</f>
        <v>0</v>
      </c>
      <c r="N19" s="419"/>
      <c r="O19" s="424">
        <f t="shared" si="1"/>
        <v>0</v>
      </c>
      <c r="P19" s="157">
        <f>P33</f>
        <v>0</v>
      </c>
      <c r="Q19" s="157">
        <v>325</v>
      </c>
      <c r="R19" s="252"/>
      <c r="S19" s="252"/>
    </row>
    <row r="20" spans="1:19" s="25" customFormat="1" ht="12">
      <c r="A20" s="21"/>
      <c r="B20" s="31" t="s">
        <v>36</v>
      </c>
      <c r="C20" s="31"/>
      <c r="D20" s="31"/>
      <c r="E20" s="33">
        <v>18</v>
      </c>
      <c r="F20" s="119">
        <f t="shared" si="3"/>
        <v>2007</v>
      </c>
      <c r="G20" s="596">
        <v>2007</v>
      </c>
      <c r="H20" s="89"/>
      <c r="I20" s="90"/>
      <c r="J20" s="307"/>
      <c r="K20" s="90"/>
      <c r="L20" s="91"/>
      <c r="M20" s="119">
        <f>M35</f>
        <v>0</v>
      </c>
      <c r="N20" s="419"/>
      <c r="O20" s="424">
        <f aca="true" t="shared" si="4" ref="O20:O28">IF(F20=0,0,N20/F20)</f>
        <v>0</v>
      </c>
      <c r="P20" s="157">
        <f>P35</f>
        <v>0</v>
      </c>
      <c r="Q20" s="157">
        <v>1422</v>
      </c>
      <c r="R20" s="252"/>
      <c r="S20" s="252"/>
    </row>
    <row r="21" spans="1:19" s="640" customFormat="1" ht="12">
      <c r="A21" s="628"/>
      <c r="B21" s="629" t="s">
        <v>175</v>
      </c>
      <c r="C21" s="629"/>
      <c r="D21" s="629"/>
      <c r="E21" s="630">
        <v>19</v>
      </c>
      <c r="F21" s="631">
        <f t="shared" si="3"/>
        <v>17822</v>
      </c>
      <c r="G21" s="643">
        <v>17822</v>
      </c>
      <c r="H21" s="644"/>
      <c r="I21" s="645"/>
      <c r="J21" s="646"/>
      <c r="K21" s="645"/>
      <c r="L21" s="647"/>
      <c r="M21" s="631"/>
      <c r="N21" s="637"/>
      <c r="O21" s="648">
        <f t="shared" si="4"/>
        <v>0</v>
      </c>
      <c r="P21" s="639">
        <f>N21</f>
        <v>0</v>
      </c>
      <c r="Q21" s="639">
        <v>16560</v>
      </c>
      <c r="R21" s="252"/>
      <c r="S21" s="252"/>
    </row>
    <row r="22" spans="1:19" s="25" customFormat="1" ht="12">
      <c r="A22" s="21"/>
      <c r="B22" s="31" t="s">
        <v>40</v>
      </c>
      <c r="C22" s="31"/>
      <c r="D22" s="31"/>
      <c r="E22" s="33">
        <v>20</v>
      </c>
      <c r="F22" s="119">
        <f t="shared" si="3"/>
        <v>152</v>
      </c>
      <c r="G22" s="596"/>
      <c r="H22" s="89"/>
      <c r="I22" s="95">
        <v>152</v>
      </c>
      <c r="J22" s="307"/>
      <c r="K22" s="90"/>
      <c r="L22" s="91"/>
      <c r="M22" s="119"/>
      <c r="N22" s="419"/>
      <c r="O22" s="424">
        <f t="shared" si="4"/>
        <v>0</v>
      </c>
      <c r="P22" s="157">
        <f>P42</f>
        <v>0</v>
      </c>
      <c r="Q22" s="157">
        <v>193</v>
      </c>
      <c r="R22" s="252"/>
      <c r="S22" s="252"/>
    </row>
    <row r="23" spans="1:19" s="25" customFormat="1" ht="12">
      <c r="A23" s="21"/>
      <c r="B23" s="31" t="s">
        <v>42</v>
      </c>
      <c r="C23" s="31"/>
      <c r="D23" s="31"/>
      <c r="E23" s="33">
        <v>21</v>
      </c>
      <c r="F23" s="119">
        <f t="shared" si="3"/>
        <v>21097</v>
      </c>
      <c r="G23" s="596">
        <v>20777</v>
      </c>
      <c r="H23" s="89"/>
      <c r="I23" s="95">
        <v>320</v>
      </c>
      <c r="J23" s="307"/>
      <c r="K23" s="90"/>
      <c r="L23" s="91"/>
      <c r="M23" s="119">
        <f>M39</f>
        <v>0</v>
      </c>
      <c r="N23" s="419"/>
      <c r="O23" s="424">
        <f t="shared" si="4"/>
        <v>0</v>
      </c>
      <c r="P23" s="157">
        <f>P39</f>
        <v>0</v>
      </c>
      <c r="Q23" s="157">
        <v>42204</v>
      </c>
      <c r="R23" s="252"/>
      <c r="S23" s="252"/>
    </row>
    <row r="24" spans="1:19" s="25" customFormat="1" ht="12">
      <c r="A24" s="21"/>
      <c r="B24" s="31" t="s">
        <v>43</v>
      </c>
      <c r="C24" s="31"/>
      <c r="D24" s="31"/>
      <c r="E24" s="33">
        <v>22</v>
      </c>
      <c r="F24" s="119">
        <f t="shared" si="3"/>
        <v>111476</v>
      </c>
      <c r="G24" s="596">
        <v>110614</v>
      </c>
      <c r="H24" s="89"/>
      <c r="I24" s="95">
        <v>862</v>
      </c>
      <c r="J24" s="307"/>
      <c r="K24" s="90"/>
      <c r="L24" s="91"/>
      <c r="M24" s="119">
        <f>M40</f>
        <v>0</v>
      </c>
      <c r="N24" s="419"/>
      <c r="O24" s="424">
        <f t="shared" si="4"/>
        <v>0</v>
      </c>
      <c r="P24" s="157">
        <f>P40</f>
        <v>0</v>
      </c>
      <c r="Q24" s="157">
        <v>121061</v>
      </c>
      <c r="R24" s="252"/>
      <c r="S24" s="252"/>
    </row>
    <row r="25" spans="1:19" s="640" customFormat="1" ht="12">
      <c r="A25" s="628"/>
      <c r="B25" s="629" t="s">
        <v>186</v>
      </c>
      <c r="C25" s="629"/>
      <c r="D25" s="629"/>
      <c r="E25" s="630">
        <v>23</v>
      </c>
      <c r="F25" s="631">
        <f t="shared" si="3"/>
        <v>772</v>
      </c>
      <c r="G25" s="643">
        <v>287</v>
      </c>
      <c r="H25" s="644"/>
      <c r="I25" s="95">
        <v>485</v>
      </c>
      <c r="J25" s="646"/>
      <c r="K25" s="645"/>
      <c r="L25" s="647"/>
      <c r="M25" s="631"/>
      <c r="N25" s="637"/>
      <c r="O25" s="648">
        <f t="shared" si="4"/>
        <v>0</v>
      </c>
      <c r="P25" s="639">
        <f>P41</f>
        <v>772</v>
      </c>
      <c r="Q25" s="639">
        <v>1103</v>
      </c>
      <c r="R25" s="252"/>
      <c r="S25" s="252"/>
    </row>
    <row r="26" spans="1:19" s="25" customFormat="1" ht="12">
      <c r="A26" s="21"/>
      <c r="B26" s="31" t="s">
        <v>45</v>
      </c>
      <c r="C26" s="31"/>
      <c r="D26" s="31"/>
      <c r="E26" s="33">
        <v>24</v>
      </c>
      <c r="F26" s="119">
        <f t="shared" si="3"/>
        <v>14919</v>
      </c>
      <c r="G26" s="596">
        <v>14598</v>
      </c>
      <c r="H26" s="89"/>
      <c r="I26" s="90">
        <v>321</v>
      </c>
      <c r="J26" s="307"/>
      <c r="K26" s="90"/>
      <c r="L26" s="91"/>
      <c r="M26" s="119"/>
      <c r="N26" s="419"/>
      <c r="O26" s="424">
        <f t="shared" si="4"/>
        <v>0</v>
      </c>
      <c r="P26" s="157">
        <f>P42</f>
        <v>0</v>
      </c>
      <c r="Q26" s="157">
        <v>18156</v>
      </c>
      <c r="R26" s="252"/>
      <c r="S26" s="252"/>
    </row>
    <row r="27" spans="1:19" s="25" customFormat="1" ht="12.75" thickBot="1">
      <c r="A27" s="21"/>
      <c r="B27" s="30" t="s">
        <v>47</v>
      </c>
      <c r="C27" s="30"/>
      <c r="D27" s="30"/>
      <c r="E27" s="28">
        <v>25</v>
      </c>
      <c r="F27" s="119">
        <f t="shared" si="3"/>
        <v>4050</v>
      </c>
      <c r="G27" s="596">
        <v>4050</v>
      </c>
      <c r="H27" s="89"/>
      <c r="I27" s="90"/>
      <c r="J27" s="307"/>
      <c r="K27" s="90"/>
      <c r="L27" s="91"/>
      <c r="M27" s="119"/>
      <c r="N27" s="419"/>
      <c r="O27" s="424">
        <f t="shared" si="4"/>
        <v>0</v>
      </c>
      <c r="P27" s="326" t="e">
        <f>N27/titl!$H$17*12</f>
        <v>#DIV/0!</v>
      </c>
      <c r="Q27" s="157">
        <v>4180</v>
      </c>
      <c r="R27" s="252"/>
      <c r="S27" s="252"/>
    </row>
    <row r="28" spans="1:20" ht="13.5" thickBot="1">
      <c r="A28" s="37" t="s">
        <v>49</v>
      </c>
      <c r="B28" s="38"/>
      <c r="C28" s="38"/>
      <c r="D28" s="38"/>
      <c r="E28" s="19">
        <v>26</v>
      </c>
      <c r="F28" s="197">
        <f>SUM(F29:F45)</f>
        <v>679999</v>
      </c>
      <c r="G28" s="597">
        <f aca="true" t="shared" si="5" ref="G28:L28">SUM(G29:G45)</f>
        <v>625759</v>
      </c>
      <c r="H28" s="125">
        <f t="shared" si="5"/>
        <v>43990</v>
      </c>
      <c r="I28" s="77">
        <f t="shared" si="5"/>
        <v>3650</v>
      </c>
      <c r="J28" s="304">
        <f t="shared" si="5"/>
        <v>0</v>
      </c>
      <c r="K28" s="77">
        <f t="shared" si="5"/>
        <v>4400</v>
      </c>
      <c r="L28" s="76">
        <f t="shared" si="5"/>
        <v>2200</v>
      </c>
      <c r="M28" s="197">
        <f>SUM(M29:M45)</f>
        <v>0</v>
      </c>
      <c r="N28" s="471">
        <f>SUM(N29:N45)</f>
        <v>0</v>
      </c>
      <c r="O28" s="413">
        <f t="shared" si="4"/>
        <v>0</v>
      </c>
      <c r="P28" s="78" t="e">
        <f>SUM(P29:P45)</f>
        <v>#DIV/0!</v>
      </c>
      <c r="Q28" s="78">
        <f>SUM(Q29:Q45)</f>
        <v>688710</v>
      </c>
      <c r="T28" s="483"/>
    </row>
    <row r="29" spans="1:19" s="25" customFormat="1" ht="12">
      <c r="A29" s="21" t="s">
        <v>14</v>
      </c>
      <c r="B29" s="27" t="s">
        <v>50</v>
      </c>
      <c r="C29" s="27"/>
      <c r="D29" s="27"/>
      <c r="E29" s="28">
        <v>27</v>
      </c>
      <c r="F29" s="119">
        <f t="shared" si="3"/>
        <v>243492</v>
      </c>
      <c r="G29" s="608">
        <v>243492</v>
      </c>
      <c r="H29" s="112"/>
      <c r="I29" s="81"/>
      <c r="J29" s="305"/>
      <c r="K29" s="81"/>
      <c r="L29" s="80"/>
      <c r="M29" s="198"/>
      <c r="N29" s="417"/>
      <c r="O29" s="424">
        <f aca="true" t="shared" si="6" ref="O29:O35">IF(F29=0,0,N29/F29)</f>
        <v>0</v>
      </c>
      <c r="P29" s="325">
        <f>M29</f>
        <v>0</v>
      </c>
      <c r="Q29" s="324">
        <v>256614</v>
      </c>
      <c r="R29" s="548">
        <v>38192</v>
      </c>
      <c r="S29" s="548"/>
    </row>
    <row r="30" spans="1:19" s="25" customFormat="1" ht="12">
      <c r="A30" s="21"/>
      <c r="B30" s="30" t="s">
        <v>28</v>
      </c>
      <c r="C30" s="30"/>
      <c r="D30" s="30"/>
      <c r="E30" s="28">
        <v>28</v>
      </c>
      <c r="F30" s="119">
        <f t="shared" si="3"/>
        <v>26626</v>
      </c>
      <c r="G30" s="499">
        <f>G16</f>
        <v>26626</v>
      </c>
      <c r="H30" s="126"/>
      <c r="I30" s="95"/>
      <c r="J30" s="308"/>
      <c r="K30" s="95"/>
      <c r="L30" s="94"/>
      <c r="M30" s="472"/>
      <c r="N30" s="420"/>
      <c r="O30" s="424">
        <f t="shared" si="6"/>
        <v>0</v>
      </c>
      <c r="P30" s="325">
        <f>M30</f>
        <v>0</v>
      </c>
      <c r="Q30" s="325">
        <f>Q16</f>
        <v>24302</v>
      </c>
      <c r="R30" s="548"/>
      <c r="S30" s="548"/>
    </row>
    <row r="31" spans="1:19" s="25" customFormat="1" ht="12">
      <c r="A31" s="21"/>
      <c r="B31" s="30" t="s">
        <v>30</v>
      </c>
      <c r="C31" s="30"/>
      <c r="D31" s="30"/>
      <c r="E31" s="28">
        <v>29</v>
      </c>
      <c r="F31" s="119">
        <f t="shared" si="3"/>
        <v>500</v>
      </c>
      <c r="G31" s="499">
        <f>G17</f>
        <v>500</v>
      </c>
      <c r="H31" s="126"/>
      <c r="I31" s="95"/>
      <c r="J31" s="308"/>
      <c r="K31" s="95"/>
      <c r="L31" s="94"/>
      <c r="M31" s="472"/>
      <c r="N31" s="420"/>
      <c r="O31" s="424">
        <f t="shared" si="6"/>
        <v>0</v>
      </c>
      <c r="P31" s="325">
        <f>M31</f>
        <v>0</v>
      </c>
      <c r="Q31" s="325">
        <f>Q17</f>
        <v>833</v>
      </c>
      <c r="R31" s="548"/>
      <c r="S31" s="548"/>
    </row>
    <row r="32" spans="1:19" s="25" customFormat="1" ht="12">
      <c r="A32" s="21"/>
      <c r="B32" s="31" t="s">
        <v>32</v>
      </c>
      <c r="C32" s="32"/>
      <c r="D32" s="32"/>
      <c r="E32" s="33">
        <v>30</v>
      </c>
      <c r="F32" s="119">
        <f t="shared" si="3"/>
        <v>2331</v>
      </c>
      <c r="G32" s="499">
        <f>G18</f>
        <v>2331</v>
      </c>
      <c r="H32" s="126"/>
      <c r="I32" s="95"/>
      <c r="J32" s="308"/>
      <c r="K32" s="95"/>
      <c r="L32" s="94"/>
      <c r="M32" s="472"/>
      <c r="N32" s="420"/>
      <c r="O32" s="424">
        <f t="shared" si="6"/>
        <v>0</v>
      </c>
      <c r="P32" s="325">
        <f>M32</f>
        <v>0</v>
      </c>
      <c r="Q32" s="325">
        <f>Q18</f>
        <v>7896</v>
      </c>
      <c r="R32" s="545"/>
      <c r="S32" s="545"/>
    </row>
    <row r="33" spans="1:19" s="25" customFormat="1" ht="12">
      <c r="A33" s="21"/>
      <c r="B33" s="31" t="s">
        <v>34</v>
      </c>
      <c r="C33" s="31"/>
      <c r="D33" s="31"/>
      <c r="E33" s="33">
        <v>31</v>
      </c>
      <c r="F33" s="119">
        <f t="shared" si="3"/>
        <v>412</v>
      </c>
      <c r="G33" s="499">
        <f>G19</f>
        <v>412</v>
      </c>
      <c r="H33" s="126"/>
      <c r="I33" s="95"/>
      <c r="J33" s="308"/>
      <c r="K33" s="95"/>
      <c r="L33" s="94"/>
      <c r="M33" s="472"/>
      <c r="N33" s="420"/>
      <c r="O33" s="424">
        <f t="shared" si="6"/>
        <v>0</v>
      </c>
      <c r="P33" s="325">
        <f>M33</f>
        <v>0</v>
      </c>
      <c r="Q33" s="325">
        <f>Q19</f>
        <v>325</v>
      </c>
      <c r="R33" s="548"/>
      <c r="S33" s="548"/>
    </row>
    <row r="34" spans="1:19" s="25" customFormat="1" ht="12">
      <c r="A34" s="21"/>
      <c r="B34" s="31" t="s">
        <v>52</v>
      </c>
      <c r="C34" s="31"/>
      <c r="D34" s="31"/>
      <c r="E34" s="33">
        <v>32</v>
      </c>
      <c r="F34" s="119">
        <f t="shared" si="3"/>
        <v>0</v>
      </c>
      <c r="G34" s="499"/>
      <c r="H34" s="126"/>
      <c r="I34" s="95"/>
      <c r="J34" s="308"/>
      <c r="K34" s="95"/>
      <c r="L34" s="94"/>
      <c r="M34" s="472"/>
      <c r="N34" s="420"/>
      <c r="O34" s="424">
        <f t="shared" si="6"/>
        <v>0</v>
      </c>
      <c r="P34" s="325">
        <f>F34</f>
        <v>0</v>
      </c>
      <c r="Q34" s="325"/>
      <c r="R34" s="252"/>
      <c r="S34" s="252"/>
    </row>
    <row r="35" spans="1:19" s="25" customFormat="1" ht="12">
      <c r="A35" s="21"/>
      <c r="B35" s="31" t="s">
        <v>36</v>
      </c>
      <c r="C35" s="31"/>
      <c r="D35" s="31"/>
      <c r="E35" s="33">
        <v>33</v>
      </c>
      <c r="F35" s="119">
        <f t="shared" si="3"/>
        <v>2007</v>
      </c>
      <c r="G35" s="499">
        <f>G20</f>
        <v>2007</v>
      </c>
      <c r="H35" s="126"/>
      <c r="I35" s="95"/>
      <c r="J35" s="308"/>
      <c r="K35" s="95"/>
      <c r="L35" s="94"/>
      <c r="M35" s="472"/>
      <c r="N35" s="420"/>
      <c r="O35" s="424">
        <f t="shared" si="6"/>
        <v>0</v>
      </c>
      <c r="P35" s="325">
        <f>N35</f>
        <v>0</v>
      </c>
      <c r="Q35" s="325">
        <f>Q20</f>
        <v>1422</v>
      </c>
      <c r="R35" s="252"/>
      <c r="S35" s="252"/>
    </row>
    <row r="36" spans="1:19" s="640" customFormat="1" ht="12">
      <c r="A36" s="628"/>
      <c r="B36" s="629" t="s">
        <v>175</v>
      </c>
      <c r="C36" s="629"/>
      <c r="D36" s="629"/>
      <c r="E36" s="630">
        <v>34</v>
      </c>
      <c r="F36" s="631">
        <f t="shared" si="3"/>
        <v>17822</v>
      </c>
      <c r="G36" s="499">
        <f>G21</f>
        <v>17822</v>
      </c>
      <c r="H36" s="633"/>
      <c r="I36" s="634"/>
      <c r="J36" s="635"/>
      <c r="K36" s="634"/>
      <c r="L36" s="636"/>
      <c r="M36" s="632"/>
      <c r="N36" s="641"/>
      <c r="O36" s="648">
        <f aca="true" t="shared" si="7" ref="O36:O45">IF(F36=0,0,N36/F36)</f>
        <v>0</v>
      </c>
      <c r="P36" s="650">
        <f>P21</f>
        <v>0</v>
      </c>
      <c r="Q36" s="650">
        <f>Q21</f>
        <v>16560</v>
      </c>
      <c r="R36" s="252"/>
      <c r="S36" s="252"/>
    </row>
    <row r="37" spans="1:19" s="25" customFormat="1" ht="12">
      <c r="A37" s="21"/>
      <c r="B37" s="31" t="s">
        <v>54</v>
      </c>
      <c r="C37" s="31"/>
      <c r="D37" s="31"/>
      <c r="E37" s="33">
        <v>35</v>
      </c>
      <c r="F37" s="119">
        <f t="shared" si="3"/>
        <v>152</v>
      </c>
      <c r="G37" s="499">
        <f>G22</f>
        <v>0</v>
      </c>
      <c r="H37" s="126"/>
      <c r="I37" s="95">
        <f>I22</f>
        <v>152</v>
      </c>
      <c r="J37" s="308"/>
      <c r="K37" s="95"/>
      <c r="L37" s="94"/>
      <c r="M37" s="472"/>
      <c r="N37" s="420"/>
      <c r="O37" s="424">
        <f t="shared" si="7"/>
        <v>0</v>
      </c>
      <c r="P37" s="325">
        <f>F37</f>
        <v>152</v>
      </c>
      <c r="Q37" s="325">
        <f>Q22</f>
        <v>193</v>
      </c>
      <c r="R37" s="252"/>
      <c r="S37" s="252"/>
    </row>
    <row r="38" spans="1:19" s="25" customFormat="1" ht="12">
      <c r="A38" s="21"/>
      <c r="B38" s="31" t="s">
        <v>170</v>
      </c>
      <c r="C38" s="31"/>
      <c r="D38" s="31"/>
      <c r="E38" s="33">
        <v>36</v>
      </c>
      <c r="F38" s="119">
        <f t="shared" si="3"/>
        <v>61482</v>
      </c>
      <c r="G38" s="499">
        <v>61482</v>
      </c>
      <c r="H38" s="126"/>
      <c r="I38" s="95"/>
      <c r="J38" s="308"/>
      <c r="K38" s="95"/>
      <c r="L38" s="94"/>
      <c r="M38" s="472"/>
      <c r="N38" s="420"/>
      <c r="O38" s="424">
        <f t="shared" si="7"/>
        <v>0</v>
      </c>
      <c r="P38" s="325">
        <f>N38</f>
        <v>0</v>
      </c>
      <c r="Q38" s="325">
        <v>28657</v>
      </c>
      <c r="R38" s="252"/>
      <c r="S38" s="252"/>
    </row>
    <row r="39" spans="1:19" s="25" customFormat="1" ht="12">
      <c r="A39" s="21"/>
      <c r="B39" s="31" t="s">
        <v>56</v>
      </c>
      <c r="C39" s="31"/>
      <c r="D39" s="31"/>
      <c r="E39" s="33">
        <v>37</v>
      </c>
      <c r="F39" s="119">
        <f t="shared" si="3"/>
        <v>21097</v>
      </c>
      <c r="G39" s="499">
        <f>G23</f>
        <v>20777</v>
      </c>
      <c r="H39" s="126"/>
      <c r="I39" s="95">
        <f>I23</f>
        <v>320</v>
      </c>
      <c r="J39" s="308"/>
      <c r="K39" s="95"/>
      <c r="L39" s="94"/>
      <c r="M39" s="472"/>
      <c r="N39" s="420"/>
      <c r="O39" s="424">
        <f t="shared" si="7"/>
        <v>0</v>
      </c>
      <c r="P39" s="325">
        <f>N39</f>
        <v>0</v>
      </c>
      <c r="Q39" s="325">
        <f>Q23</f>
        <v>42204</v>
      </c>
      <c r="R39" s="252"/>
      <c r="S39" s="252"/>
    </row>
    <row r="40" spans="1:19" s="25" customFormat="1" ht="12">
      <c r="A40" s="21"/>
      <c r="B40" s="31" t="s">
        <v>57</v>
      </c>
      <c r="C40" s="31"/>
      <c r="D40" s="31"/>
      <c r="E40" s="33">
        <v>38</v>
      </c>
      <c r="F40" s="119">
        <f t="shared" si="3"/>
        <v>111476</v>
      </c>
      <c r="G40" s="499">
        <f>G24</f>
        <v>110614</v>
      </c>
      <c r="H40" s="126"/>
      <c r="I40" s="95">
        <f>I24</f>
        <v>862</v>
      </c>
      <c r="J40" s="308"/>
      <c r="K40" s="95"/>
      <c r="L40" s="94"/>
      <c r="M40" s="472"/>
      <c r="N40" s="420"/>
      <c r="O40" s="424">
        <f t="shared" si="7"/>
        <v>0</v>
      </c>
      <c r="P40" s="325">
        <f>N40</f>
        <v>0</v>
      </c>
      <c r="Q40" s="325">
        <f>Q24</f>
        <v>121061</v>
      </c>
      <c r="R40" s="252"/>
      <c r="S40" s="252">
        <v>0</v>
      </c>
    </row>
    <row r="41" spans="1:19" s="640" customFormat="1" ht="12">
      <c r="A41" s="628"/>
      <c r="B41" s="629" t="s">
        <v>186</v>
      </c>
      <c r="C41" s="629"/>
      <c r="D41" s="629"/>
      <c r="E41" s="630">
        <v>39</v>
      </c>
      <c r="F41" s="631">
        <f t="shared" si="3"/>
        <v>772</v>
      </c>
      <c r="G41" s="499">
        <f>G25</f>
        <v>287</v>
      </c>
      <c r="H41" s="633"/>
      <c r="I41" s="95">
        <f>I25</f>
        <v>485</v>
      </c>
      <c r="J41" s="635"/>
      <c r="K41" s="634"/>
      <c r="L41" s="636"/>
      <c r="M41" s="632"/>
      <c r="N41" s="641"/>
      <c r="O41" s="651">
        <f t="shared" si="7"/>
        <v>0</v>
      </c>
      <c r="P41" s="650">
        <f>F41</f>
        <v>772</v>
      </c>
      <c r="Q41" s="650">
        <f>Q25</f>
        <v>1103</v>
      </c>
      <c r="R41" s="252"/>
      <c r="S41" s="252"/>
    </row>
    <row r="42" spans="1:19" s="25" customFormat="1" ht="12">
      <c r="A42" s="21"/>
      <c r="B42" s="31" t="s">
        <v>58</v>
      </c>
      <c r="C42" s="31"/>
      <c r="D42" s="31"/>
      <c r="E42" s="33">
        <v>40</v>
      </c>
      <c r="F42" s="119">
        <f t="shared" si="3"/>
        <v>14919</v>
      </c>
      <c r="G42" s="499">
        <f>G26</f>
        <v>14598</v>
      </c>
      <c r="H42" s="126"/>
      <c r="I42" s="95">
        <f>I26</f>
        <v>321</v>
      </c>
      <c r="J42" s="308"/>
      <c r="K42" s="95"/>
      <c r="L42" s="94"/>
      <c r="M42" s="472"/>
      <c r="N42" s="420"/>
      <c r="O42" s="425">
        <f t="shared" si="7"/>
        <v>0</v>
      </c>
      <c r="P42" s="325">
        <f>N42</f>
        <v>0</v>
      </c>
      <c r="Q42" s="325">
        <f>Q26</f>
        <v>18156</v>
      </c>
      <c r="R42" s="252"/>
      <c r="S42" s="252"/>
    </row>
    <row r="43" spans="1:19" s="25" customFormat="1" ht="12">
      <c r="A43" s="21"/>
      <c r="B43" s="31" t="s">
        <v>59</v>
      </c>
      <c r="C43" s="31"/>
      <c r="D43" s="31"/>
      <c r="E43" s="33">
        <v>41</v>
      </c>
      <c r="F43" s="119">
        <f t="shared" si="3"/>
        <v>121821</v>
      </c>
      <c r="G43" s="499">
        <v>120311</v>
      </c>
      <c r="H43" s="126"/>
      <c r="I43" s="95">
        <v>1510</v>
      </c>
      <c r="J43" s="308"/>
      <c r="K43" s="95"/>
      <c r="L43" s="94"/>
      <c r="M43" s="472"/>
      <c r="N43" s="420"/>
      <c r="O43" s="425">
        <f t="shared" si="7"/>
        <v>0</v>
      </c>
      <c r="P43" s="625" t="e">
        <f>(N43-N49)/titl!H17*12+N49</f>
        <v>#DIV/0!</v>
      </c>
      <c r="Q43" s="325">
        <v>129276</v>
      </c>
      <c r="R43" s="252"/>
      <c r="S43" s="252"/>
    </row>
    <row r="44" spans="1:19" s="25" customFormat="1" ht="12">
      <c r="A44" s="21"/>
      <c r="B44" s="31" t="s">
        <v>60</v>
      </c>
      <c r="C44" s="31"/>
      <c r="D44" s="31"/>
      <c r="E44" s="33">
        <v>42</v>
      </c>
      <c r="F44" s="119">
        <f t="shared" si="3"/>
        <v>50590</v>
      </c>
      <c r="G44" s="612"/>
      <c r="H44" s="126">
        <f>H3</f>
        <v>43990</v>
      </c>
      <c r="I44" s="95"/>
      <c r="J44" s="308"/>
      <c r="K44" s="95">
        <f>K3</f>
        <v>4400</v>
      </c>
      <c r="L44" s="94">
        <f>L3</f>
        <v>2200</v>
      </c>
      <c r="M44" s="472"/>
      <c r="N44" s="420"/>
      <c r="O44" s="425">
        <f t="shared" si="7"/>
        <v>0</v>
      </c>
      <c r="P44" s="325">
        <f>N44</f>
        <v>0</v>
      </c>
      <c r="Q44" s="325">
        <v>35169</v>
      </c>
      <c r="R44" s="252"/>
      <c r="S44" s="252">
        <f>1920-S40</f>
        <v>1920</v>
      </c>
    </row>
    <row r="45" spans="1:19" s="25" customFormat="1" ht="12">
      <c r="A45" s="40"/>
      <c r="B45" s="41" t="s">
        <v>47</v>
      </c>
      <c r="C45" s="41"/>
      <c r="D45" s="41"/>
      <c r="E45" s="42">
        <v>43</v>
      </c>
      <c r="F45" s="200">
        <f t="shared" si="3"/>
        <v>4500</v>
      </c>
      <c r="G45" s="500">
        <v>4500</v>
      </c>
      <c r="H45" s="174"/>
      <c r="I45" s="99"/>
      <c r="J45" s="309"/>
      <c r="K45" s="99"/>
      <c r="L45" s="98"/>
      <c r="M45" s="200"/>
      <c r="N45" s="421"/>
      <c r="O45" s="426">
        <f t="shared" si="7"/>
        <v>0</v>
      </c>
      <c r="P45" s="326">
        <f>N45/titl!H19*12</f>
        <v>0</v>
      </c>
      <c r="Q45" s="326">
        <v>4939</v>
      </c>
      <c r="R45" s="252"/>
      <c r="S45" s="252"/>
    </row>
    <row r="46" spans="1:19" s="25" customFormat="1" ht="12.75" thickBot="1">
      <c r="A46" s="44" t="s">
        <v>61</v>
      </c>
      <c r="B46" s="45"/>
      <c r="C46" s="45"/>
      <c r="D46" s="45"/>
      <c r="E46" s="28">
        <v>44</v>
      </c>
      <c r="F46" s="201">
        <f>F29+F34+F38+F43+F44+F45-F4-F27</f>
        <v>4775</v>
      </c>
      <c r="G46" s="613">
        <f>G29+G34+G38+G43+G45-G4-G27</f>
        <v>4775</v>
      </c>
      <c r="H46" s="102">
        <f aca="true" t="shared" si="8" ref="H46:N46">H29+H34+H38+H43+H44+H45-H4-H27</f>
        <v>0</v>
      </c>
      <c r="I46" s="102">
        <f t="shared" si="8"/>
        <v>0</v>
      </c>
      <c r="J46" s="102">
        <f t="shared" si="8"/>
        <v>0</v>
      </c>
      <c r="K46" s="102">
        <f t="shared" si="8"/>
        <v>0</v>
      </c>
      <c r="L46" s="102">
        <f t="shared" si="8"/>
        <v>0</v>
      </c>
      <c r="M46" s="201">
        <f>M29+M34+M38+M43+M44+M45+-M4-M27</f>
        <v>0</v>
      </c>
      <c r="N46" s="422">
        <f t="shared" si="8"/>
        <v>0</v>
      </c>
      <c r="O46" s="427"/>
      <c r="P46" s="465" t="e">
        <f>P29+P34+P38+P43+P44+P45-P4-P27</f>
        <v>#DIV/0!</v>
      </c>
      <c r="Q46" s="327">
        <f>Q29+Q34+Q38+Q43+Q44+Q45-Q4-Q27</f>
        <v>14565</v>
      </c>
      <c r="R46" s="252"/>
      <c r="S46" s="252"/>
    </row>
    <row r="47" spans="1:17" ht="13.5" thickBot="1">
      <c r="A47" s="37" t="s">
        <v>62</v>
      </c>
      <c r="B47" s="38"/>
      <c r="C47" s="38"/>
      <c r="D47" s="38"/>
      <c r="E47" s="19">
        <v>45</v>
      </c>
      <c r="F47" s="197">
        <f>F28-F3</f>
        <v>4775</v>
      </c>
      <c r="G47" s="597">
        <f aca="true" t="shared" si="9" ref="G47:N47">G28-G3</f>
        <v>4775</v>
      </c>
      <c r="H47" s="125">
        <f t="shared" si="9"/>
        <v>0</v>
      </c>
      <c r="I47" s="77">
        <f t="shared" si="9"/>
        <v>0</v>
      </c>
      <c r="J47" s="304">
        <f t="shared" si="9"/>
        <v>0</v>
      </c>
      <c r="K47" s="77">
        <f t="shared" si="9"/>
        <v>0</v>
      </c>
      <c r="L47" s="76">
        <f t="shared" si="9"/>
        <v>0</v>
      </c>
      <c r="M47" s="197">
        <f>M28-M3</f>
        <v>0</v>
      </c>
      <c r="N47" s="471">
        <f t="shared" si="9"/>
        <v>0</v>
      </c>
      <c r="O47" s="413"/>
      <c r="P47" s="78" t="e">
        <f>P28-P3</f>
        <v>#DIV/0!</v>
      </c>
      <c r="Q47" s="78">
        <f>Q28-Q3</f>
        <v>14565</v>
      </c>
    </row>
    <row r="48" spans="1:5" ht="12.75">
      <c r="A48" s="47" t="s">
        <v>227</v>
      </c>
      <c r="B48" s="47"/>
      <c r="C48" s="47"/>
      <c r="D48" s="122"/>
      <c r="E48" s="48"/>
    </row>
    <row r="49" spans="5:19" s="47" customFormat="1" ht="11.25">
      <c r="E49" s="48"/>
      <c r="G49" s="59"/>
      <c r="H49" s="59"/>
      <c r="I49" s="59"/>
      <c r="J49" s="1058"/>
      <c r="K49" s="1058"/>
      <c r="L49" s="1058"/>
      <c r="M49" s="240"/>
      <c r="N49" s="874"/>
      <c r="O49" s="516"/>
      <c r="P49" s="516"/>
      <c r="Q49" s="516"/>
      <c r="R49" s="252"/>
      <c r="S49" s="252"/>
    </row>
    <row r="50" spans="1:19" s="47" customFormat="1" ht="11.25">
      <c r="A50" s="51" t="s">
        <v>65</v>
      </c>
      <c r="E50" s="48"/>
      <c r="G50" s="59"/>
      <c r="H50" s="59"/>
      <c r="I50" s="59"/>
      <c r="J50" s="59"/>
      <c r="K50" s="59"/>
      <c r="L50" s="59"/>
      <c r="M50" s="59"/>
      <c r="N50" s="59"/>
      <c r="O50" s="254"/>
      <c r="R50" s="252"/>
      <c r="S50" s="252"/>
    </row>
    <row r="51" spans="1:19" s="47" customFormat="1" ht="11.25" hidden="1">
      <c r="A51" s="51" t="s">
        <v>199</v>
      </c>
      <c r="E51" s="48"/>
      <c r="G51" s="59"/>
      <c r="H51" s="59"/>
      <c r="I51" s="59"/>
      <c r="J51" s="59"/>
      <c r="K51" s="59"/>
      <c r="L51" s="59"/>
      <c r="M51" s="59"/>
      <c r="N51" s="59"/>
      <c r="O51" s="254"/>
      <c r="R51" s="252"/>
      <c r="S51" s="252"/>
    </row>
    <row r="52" spans="1:19" s="47" customFormat="1" ht="11.25">
      <c r="A52" s="51" t="s">
        <v>90</v>
      </c>
      <c r="E52" s="48"/>
      <c r="F52" s="202"/>
      <c r="G52" s="59"/>
      <c r="I52" s="155">
        <v>0</v>
      </c>
      <c r="L52" s="59"/>
      <c r="M52" s="59"/>
      <c r="N52" s="59"/>
      <c r="O52" s="254"/>
      <c r="R52" s="252"/>
      <c r="S52" s="252"/>
    </row>
    <row r="53" spans="1:19" s="51" customFormat="1" ht="11.25" hidden="1">
      <c r="A53" s="51" t="s">
        <v>68</v>
      </c>
      <c r="E53" s="53"/>
      <c r="G53" s="72"/>
      <c r="H53" s="72"/>
      <c r="I53" s="72"/>
      <c r="J53" s="72"/>
      <c r="K53" s="72"/>
      <c r="L53" s="72"/>
      <c r="M53" s="72"/>
      <c r="N53" s="72"/>
      <c r="O53" s="254"/>
      <c r="R53" s="252"/>
      <c r="S53" s="252"/>
    </row>
    <row r="54" spans="1:19" s="51" customFormat="1" ht="11.25" hidden="1">
      <c r="A54" s="51" t="s">
        <v>69</v>
      </c>
      <c r="E54" s="53"/>
      <c r="G54" s="72"/>
      <c r="H54" s="72"/>
      <c r="I54" s="72"/>
      <c r="J54" s="72"/>
      <c r="K54" s="72"/>
      <c r="L54" s="72"/>
      <c r="M54" s="72"/>
      <c r="N54" s="72"/>
      <c r="O54" s="254"/>
      <c r="R54" s="252"/>
      <c r="S54" s="252"/>
    </row>
    <row r="55" spans="1:19" s="51" customFormat="1" ht="11.25" hidden="1">
      <c r="A55" s="51" t="s">
        <v>70</v>
      </c>
      <c r="E55" s="53"/>
      <c r="G55" s="72"/>
      <c r="H55" s="72"/>
      <c r="I55" s="72"/>
      <c r="J55" s="72"/>
      <c r="K55" s="72"/>
      <c r="L55" s="72"/>
      <c r="M55" s="72"/>
      <c r="N55" s="72"/>
      <c r="O55" s="254"/>
      <c r="R55" s="252"/>
      <c r="S55" s="252"/>
    </row>
    <row r="56" spans="1:19" s="47" customFormat="1" ht="11.25">
      <c r="A56" s="51"/>
      <c r="B56" s="51"/>
      <c r="C56" s="51"/>
      <c r="D56" s="51"/>
      <c r="E56" s="48"/>
      <c r="G56" s="59"/>
      <c r="H56" s="59"/>
      <c r="I56" s="59"/>
      <c r="J56" s="59"/>
      <c r="K56" s="59"/>
      <c r="L56" s="59"/>
      <c r="M56" s="59"/>
      <c r="N56" s="59"/>
      <c r="O56" s="254"/>
      <c r="R56" s="252"/>
      <c r="S56" s="252"/>
    </row>
    <row r="57" spans="1:19" s="59" customFormat="1" ht="11.25">
      <c r="A57" s="51"/>
      <c r="B57" s="51"/>
      <c r="C57" s="51"/>
      <c r="D57" s="51"/>
      <c r="E57" s="57"/>
      <c r="F57" s="47"/>
      <c r="O57" s="253"/>
      <c r="R57" s="255"/>
      <c r="S57" s="255"/>
    </row>
    <row r="58" spans="1:19" s="59" customFormat="1" ht="11.25">
      <c r="A58" s="51"/>
      <c r="B58" s="51"/>
      <c r="C58" s="51"/>
      <c r="D58" s="51"/>
      <c r="E58" s="57"/>
      <c r="F58" s="47"/>
      <c r="O58" s="253"/>
      <c r="R58" s="255"/>
      <c r="S58" s="255"/>
    </row>
    <row r="59" spans="1:19" s="59" customFormat="1" ht="11.25">
      <c r="A59" s="51"/>
      <c r="B59" s="51"/>
      <c r="C59" s="51"/>
      <c r="D59" s="51"/>
      <c r="E59" s="57"/>
      <c r="F59" s="47"/>
      <c r="O59" s="253"/>
      <c r="R59" s="255"/>
      <c r="S59" s="255"/>
    </row>
  </sheetData>
  <mergeCells count="6">
    <mergeCell ref="R1:R2"/>
    <mergeCell ref="S1:S2"/>
    <mergeCell ref="J49:L49"/>
    <mergeCell ref="A1:D1"/>
    <mergeCell ref="H1:L1"/>
    <mergeCell ref="C2:D2"/>
  </mergeCells>
  <printOptions horizontalCentered="1" verticalCentered="1"/>
  <pageMargins left="0.4330708661417323" right="0.2755905511811024" top="0.4330708661417323" bottom="0.35433070866141736" header="0.1968503937007874" footer="0.2755905511811024"/>
  <pageSetup fitToHeight="1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workbookViewId="0" topLeftCell="A1">
      <pane ySplit="3" topLeftCell="BM29" activePane="bottomLeft" state="frozen"/>
      <selection pane="topLeft" activeCell="A34" sqref="A34"/>
      <selection pane="bottomLeft" activeCell="A34" sqref="A34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60" bestFit="1" customWidth="1"/>
    <col min="6" max="6" width="10.125" style="47" bestFit="1" customWidth="1"/>
    <col min="7" max="7" width="9.625" style="59" bestFit="1" customWidth="1"/>
    <col min="8" max="8" width="8.00390625" style="59" customWidth="1"/>
    <col min="9" max="9" width="7.625" style="59" customWidth="1"/>
    <col min="10" max="10" width="6.625" style="59" customWidth="1"/>
    <col min="11" max="11" width="8.00390625" style="59" customWidth="1"/>
    <col min="12" max="12" width="8.875" style="59" customWidth="1"/>
    <col min="13" max="13" width="10.125" style="59" hidden="1" customWidth="1"/>
    <col min="14" max="14" width="11.25390625" style="59" hidden="1" customWidth="1"/>
    <col min="15" max="15" width="8.25390625" style="401" hidden="1" customWidth="1"/>
    <col min="16" max="16" width="11.25390625" style="402" hidden="1" customWidth="1"/>
    <col min="17" max="17" width="9.875" style="949" customWidth="1" collapsed="1"/>
    <col min="18" max="18" width="7.375" style="255" customWidth="1"/>
    <col min="19" max="19" width="6.25390625" style="255" customWidth="1"/>
  </cols>
  <sheetData>
    <row r="1" spans="1:19" ht="15.75" customHeight="1">
      <c r="A1" s="1046" t="s">
        <v>236</v>
      </c>
      <c r="B1" s="1047"/>
      <c r="C1" s="1047"/>
      <c r="D1" s="1048"/>
      <c r="E1" s="1"/>
      <c r="F1" s="543" t="s">
        <v>0</v>
      </c>
      <c r="G1" s="606" t="s">
        <v>2</v>
      </c>
      <c r="H1" s="1050" t="s">
        <v>3</v>
      </c>
      <c r="I1" s="1050"/>
      <c r="J1" s="1050"/>
      <c r="K1" s="1050"/>
      <c r="L1" s="1051"/>
      <c r="M1" s="181" t="s">
        <v>1</v>
      </c>
      <c r="N1" s="538" t="s">
        <v>4</v>
      </c>
      <c r="O1" s="67" t="s">
        <v>144</v>
      </c>
      <c r="P1" s="67" t="s">
        <v>145</v>
      </c>
      <c r="Q1" s="947" t="s">
        <v>4</v>
      </c>
      <c r="R1" s="1056" t="s">
        <v>190</v>
      </c>
      <c r="S1" s="1057" t="s">
        <v>188</v>
      </c>
    </row>
    <row r="2" spans="1:19" s="16" customFormat="1" ht="13.5" thickBot="1">
      <c r="A2" s="298" t="s">
        <v>127</v>
      </c>
      <c r="B2" s="7"/>
      <c r="C2" s="1052" t="s">
        <v>74</v>
      </c>
      <c r="D2" s="1053"/>
      <c r="E2" s="9" t="s">
        <v>5</v>
      </c>
      <c r="F2" s="544">
        <v>2011</v>
      </c>
      <c r="G2" s="607" t="s">
        <v>8</v>
      </c>
      <c r="H2" s="69" t="s">
        <v>9</v>
      </c>
      <c r="I2" s="70" t="s">
        <v>10</v>
      </c>
      <c r="J2" s="303" t="s">
        <v>11</v>
      </c>
      <c r="K2" s="248" t="s">
        <v>126</v>
      </c>
      <c r="L2" s="68" t="s">
        <v>12</v>
      </c>
      <c r="M2" s="544" t="s">
        <v>7</v>
      </c>
      <c r="N2" s="539">
        <v>2011</v>
      </c>
      <c r="O2" s="71"/>
      <c r="P2" s="71"/>
      <c r="Q2" s="948">
        <v>2010</v>
      </c>
      <c r="R2" s="1056"/>
      <c r="S2" s="1057"/>
    </row>
    <row r="3" spans="1:17" ht="13.5" thickBot="1">
      <c r="A3" s="17" t="s">
        <v>13</v>
      </c>
      <c r="B3" s="18"/>
      <c r="C3" s="18"/>
      <c r="D3" s="18"/>
      <c r="E3" s="19">
        <v>1</v>
      </c>
      <c r="F3" s="197">
        <f>SUM(F5:F27)</f>
        <v>474456</v>
      </c>
      <c r="G3" s="237">
        <f aca="true" t="shared" si="0" ref="G3:N3">SUM(G5:G27)</f>
        <v>430336</v>
      </c>
      <c r="H3" s="125">
        <f t="shared" si="0"/>
        <v>20203</v>
      </c>
      <c r="I3" s="77">
        <f t="shared" si="0"/>
        <v>817</v>
      </c>
      <c r="J3" s="304">
        <f t="shared" si="0"/>
        <v>2000</v>
      </c>
      <c r="K3" s="77">
        <f t="shared" si="0"/>
        <v>5200</v>
      </c>
      <c r="L3" s="76">
        <f t="shared" si="0"/>
        <v>15900</v>
      </c>
      <c r="M3" s="197">
        <f>SUM(M5:M27)</f>
        <v>0</v>
      </c>
      <c r="N3" s="471">
        <f t="shared" si="0"/>
        <v>0</v>
      </c>
      <c r="O3" s="413">
        <f aca="true" t="shared" si="1" ref="O3:O19">IF(F3=0,0,N3/F3)</f>
        <v>0</v>
      </c>
      <c r="P3" s="78" t="e">
        <f>SUM(P5:P27)</f>
        <v>#DIV/0!</v>
      </c>
      <c r="Q3" s="588">
        <f>SUM(Q5:Q27)</f>
        <v>450902</v>
      </c>
    </row>
    <row r="4" spans="1:19" s="25" customFormat="1" ht="12">
      <c r="A4" s="21" t="s">
        <v>14</v>
      </c>
      <c r="B4" s="22" t="s">
        <v>15</v>
      </c>
      <c r="C4" s="22"/>
      <c r="D4" s="22"/>
      <c r="E4" s="23">
        <v>2</v>
      </c>
      <c r="F4" s="198">
        <f aca="true" t="shared" si="2" ref="F4:N4">SUM(F5:F15)</f>
        <v>329118</v>
      </c>
      <c r="G4" s="238">
        <f t="shared" si="2"/>
        <v>284998</v>
      </c>
      <c r="H4" s="128">
        <f t="shared" si="2"/>
        <v>20203</v>
      </c>
      <c r="I4" s="74">
        <f t="shared" si="2"/>
        <v>817</v>
      </c>
      <c r="J4" s="317">
        <f t="shared" si="2"/>
        <v>2000</v>
      </c>
      <c r="K4" s="74">
        <f t="shared" si="2"/>
        <v>5200</v>
      </c>
      <c r="L4" s="128">
        <f t="shared" si="2"/>
        <v>15900</v>
      </c>
      <c r="M4" s="198">
        <f>SUM(M5:M15)</f>
        <v>0</v>
      </c>
      <c r="N4" s="417">
        <f t="shared" si="2"/>
        <v>0</v>
      </c>
      <c r="O4" s="410">
        <f t="shared" si="1"/>
        <v>0</v>
      </c>
      <c r="P4" s="129" t="e">
        <f>SUM(P5:P15)</f>
        <v>#DIV/0!</v>
      </c>
      <c r="Q4" s="589">
        <f>SUM(Q5:Q15)</f>
        <v>314278</v>
      </c>
      <c r="R4" s="252"/>
      <c r="S4" s="252"/>
    </row>
    <row r="5" spans="1:19" s="65" customFormat="1" ht="12">
      <c r="A5" s="61"/>
      <c r="B5" s="62"/>
      <c r="C5" s="62" t="s">
        <v>16</v>
      </c>
      <c r="D5" s="63" t="s">
        <v>17</v>
      </c>
      <c r="E5" s="64">
        <v>3</v>
      </c>
      <c r="F5" s="87">
        <f>SUM(G5:L5)</f>
        <v>158688</v>
      </c>
      <c r="G5" s="599">
        <v>156488</v>
      </c>
      <c r="H5" s="600"/>
      <c r="I5" s="601">
        <v>200</v>
      </c>
      <c r="J5" s="602">
        <v>2000</v>
      </c>
      <c r="K5" s="601"/>
      <c r="L5" s="603"/>
      <c r="M5" s="87"/>
      <c r="N5" s="626"/>
      <c r="O5" s="627">
        <f t="shared" si="1"/>
        <v>0</v>
      </c>
      <c r="P5" s="853">
        <f>N5</f>
        <v>0</v>
      </c>
      <c r="Q5" s="956">
        <v>148193</v>
      </c>
      <c r="R5" s="546"/>
      <c r="S5" s="546"/>
    </row>
    <row r="6" spans="1:19" s="65" customFormat="1" ht="12">
      <c r="A6" s="61"/>
      <c r="B6" s="62"/>
      <c r="C6" s="62"/>
      <c r="D6" s="63" t="s">
        <v>18</v>
      </c>
      <c r="E6" s="64">
        <v>4</v>
      </c>
      <c r="F6" s="87">
        <f aca="true" t="shared" si="3" ref="F6:F45">SUM(G6:L6)</f>
        <v>8329</v>
      </c>
      <c r="G6" s="599">
        <v>8229</v>
      </c>
      <c r="H6" s="600"/>
      <c r="I6" s="601">
        <v>100</v>
      </c>
      <c r="J6" s="602"/>
      <c r="K6" s="601"/>
      <c r="L6" s="603"/>
      <c r="M6" s="87"/>
      <c r="N6" s="626"/>
      <c r="O6" s="627">
        <f t="shared" si="1"/>
        <v>0</v>
      </c>
      <c r="P6" s="853">
        <f>N6</f>
        <v>0</v>
      </c>
      <c r="Q6" s="956">
        <v>7649</v>
      </c>
      <c r="R6" s="546"/>
      <c r="S6" s="546"/>
    </row>
    <row r="7" spans="1:19" s="65" customFormat="1" ht="12">
      <c r="A7" s="61"/>
      <c r="B7" s="62"/>
      <c r="C7" s="62"/>
      <c r="D7" s="63" t="s">
        <v>19</v>
      </c>
      <c r="E7" s="64">
        <v>5</v>
      </c>
      <c r="F7" s="87">
        <f t="shared" si="3"/>
        <v>54841</v>
      </c>
      <c r="G7" s="599">
        <v>54771</v>
      </c>
      <c r="H7" s="600"/>
      <c r="I7" s="601">
        <v>70</v>
      </c>
      <c r="J7" s="602"/>
      <c r="K7" s="601"/>
      <c r="L7" s="603"/>
      <c r="M7" s="87"/>
      <c r="N7" s="626"/>
      <c r="O7" s="627">
        <f t="shared" si="1"/>
        <v>0</v>
      </c>
      <c r="P7" s="853">
        <f>N7</f>
        <v>0</v>
      </c>
      <c r="Q7" s="956">
        <v>52979</v>
      </c>
      <c r="R7" s="546"/>
      <c r="S7" s="546"/>
    </row>
    <row r="8" spans="1:19" s="65" customFormat="1" ht="12">
      <c r="A8" s="61"/>
      <c r="B8" s="62"/>
      <c r="C8" s="62"/>
      <c r="D8" s="63" t="s">
        <v>20</v>
      </c>
      <c r="E8" s="64">
        <v>6</v>
      </c>
      <c r="F8" s="87">
        <f t="shared" si="3"/>
        <v>11421</v>
      </c>
      <c r="G8" s="599">
        <v>6999</v>
      </c>
      <c r="H8" s="600">
        <v>4422</v>
      </c>
      <c r="I8" s="601"/>
      <c r="J8" s="602"/>
      <c r="K8" s="601"/>
      <c r="L8" s="603"/>
      <c r="M8" s="87"/>
      <c r="N8" s="626"/>
      <c r="O8" s="627">
        <f t="shared" si="1"/>
        <v>0</v>
      </c>
      <c r="P8" s="603" t="e">
        <f>N8/titl!$H$17*12</f>
        <v>#DIV/0!</v>
      </c>
      <c r="Q8" s="956">
        <v>8130</v>
      </c>
      <c r="R8" s="546"/>
      <c r="S8" s="546"/>
    </row>
    <row r="9" spans="1:19" s="65" customFormat="1" ht="12">
      <c r="A9" s="61"/>
      <c r="B9" s="62"/>
      <c r="C9" s="62"/>
      <c r="D9" s="63" t="s">
        <v>21</v>
      </c>
      <c r="E9" s="64">
        <v>7</v>
      </c>
      <c r="F9" s="87">
        <f t="shared" si="3"/>
        <v>5090</v>
      </c>
      <c r="G9" s="599">
        <v>1666</v>
      </c>
      <c r="H9" s="600">
        <v>3424</v>
      </c>
      <c r="I9" s="601"/>
      <c r="J9" s="602"/>
      <c r="K9" s="601"/>
      <c r="L9" s="603"/>
      <c r="M9" s="87"/>
      <c r="N9" s="626"/>
      <c r="O9" s="627">
        <f t="shared" si="1"/>
        <v>0</v>
      </c>
      <c r="P9" s="603" t="e">
        <f>N9/titl!$H$17*12</f>
        <v>#DIV/0!</v>
      </c>
      <c r="Q9" s="956">
        <v>1964</v>
      </c>
      <c r="R9" s="546"/>
      <c r="S9" s="546"/>
    </row>
    <row r="10" spans="1:19" s="65" customFormat="1" ht="12">
      <c r="A10" s="61"/>
      <c r="B10" s="62"/>
      <c r="C10" s="62"/>
      <c r="D10" s="63" t="s">
        <v>22</v>
      </c>
      <c r="E10" s="64">
        <v>8</v>
      </c>
      <c r="F10" s="87">
        <f t="shared" si="3"/>
        <v>12290</v>
      </c>
      <c r="G10" s="599">
        <v>6894</v>
      </c>
      <c r="H10" s="600">
        <v>5131</v>
      </c>
      <c r="I10" s="601">
        <v>265</v>
      </c>
      <c r="J10" s="602"/>
      <c r="K10" s="601"/>
      <c r="L10" s="603"/>
      <c r="M10" s="87"/>
      <c r="N10" s="626"/>
      <c r="O10" s="627">
        <f t="shared" si="1"/>
        <v>0</v>
      </c>
      <c r="P10" s="603" t="e">
        <f>N10/titl!$H$17*12</f>
        <v>#DIV/0!</v>
      </c>
      <c r="Q10" s="956">
        <v>9743</v>
      </c>
      <c r="R10" s="546"/>
      <c r="S10" s="546"/>
    </row>
    <row r="11" spans="1:19" s="65" customFormat="1" ht="12">
      <c r="A11" s="61"/>
      <c r="B11" s="62"/>
      <c r="C11" s="62"/>
      <c r="D11" s="63" t="s">
        <v>23</v>
      </c>
      <c r="E11" s="64">
        <v>9</v>
      </c>
      <c r="F11" s="87">
        <f t="shared" si="3"/>
        <v>23073</v>
      </c>
      <c r="G11" s="599">
        <v>15695</v>
      </c>
      <c r="H11" s="600">
        <v>7226</v>
      </c>
      <c r="I11" s="601">
        <v>152</v>
      </c>
      <c r="J11" s="602"/>
      <c r="K11" s="601"/>
      <c r="L11" s="603"/>
      <c r="M11" s="87"/>
      <c r="N11" s="626"/>
      <c r="O11" s="627">
        <f t="shared" si="1"/>
        <v>0</v>
      </c>
      <c r="P11" s="603" t="e">
        <f>N11/titl!$H$17*12</f>
        <v>#DIV/0!</v>
      </c>
      <c r="Q11" s="956">
        <v>14932</v>
      </c>
      <c r="R11" s="546"/>
      <c r="S11" s="546"/>
    </row>
    <row r="12" spans="1:19" s="65" customFormat="1" ht="12">
      <c r="A12" s="61"/>
      <c r="B12" s="62"/>
      <c r="C12" s="62"/>
      <c r="D12" s="63" t="s">
        <v>24</v>
      </c>
      <c r="E12" s="64">
        <v>10</v>
      </c>
      <c r="F12" s="87">
        <f t="shared" si="3"/>
        <v>1981</v>
      </c>
      <c r="G12" s="599">
        <v>1951</v>
      </c>
      <c r="H12" s="600"/>
      <c r="I12" s="601">
        <v>30</v>
      </c>
      <c r="J12" s="602"/>
      <c r="K12" s="601"/>
      <c r="L12" s="603"/>
      <c r="M12" s="87"/>
      <c r="N12" s="626"/>
      <c r="O12" s="627">
        <f t="shared" si="1"/>
        <v>0</v>
      </c>
      <c r="P12" s="603" t="e">
        <f>N12/titl!$H$17*12</f>
        <v>#DIV/0!</v>
      </c>
      <c r="Q12" s="956">
        <v>1429</v>
      </c>
      <c r="R12" s="546"/>
      <c r="S12" s="546"/>
    </row>
    <row r="13" spans="1:19" s="65" customFormat="1" ht="12">
      <c r="A13" s="61"/>
      <c r="B13" s="62"/>
      <c r="C13" s="62"/>
      <c r="D13" s="63" t="s">
        <v>25</v>
      </c>
      <c r="E13" s="64">
        <v>11</v>
      </c>
      <c r="F13" s="87">
        <f t="shared" si="3"/>
        <v>7500</v>
      </c>
      <c r="G13" s="599">
        <v>7500</v>
      </c>
      <c r="H13" s="600"/>
      <c r="I13" s="601"/>
      <c r="J13" s="602"/>
      <c r="K13" s="601"/>
      <c r="L13" s="603"/>
      <c r="M13" s="87"/>
      <c r="N13" s="626"/>
      <c r="O13" s="627">
        <f t="shared" si="1"/>
        <v>0</v>
      </c>
      <c r="P13" s="853">
        <f>N13</f>
        <v>0</v>
      </c>
      <c r="Q13" s="956">
        <v>7495</v>
      </c>
      <c r="R13" s="546"/>
      <c r="S13" s="546"/>
    </row>
    <row r="14" spans="1:19" s="65" customFormat="1" ht="12">
      <c r="A14" s="61"/>
      <c r="B14" s="62"/>
      <c r="C14" s="62"/>
      <c r="D14" s="63" t="s">
        <v>26</v>
      </c>
      <c r="E14" s="64">
        <v>12</v>
      </c>
      <c r="F14" s="87">
        <f t="shared" si="3"/>
        <v>15900</v>
      </c>
      <c r="G14" s="599"/>
      <c r="H14" s="600"/>
      <c r="I14" s="601"/>
      <c r="J14" s="602"/>
      <c r="K14" s="604"/>
      <c r="L14" s="605">
        <v>15900</v>
      </c>
      <c r="M14" s="87"/>
      <c r="N14" s="626"/>
      <c r="O14" s="627">
        <f t="shared" si="1"/>
        <v>0</v>
      </c>
      <c r="P14" s="603" t="e">
        <f>N14/titl!$H$17*12</f>
        <v>#DIV/0!</v>
      </c>
      <c r="Q14" s="956">
        <v>13716</v>
      </c>
      <c r="R14" s="546"/>
      <c r="S14" s="546"/>
    </row>
    <row r="15" spans="1:19" s="65" customFormat="1" ht="12">
      <c r="A15" s="61"/>
      <c r="B15" s="62"/>
      <c r="C15" s="63"/>
      <c r="D15" s="63" t="s">
        <v>27</v>
      </c>
      <c r="E15" s="64">
        <v>13</v>
      </c>
      <c r="F15" s="87">
        <f t="shared" si="3"/>
        <v>30005</v>
      </c>
      <c r="G15" s="599">
        <v>24805</v>
      </c>
      <c r="H15" s="600"/>
      <c r="I15" s="601"/>
      <c r="J15" s="602"/>
      <c r="K15" s="604">
        <v>5200</v>
      </c>
      <c r="L15" s="605"/>
      <c r="M15" s="87"/>
      <c r="N15" s="626"/>
      <c r="O15" s="627">
        <f t="shared" si="1"/>
        <v>0</v>
      </c>
      <c r="P15" s="603" t="e">
        <f>N15/titl!$H$17*12</f>
        <v>#DIV/0!</v>
      </c>
      <c r="Q15" s="956">
        <v>48048</v>
      </c>
      <c r="R15" s="546"/>
      <c r="S15" s="546"/>
    </row>
    <row r="16" spans="1:19" s="25" customFormat="1" ht="12">
      <c r="A16" s="21"/>
      <c r="B16" s="30" t="s">
        <v>28</v>
      </c>
      <c r="C16" s="27"/>
      <c r="D16" s="27"/>
      <c r="E16" s="28">
        <v>14</v>
      </c>
      <c r="F16" s="119">
        <f t="shared" si="3"/>
        <v>31120</v>
      </c>
      <c r="G16" s="473">
        <v>31120</v>
      </c>
      <c r="H16" s="128"/>
      <c r="I16" s="74"/>
      <c r="J16" s="317"/>
      <c r="K16" s="74"/>
      <c r="L16" s="129"/>
      <c r="M16" s="119">
        <f>M30</f>
        <v>0</v>
      </c>
      <c r="N16" s="454"/>
      <c r="O16" s="445">
        <f t="shared" si="1"/>
        <v>0</v>
      </c>
      <c r="P16" s="129">
        <f>P30</f>
        <v>0</v>
      </c>
      <c r="Q16" s="957">
        <v>30068</v>
      </c>
      <c r="R16" s="252"/>
      <c r="S16" s="252"/>
    </row>
    <row r="17" spans="1:19" s="25" customFormat="1" ht="12">
      <c r="A17" s="21"/>
      <c r="B17" s="30" t="s">
        <v>30</v>
      </c>
      <c r="C17" s="27"/>
      <c r="D17" s="27"/>
      <c r="E17" s="28">
        <v>15</v>
      </c>
      <c r="F17" s="119">
        <f t="shared" si="3"/>
        <v>4811</v>
      </c>
      <c r="G17" s="473">
        <v>4811</v>
      </c>
      <c r="H17" s="128"/>
      <c r="I17" s="74"/>
      <c r="J17" s="317"/>
      <c r="K17" s="74"/>
      <c r="L17" s="129"/>
      <c r="M17" s="119">
        <f>M31</f>
        <v>0</v>
      </c>
      <c r="N17" s="454"/>
      <c r="O17" s="445">
        <f t="shared" si="1"/>
        <v>0</v>
      </c>
      <c r="P17" s="129">
        <f>P31</f>
        <v>0</v>
      </c>
      <c r="Q17" s="957">
        <v>4798</v>
      </c>
      <c r="R17" s="252"/>
      <c r="S17" s="252"/>
    </row>
    <row r="18" spans="1:19" s="25" customFormat="1" ht="12">
      <c r="A18" s="21"/>
      <c r="B18" s="31" t="s">
        <v>32</v>
      </c>
      <c r="C18" s="32"/>
      <c r="D18" s="32"/>
      <c r="E18" s="33">
        <v>16</v>
      </c>
      <c r="F18" s="119">
        <f t="shared" si="3"/>
        <v>3552</v>
      </c>
      <c r="G18" s="473">
        <v>3552</v>
      </c>
      <c r="H18" s="128"/>
      <c r="I18" s="74"/>
      <c r="J18" s="317"/>
      <c r="K18" s="74"/>
      <c r="L18" s="129"/>
      <c r="M18" s="119">
        <f>M32</f>
        <v>0</v>
      </c>
      <c r="N18" s="454"/>
      <c r="O18" s="445">
        <f t="shared" si="1"/>
        <v>0</v>
      </c>
      <c r="P18" s="129">
        <f>P32</f>
        <v>0</v>
      </c>
      <c r="Q18" s="957">
        <v>4697</v>
      </c>
      <c r="R18" s="252"/>
      <c r="S18" s="252"/>
    </row>
    <row r="19" spans="1:19" s="25" customFormat="1" ht="12">
      <c r="A19" s="21"/>
      <c r="B19" s="31" t="s">
        <v>34</v>
      </c>
      <c r="C19" s="32"/>
      <c r="D19" s="32"/>
      <c r="E19" s="33">
        <v>17</v>
      </c>
      <c r="F19" s="119">
        <f t="shared" si="3"/>
        <v>1760</v>
      </c>
      <c r="G19" s="473">
        <v>1760</v>
      </c>
      <c r="H19" s="128"/>
      <c r="I19" s="74"/>
      <c r="J19" s="317"/>
      <c r="K19" s="74"/>
      <c r="L19" s="129"/>
      <c r="M19" s="119">
        <f>M33</f>
        <v>0</v>
      </c>
      <c r="N19" s="454"/>
      <c r="O19" s="445">
        <f t="shared" si="1"/>
        <v>0</v>
      </c>
      <c r="P19" s="129">
        <f>P33</f>
        <v>0</v>
      </c>
      <c r="Q19" s="957">
        <v>1760</v>
      </c>
      <c r="R19" s="252"/>
      <c r="S19" s="252"/>
    </row>
    <row r="20" spans="1:19" s="25" customFormat="1" ht="12">
      <c r="A20" s="21"/>
      <c r="B20" s="31" t="s">
        <v>36</v>
      </c>
      <c r="C20" s="31"/>
      <c r="D20" s="31"/>
      <c r="E20" s="33">
        <v>18</v>
      </c>
      <c r="F20" s="119">
        <f t="shared" si="3"/>
        <v>2500</v>
      </c>
      <c r="G20" s="473">
        <v>2500</v>
      </c>
      <c r="H20" s="128"/>
      <c r="I20" s="74"/>
      <c r="J20" s="317"/>
      <c r="K20" s="74"/>
      <c r="L20" s="129"/>
      <c r="M20" s="119">
        <f>M35</f>
        <v>0</v>
      </c>
      <c r="N20" s="454"/>
      <c r="O20" s="445">
        <f aca="true" t="shared" si="4" ref="O20:O45">IF(F20=0,0,N20/F20)</f>
        <v>0</v>
      </c>
      <c r="P20" s="129">
        <f>P35</f>
        <v>0</v>
      </c>
      <c r="Q20" s="957">
        <v>2724</v>
      </c>
      <c r="R20" s="252"/>
      <c r="S20" s="252"/>
    </row>
    <row r="21" spans="1:19" s="640" customFormat="1" ht="12">
      <c r="A21" s="628"/>
      <c r="B21" s="629" t="s">
        <v>175</v>
      </c>
      <c r="C21" s="629"/>
      <c r="D21" s="629"/>
      <c r="E21" s="630">
        <v>19</v>
      </c>
      <c r="F21" s="631">
        <f t="shared" si="3"/>
        <v>38050</v>
      </c>
      <c r="G21" s="652">
        <v>38050</v>
      </c>
      <c r="H21" s="653"/>
      <c r="I21" s="654"/>
      <c r="J21" s="655"/>
      <c r="K21" s="654"/>
      <c r="L21" s="656"/>
      <c r="M21" s="631"/>
      <c r="N21" s="657"/>
      <c r="O21" s="658">
        <f t="shared" si="4"/>
        <v>0</v>
      </c>
      <c r="P21" s="656">
        <f>N21</f>
        <v>0</v>
      </c>
      <c r="Q21" s="957">
        <v>25520</v>
      </c>
      <c r="R21" s="252"/>
      <c r="S21" s="252"/>
    </row>
    <row r="22" spans="1:19" s="25" customFormat="1" ht="12">
      <c r="A22" s="21"/>
      <c r="B22" s="31" t="s">
        <v>40</v>
      </c>
      <c r="C22" s="31"/>
      <c r="D22" s="31"/>
      <c r="E22" s="33">
        <v>20</v>
      </c>
      <c r="F22" s="119">
        <f t="shared" si="3"/>
        <v>4500</v>
      </c>
      <c r="G22" s="473">
        <v>4500</v>
      </c>
      <c r="H22" s="128"/>
      <c r="I22" s="74"/>
      <c r="J22" s="317"/>
      <c r="K22" s="74"/>
      <c r="L22" s="129"/>
      <c r="M22" s="119"/>
      <c r="N22" s="454"/>
      <c r="O22" s="445">
        <f t="shared" si="4"/>
        <v>0</v>
      </c>
      <c r="P22" s="129">
        <f>P37</f>
        <v>0</v>
      </c>
      <c r="Q22" s="957">
        <v>4028</v>
      </c>
      <c r="R22" s="252"/>
      <c r="S22" s="252"/>
    </row>
    <row r="23" spans="1:19" s="25" customFormat="1" ht="12">
      <c r="A23" s="21"/>
      <c r="B23" s="31" t="s">
        <v>42</v>
      </c>
      <c r="C23" s="31"/>
      <c r="D23" s="31"/>
      <c r="E23" s="33">
        <v>21</v>
      </c>
      <c r="F23" s="119">
        <f t="shared" si="3"/>
        <v>20005</v>
      </c>
      <c r="G23" s="473">
        <v>20005</v>
      </c>
      <c r="H23" s="128"/>
      <c r="I23" s="74"/>
      <c r="J23" s="317"/>
      <c r="K23" s="74"/>
      <c r="L23" s="129"/>
      <c r="M23" s="119">
        <f>M39</f>
        <v>0</v>
      </c>
      <c r="N23" s="454"/>
      <c r="O23" s="445">
        <f t="shared" si="4"/>
        <v>0</v>
      </c>
      <c r="P23" s="129">
        <f>P39</f>
        <v>0</v>
      </c>
      <c r="Q23" s="957">
        <v>25509</v>
      </c>
      <c r="R23" s="252"/>
      <c r="S23" s="252"/>
    </row>
    <row r="24" spans="1:19" s="25" customFormat="1" ht="12">
      <c r="A24" s="21"/>
      <c r="B24" s="31" t="s">
        <v>43</v>
      </c>
      <c r="C24" s="31"/>
      <c r="D24" s="31"/>
      <c r="E24" s="33">
        <v>22</v>
      </c>
      <c r="F24" s="119">
        <f t="shared" si="3"/>
        <v>38000</v>
      </c>
      <c r="G24" s="473">
        <v>38000</v>
      </c>
      <c r="H24" s="128"/>
      <c r="I24" s="74"/>
      <c r="J24" s="317"/>
      <c r="K24" s="74"/>
      <c r="L24" s="129"/>
      <c r="M24" s="119">
        <f>M40</f>
        <v>0</v>
      </c>
      <c r="N24" s="454"/>
      <c r="O24" s="445">
        <f t="shared" si="4"/>
        <v>0</v>
      </c>
      <c r="P24" s="129">
        <f>P40</f>
        <v>0</v>
      </c>
      <c r="Q24" s="957">
        <v>36964</v>
      </c>
      <c r="R24" s="252"/>
      <c r="S24" s="252"/>
    </row>
    <row r="25" spans="1:19" s="640" customFormat="1" ht="12">
      <c r="A25" s="628"/>
      <c r="B25" s="629" t="s">
        <v>186</v>
      </c>
      <c r="C25" s="629"/>
      <c r="D25" s="629"/>
      <c r="E25" s="630">
        <v>23</v>
      </c>
      <c r="F25" s="631">
        <f t="shared" si="3"/>
        <v>100</v>
      </c>
      <c r="G25" s="652">
        <v>100</v>
      </c>
      <c r="H25" s="653"/>
      <c r="I25" s="654"/>
      <c r="J25" s="655"/>
      <c r="K25" s="654"/>
      <c r="L25" s="656"/>
      <c r="M25" s="631"/>
      <c r="N25" s="657"/>
      <c r="O25" s="658">
        <f t="shared" si="4"/>
        <v>0</v>
      </c>
      <c r="P25" s="656">
        <f>P41</f>
        <v>0</v>
      </c>
      <c r="Q25" s="957"/>
      <c r="R25" s="252"/>
      <c r="S25" s="252"/>
    </row>
    <row r="26" spans="1:19" s="25" customFormat="1" ht="12">
      <c r="A26" s="21"/>
      <c r="B26" s="31" t="s">
        <v>45</v>
      </c>
      <c r="C26" s="31"/>
      <c r="D26" s="31"/>
      <c r="E26" s="33">
        <v>24</v>
      </c>
      <c r="F26" s="119">
        <f t="shared" si="3"/>
        <v>650</v>
      </c>
      <c r="G26" s="473">
        <v>650</v>
      </c>
      <c r="H26" s="128"/>
      <c r="I26" s="74"/>
      <c r="J26" s="317"/>
      <c r="K26" s="74"/>
      <c r="L26" s="129"/>
      <c r="M26" s="119"/>
      <c r="N26" s="454"/>
      <c r="O26" s="445">
        <f t="shared" si="4"/>
        <v>0</v>
      </c>
      <c r="P26" s="129">
        <f>P42</f>
        <v>0</v>
      </c>
      <c r="Q26" s="957">
        <v>556</v>
      </c>
      <c r="R26" s="252"/>
      <c r="S26" s="252"/>
    </row>
    <row r="27" spans="1:19" s="25" customFormat="1" ht="12.75" thickBot="1">
      <c r="A27" s="21"/>
      <c r="B27" s="30" t="s">
        <v>47</v>
      </c>
      <c r="C27" s="30"/>
      <c r="D27" s="30"/>
      <c r="E27" s="28">
        <v>25</v>
      </c>
      <c r="F27" s="119">
        <f t="shared" si="3"/>
        <v>290</v>
      </c>
      <c r="G27" s="474">
        <v>290</v>
      </c>
      <c r="H27" s="130"/>
      <c r="I27" s="131"/>
      <c r="J27" s="318"/>
      <c r="K27" s="131"/>
      <c r="L27" s="132"/>
      <c r="M27" s="119"/>
      <c r="N27" s="455"/>
      <c r="O27" s="446">
        <f t="shared" si="4"/>
        <v>0</v>
      </c>
      <c r="P27" s="258" t="e">
        <f>N27/titl!$H$17*12</f>
        <v>#DIV/0!</v>
      </c>
      <c r="Q27" s="958"/>
      <c r="R27" s="252"/>
      <c r="S27" s="252"/>
    </row>
    <row r="28" spans="1:17" ht="13.5" thickBot="1">
      <c r="A28" s="37" t="s">
        <v>49</v>
      </c>
      <c r="B28" s="38"/>
      <c r="C28" s="38"/>
      <c r="D28" s="38"/>
      <c r="E28" s="19">
        <v>26</v>
      </c>
      <c r="F28" s="197">
        <f>SUM(F29:F45)</f>
        <v>476668</v>
      </c>
      <c r="G28" s="237">
        <f aca="true" t="shared" si="5" ref="G28:N28">SUM(G29:G45)</f>
        <v>432548</v>
      </c>
      <c r="H28" s="125">
        <f t="shared" si="5"/>
        <v>20203</v>
      </c>
      <c r="I28" s="77">
        <f t="shared" si="5"/>
        <v>817</v>
      </c>
      <c r="J28" s="304">
        <f t="shared" si="5"/>
        <v>2000</v>
      </c>
      <c r="K28" s="77">
        <f t="shared" si="5"/>
        <v>5200</v>
      </c>
      <c r="L28" s="76">
        <f t="shared" si="5"/>
        <v>15900</v>
      </c>
      <c r="M28" s="197">
        <f>SUM(M29:M45)</f>
        <v>0</v>
      </c>
      <c r="N28" s="471">
        <f t="shared" si="5"/>
        <v>0</v>
      </c>
      <c r="O28" s="413">
        <f t="shared" si="4"/>
        <v>0</v>
      </c>
      <c r="P28" s="78" t="e">
        <f>SUM(P29:P45)</f>
        <v>#DIV/0!</v>
      </c>
      <c r="Q28" s="588">
        <f>SUM(Q29:Q45)</f>
        <v>460757</v>
      </c>
    </row>
    <row r="29" spans="1:19" s="25" customFormat="1" ht="12">
      <c r="A29" s="21" t="s">
        <v>14</v>
      </c>
      <c r="B29" s="27" t="s">
        <v>50</v>
      </c>
      <c r="C29" s="27"/>
      <c r="D29" s="27"/>
      <c r="E29" s="28">
        <v>27</v>
      </c>
      <c r="F29" s="119">
        <f t="shared" si="3"/>
        <v>224694</v>
      </c>
      <c r="G29" s="473">
        <v>224694</v>
      </c>
      <c r="H29" s="128"/>
      <c r="I29" s="74"/>
      <c r="J29" s="317"/>
      <c r="K29" s="74"/>
      <c r="L29" s="128"/>
      <c r="M29" s="198"/>
      <c r="N29" s="456"/>
      <c r="O29" s="445">
        <f t="shared" si="4"/>
        <v>0</v>
      </c>
      <c r="P29" s="104">
        <f>M29</f>
        <v>0</v>
      </c>
      <c r="Q29" s="960">
        <v>249908</v>
      </c>
      <c r="R29" s="252">
        <v>8114</v>
      </c>
      <c r="S29" s="252"/>
    </row>
    <row r="30" spans="1:19" s="25" customFormat="1" ht="12">
      <c r="A30" s="21"/>
      <c r="B30" s="30" t="s">
        <v>28</v>
      </c>
      <c r="C30" s="30"/>
      <c r="D30" s="30"/>
      <c r="E30" s="28">
        <v>28</v>
      </c>
      <c r="F30" s="119">
        <f t="shared" si="3"/>
        <v>31120</v>
      </c>
      <c r="G30" s="475">
        <f>G16</f>
        <v>31120</v>
      </c>
      <c r="H30" s="108"/>
      <c r="I30" s="107"/>
      <c r="J30" s="257"/>
      <c r="K30" s="107"/>
      <c r="L30" s="108"/>
      <c r="M30" s="472"/>
      <c r="N30" s="457"/>
      <c r="O30" s="445">
        <f t="shared" si="4"/>
        <v>0</v>
      </c>
      <c r="P30" s="104">
        <f>M30</f>
        <v>0</v>
      </c>
      <c r="Q30" s="961">
        <f>Q16</f>
        <v>30068</v>
      </c>
      <c r="R30" s="252"/>
      <c r="S30" s="252"/>
    </row>
    <row r="31" spans="1:19" s="25" customFormat="1" ht="12">
      <c r="A31" s="21"/>
      <c r="B31" s="30" t="s">
        <v>30</v>
      </c>
      <c r="C31" s="30"/>
      <c r="D31" s="30"/>
      <c r="E31" s="28">
        <v>29</v>
      </c>
      <c r="F31" s="119">
        <f t="shared" si="3"/>
        <v>4811</v>
      </c>
      <c r="G31" s="475">
        <f>G17</f>
        <v>4811</v>
      </c>
      <c r="H31" s="108"/>
      <c r="I31" s="107"/>
      <c r="J31" s="257"/>
      <c r="K31" s="107"/>
      <c r="L31" s="108"/>
      <c r="M31" s="472"/>
      <c r="N31" s="457"/>
      <c r="O31" s="445">
        <f t="shared" si="4"/>
        <v>0</v>
      </c>
      <c r="P31" s="104">
        <f>M31</f>
        <v>0</v>
      </c>
      <c r="Q31" s="961">
        <f>Q17</f>
        <v>4798</v>
      </c>
      <c r="R31" s="252"/>
      <c r="S31" s="252"/>
    </row>
    <row r="32" spans="1:19" s="25" customFormat="1" ht="12">
      <c r="A32" s="21"/>
      <c r="B32" s="31" t="s">
        <v>32</v>
      </c>
      <c r="C32" s="32"/>
      <c r="D32" s="32"/>
      <c r="E32" s="33">
        <v>30</v>
      </c>
      <c r="F32" s="119">
        <f t="shared" si="3"/>
        <v>3552</v>
      </c>
      <c r="G32" s="475">
        <f>G18</f>
        <v>3552</v>
      </c>
      <c r="H32" s="108"/>
      <c r="I32" s="107"/>
      <c r="J32" s="257"/>
      <c r="K32" s="107"/>
      <c r="L32" s="108"/>
      <c r="M32" s="472"/>
      <c r="N32" s="457"/>
      <c r="O32" s="445">
        <f t="shared" si="4"/>
        <v>0</v>
      </c>
      <c r="P32" s="104">
        <f>M32</f>
        <v>0</v>
      </c>
      <c r="Q32" s="961">
        <f>Q18</f>
        <v>4697</v>
      </c>
      <c r="R32" s="252"/>
      <c r="S32" s="252"/>
    </row>
    <row r="33" spans="1:19" s="25" customFormat="1" ht="12">
      <c r="A33" s="21"/>
      <c r="B33" s="31" t="s">
        <v>34</v>
      </c>
      <c r="C33" s="31"/>
      <c r="D33" s="31"/>
      <c r="E33" s="33">
        <v>31</v>
      </c>
      <c r="F33" s="119">
        <f t="shared" si="3"/>
        <v>1760</v>
      </c>
      <c r="G33" s="475">
        <f>G19</f>
        <v>1760</v>
      </c>
      <c r="H33" s="108"/>
      <c r="I33" s="107"/>
      <c r="J33" s="257"/>
      <c r="K33" s="107"/>
      <c r="L33" s="108"/>
      <c r="M33" s="472"/>
      <c r="N33" s="457"/>
      <c r="O33" s="445">
        <f t="shared" si="4"/>
        <v>0</v>
      </c>
      <c r="P33" s="104">
        <f>M33</f>
        <v>0</v>
      </c>
      <c r="Q33" s="961">
        <f>Q19</f>
        <v>1760</v>
      </c>
      <c r="R33" s="252"/>
      <c r="S33" s="252"/>
    </row>
    <row r="34" spans="1:19" s="25" customFormat="1" ht="12">
      <c r="A34" s="21"/>
      <c r="B34" s="31" t="s">
        <v>52</v>
      </c>
      <c r="C34" s="31"/>
      <c r="D34" s="31"/>
      <c r="E34" s="33">
        <v>32</v>
      </c>
      <c r="F34" s="119">
        <f t="shared" si="3"/>
        <v>0</v>
      </c>
      <c r="G34" s="475"/>
      <c r="H34" s="108"/>
      <c r="I34" s="107"/>
      <c r="J34" s="257"/>
      <c r="K34" s="107"/>
      <c r="L34" s="108"/>
      <c r="M34" s="472"/>
      <c r="N34" s="457"/>
      <c r="O34" s="445">
        <f t="shared" si="4"/>
        <v>0</v>
      </c>
      <c r="P34" s="104">
        <f>F34</f>
        <v>0</v>
      </c>
      <c r="Q34" s="961"/>
      <c r="R34" s="252"/>
      <c r="S34" s="252"/>
    </row>
    <row r="35" spans="1:19" s="25" customFormat="1" ht="12">
      <c r="A35" s="21"/>
      <c r="B35" s="31" t="s">
        <v>36</v>
      </c>
      <c r="C35" s="31"/>
      <c r="D35" s="31"/>
      <c r="E35" s="33">
        <v>33</v>
      </c>
      <c r="F35" s="119">
        <f t="shared" si="3"/>
        <v>2500</v>
      </c>
      <c r="G35" s="475">
        <f>G20</f>
        <v>2500</v>
      </c>
      <c r="H35" s="108"/>
      <c r="I35" s="107"/>
      <c r="J35" s="257"/>
      <c r="K35" s="107"/>
      <c r="L35" s="108"/>
      <c r="M35" s="472"/>
      <c r="N35" s="457"/>
      <c r="O35" s="445">
        <f t="shared" si="4"/>
        <v>0</v>
      </c>
      <c r="P35" s="104">
        <f>M35</f>
        <v>0</v>
      </c>
      <c r="Q35" s="961">
        <f>Q20</f>
        <v>2724</v>
      </c>
      <c r="R35" s="252"/>
      <c r="S35" s="252"/>
    </row>
    <row r="36" spans="1:19" s="640" customFormat="1" ht="12">
      <c r="A36" s="628"/>
      <c r="B36" s="629" t="s">
        <v>175</v>
      </c>
      <c r="C36" s="629"/>
      <c r="D36" s="629"/>
      <c r="E36" s="630">
        <v>34</v>
      </c>
      <c r="F36" s="631">
        <f t="shared" si="3"/>
        <v>38050</v>
      </c>
      <c r="G36" s="696">
        <f>G21</f>
        <v>38050</v>
      </c>
      <c r="H36" s="697"/>
      <c r="I36" s="698"/>
      <c r="J36" s="699"/>
      <c r="K36" s="698"/>
      <c r="L36" s="697"/>
      <c r="M36" s="632"/>
      <c r="N36" s="700"/>
      <c r="O36" s="658">
        <f t="shared" si="4"/>
        <v>0</v>
      </c>
      <c r="P36" s="701">
        <f>P21</f>
        <v>0</v>
      </c>
      <c r="Q36" s="959">
        <f>Q21</f>
        <v>25520</v>
      </c>
      <c r="R36" s="252"/>
      <c r="S36" s="252"/>
    </row>
    <row r="37" spans="1:19" s="25" customFormat="1" ht="12">
      <c r="A37" s="21"/>
      <c r="B37" s="31" t="s">
        <v>54</v>
      </c>
      <c r="C37" s="31"/>
      <c r="D37" s="31"/>
      <c r="E37" s="33">
        <v>35</v>
      </c>
      <c r="F37" s="119">
        <f t="shared" si="3"/>
        <v>4500</v>
      </c>
      <c r="G37" s="475">
        <f>G22</f>
        <v>4500</v>
      </c>
      <c r="H37" s="108"/>
      <c r="I37" s="107"/>
      <c r="J37" s="257"/>
      <c r="K37" s="107"/>
      <c r="L37" s="108"/>
      <c r="M37" s="472"/>
      <c r="N37" s="448"/>
      <c r="O37" s="445">
        <f t="shared" si="4"/>
        <v>0</v>
      </c>
      <c r="P37" s="104">
        <f aca="true" t="shared" si="6" ref="P37:P42">N37</f>
        <v>0</v>
      </c>
      <c r="Q37" s="959">
        <f>Q22</f>
        <v>4028</v>
      </c>
      <c r="R37" s="252"/>
      <c r="S37" s="252"/>
    </row>
    <row r="38" spans="1:19" s="25" customFormat="1" ht="12">
      <c r="A38" s="21"/>
      <c r="B38" s="31" t="s">
        <v>170</v>
      </c>
      <c r="C38" s="31"/>
      <c r="D38" s="31"/>
      <c r="E38" s="33">
        <v>36</v>
      </c>
      <c r="F38" s="119">
        <f t="shared" si="3"/>
        <v>23369</v>
      </c>
      <c r="G38" s="475">
        <v>23369</v>
      </c>
      <c r="H38" s="108"/>
      <c r="I38" s="107"/>
      <c r="J38" s="257"/>
      <c r="K38" s="107"/>
      <c r="L38" s="108"/>
      <c r="M38" s="472"/>
      <c r="N38" s="457"/>
      <c r="O38" s="445">
        <f t="shared" si="4"/>
        <v>0</v>
      </c>
      <c r="P38" s="104">
        <f t="shared" si="6"/>
        <v>0</v>
      </c>
      <c r="Q38" s="961">
        <v>18813</v>
      </c>
      <c r="R38" s="252"/>
      <c r="S38" s="252"/>
    </row>
    <row r="39" spans="1:19" s="25" customFormat="1" ht="12">
      <c r="A39" s="21"/>
      <c r="B39" s="31" t="s">
        <v>56</v>
      </c>
      <c r="C39" s="31"/>
      <c r="D39" s="31"/>
      <c r="E39" s="33">
        <v>37</v>
      </c>
      <c r="F39" s="119">
        <f t="shared" si="3"/>
        <v>20005</v>
      </c>
      <c r="G39" s="475">
        <f>G23</f>
        <v>20005</v>
      </c>
      <c r="H39" s="108"/>
      <c r="I39" s="107"/>
      <c r="J39" s="257"/>
      <c r="K39" s="107"/>
      <c r="L39" s="108"/>
      <c r="M39" s="472"/>
      <c r="N39" s="448"/>
      <c r="O39" s="445">
        <f t="shared" si="4"/>
        <v>0</v>
      </c>
      <c r="P39" s="104">
        <f t="shared" si="6"/>
        <v>0</v>
      </c>
      <c r="Q39" s="959">
        <f>Q23</f>
        <v>25509</v>
      </c>
      <c r="R39" s="252"/>
      <c r="S39" s="252"/>
    </row>
    <row r="40" spans="1:19" s="25" customFormat="1" ht="12">
      <c r="A40" s="21"/>
      <c r="B40" s="31" t="s">
        <v>57</v>
      </c>
      <c r="C40" s="31"/>
      <c r="D40" s="31"/>
      <c r="E40" s="33">
        <v>38</v>
      </c>
      <c r="F40" s="119">
        <f t="shared" si="3"/>
        <v>38000</v>
      </c>
      <c r="G40" s="475">
        <f>G24</f>
        <v>38000</v>
      </c>
      <c r="H40" s="108"/>
      <c r="I40" s="107"/>
      <c r="J40" s="257"/>
      <c r="K40" s="107"/>
      <c r="L40" s="108"/>
      <c r="M40" s="472"/>
      <c r="N40" s="448"/>
      <c r="O40" s="445">
        <f t="shared" si="4"/>
        <v>0</v>
      </c>
      <c r="P40" s="104">
        <f t="shared" si="6"/>
        <v>0</v>
      </c>
      <c r="Q40" s="959">
        <f>Q24</f>
        <v>36964</v>
      </c>
      <c r="R40" s="252"/>
      <c r="S40" s="252">
        <v>105</v>
      </c>
    </row>
    <row r="41" spans="1:19" s="640" customFormat="1" ht="12">
      <c r="A41" s="628"/>
      <c r="B41" s="629" t="s">
        <v>186</v>
      </c>
      <c r="C41" s="629"/>
      <c r="D41" s="629"/>
      <c r="E41" s="630">
        <v>39</v>
      </c>
      <c r="F41" s="631">
        <f t="shared" si="3"/>
        <v>100</v>
      </c>
      <c r="G41" s="696">
        <f>G25</f>
        <v>100</v>
      </c>
      <c r="H41" s="697"/>
      <c r="I41" s="698"/>
      <c r="J41" s="699"/>
      <c r="K41" s="698"/>
      <c r="L41" s="697"/>
      <c r="M41" s="632"/>
      <c r="N41" s="700"/>
      <c r="O41" s="720">
        <f t="shared" si="4"/>
        <v>0</v>
      </c>
      <c r="P41" s="701">
        <f t="shared" si="6"/>
        <v>0</v>
      </c>
      <c r="Q41" s="959"/>
      <c r="R41" s="252"/>
      <c r="S41" s="252"/>
    </row>
    <row r="42" spans="1:19" s="25" customFormat="1" ht="12">
      <c r="A42" s="21"/>
      <c r="B42" s="31" t="s">
        <v>58</v>
      </c>
      <c r="C42" s="31"/>
      <c r="D42" s="31"/>
      <c r="E42" s="33">
        <v>40</v>
      </c>
      <c r="F42" s="119">
        <f t="shared" si="3"/>
        <v>650</v>
      </c>
      <c r="G42" s="475">
        <f>G26</f>
        <v>650</v>
      </c>
      <c r="H42" s="108"/>
      <c r="I42" s="107"/>
      <c r="J42" s="257"/>
      <c r="K42" s="107"/>
      <c r="L42" s="108"/>
      <c r="M42" s="472"/>
      <c r="N42" s="448"/>
      <c r="O42" s="430">
        <f t="shared" si="4"/>
        <v>0</v>
      </c>
      <c r="P42" s="104">
        <f t="shared" si="6"/>
        <v>0</v>
      </c>
      <c r="Q42" s="959">
        <f>Q26</f>
        <v>556</v>
      </c>
      <c r="R42" s="252"/>
      <c r="S42" s="252"/>
    </row>
    <row r="43" spans="1:19" s="25" customFormat="1" ht="12">
      <c r="A43" s="21"/>
      <c r="B43" s="31" t="s">
        <v>59</v>
      </c>
      <c r="C43" s="31"/>
      <c r="D43" s="31"/>
      <c r="E43" s="33">
        <v>41</v>
      </c>
      <c r="F43" s="119">
        <f t="shared" si="3"/>
        <v>39077</v>
      </c>
      <c r="G43" s="475">
        <v>39077</v>
      </c>
      <c r="H43" s="108"/>
      <c r="I43" s="107"/>
      <c r="J43" s="257"/>
      <c r="K43" s="107"/>
      <c r="L43" s="108"/>
      <c r="M43" s="472"/>
      <c r="N43" s="457"/>
      <c r="O43" s="431">
        <f t="shared" si="4"/>
        <v>0</v>
      </c>
      <c r="P43" s="104" t="e">
        <f>(N43-N49)/titl!H17*12+N49</f>
        <v>#DIV/0!</v>
      </c>
      <c r="Q43" s="961">
        <v>39269</v>
      </c>
      <c r="R43" s="252"/>
      <c r="S43" s="252"/>
    </row>
    <row r="44" spans="1:19" s="25" customFormat="1" ht="12">
      <c r="A44" s="21"/>
      <c r="B44" s="31" t="s">
        <v>60</v>
      </c>
      <c r="C44" s="31"/>
      <c r="D44" s="31"/>
      <c r="E44" s="33">
        <v>42</v>
      </c>
      <c r="F44" s="119">
        <f t="shared" si="3"/>
        <v>44120</v>
      </c>
      <c r="G44" s="256"/>
      <c r="H44" s="108">
        <f>H3</f>
        <v>20203</v>
      </c>
      <c r="I44" s="107">
        <f>I3</f>
        <v>817</v>
      </c>
      <c r="J44" s="107">
        <f>J3</f>
        <v>2000</v>
      </c>
      <c r="K44" s="107">
        <f>K3</f>
        <v>5200</v>
      </c>
      <c r="L44" s="107">
        <f>L3</f>
        <v>15900</v>
      </c>
      <c r="M44" s="472"/>
      <c r="N44" s="457"/>
      <c r="O44" s="431">
        <f t="shared" si="4"/>
        <v>0</v>
      </c>
      <c r="P44" s="104">
        <f>N44</f>
        <v>0</v>
      </c>
      <c r="Q44" s="961">
        <v>16143</v>
      </c>
      <c r="R44" s="252"/>
      <c r="S44" s="252">
        <f>145-S40</f>
        <v>40</v>
      </c>
    </row>
    <row r="45" spans="1:19" s="25" customFormat="1" ht="12.75" thickBot="1">
      <c r="A45" s="40"/>
      <c r="B45" s="41" t="s">
        <v>47</v>
      </c>
      <c r="C45" s="41"/>
      <c r="D45" s="41"/>
      <c r="E45" s="42">
        <v>43</v>
      </c>
      <c r="F45" s="200">
        <f t="shared" si="3"/>
        <v>360</v>
      </c>
      <c r="G45" s="476">
        <v>360</v>
      </c>
      <c r="H45" s="133"/>
      <c r="I45" s="134"/>
      <c r="J45" s="319"/>
      <c r="K45" s="134"/>
      <c r="L45" s="133"/>
      <c r="M45" s="200"/>
      <c r="N45" s="464"/>
      <c r="O45" s="447">
        <f t="shared" si="4"/>
        <v>0</v>
      </c>
      <c r="P45" s="129" t="e">
        <f>N45/titl!$H$17*12</f>
        <v>#DIV/0!</v>
      </c>
      <c r="Q45" s="962"/>
      <c r="R45" s="252"/>
      <c r="S45" s="252"/>
    </row>
    <row r="46" spans="1:19" s="25" customFormat="1" ht="12.75" hidden="1" thickBot="1">
      <c r="A46" s="44" t="s">
        <v>61</v>
      </c>
      <c r="B46" s="45"/>
      <c r="C46" s="45"/>
      <c r="D46" s="45"/>
      <c r="E46" s="28">
        <v>44</v>
      </c>
      <c r="F46" s="201">
        <f>F29+F34+F38+F43+F44+F45-F4-F27</f>
        <v>2212</v>
      </c>
      <c r="G46" s="334">
        <f>G29+G34+G38+G43+G45-G4-G27</f>
        <v>2212</v>
      </c>
      <c r="H46" s="102">
        <f>H29+H34+H38+H43+H44+H45-H4-H27</f>
        <v>0</v>
      </c>
      <c r="I46" s="102">
        <f>I29+I34+I38+I43+I44+I45-I4-I27</f>
        <v>0</v>
      </c>
      <c r="J46" s="102">
        <f>J29+J34+J38+J43+J44+J45-J4-J27</f>
        <v>0</v>
      </c>
      <c r="K46" s="320"/>
      <c r="L46" s="102">
        <f>L29+L34+L38+L43+L44+L45-L4-L27</f>
        <v>0</v>
      </c>
      <c r="M46" s="201">
        <f>M29+M34+M38+M43+M44+M45+-M4-M27</f>
        <v>0</v>
      </c>
      <c r="N46" s="422">
        <f>N29+N34+N38+N43+N44+N45-N4-N27</f>
        <v>0</v>
      </c>
      <c r="O46" s="416"/>
      <c r="P46" s="466" t="e">
        <f>P29+P34+P38+P43+P44+P45-P4-P27</f>
        <v>#DIV/0!</v>
      </c>
      <c r="Q46" s="593">
        <f>Q29+Q34+Q38+Q43+Q44+Q45-Q4-Q27</f>
        <v>9855</v>
      </c>
      <c r="R46" s="252"/>
      <c r="S46" s="252"/>
    </row>
    <row r="47" spans="1:17" ht="13.5" thickBot="1">
      <c r="A47" s="37" t="s">
        <v>62</v>
      </c>
      <c r="B47" s="38"/>
      <c r="C47" s="38"/>
      <c r="D47" s="38"/>
      <c r="E47" s="19">
        <v>45</v>
      </c>
      <c r="F47" s="197">
        <f>F28-F3</f>
        <v>2212</v>
      </c>
      <c r="G47" s="237">
        <f aca="true" t="shared" si="7" ref="G47:N47">G28-G3</f>
        <v>2212</v>
      </c>
      <c r="H47" s="125">
        <f t="shared" si="7"/>
        <v>0</v>
      </c>
      <c r="I47" s="77">
        <f t="shared" si="7"/>
        <v>0</v>
      </c>
      <c r="J47" s="304">
        <f t="shared" si="7"/>
        <v>0</v>
      </c>
      <c r="K47" s="77">
        <f t="shared" si="7"/>
        <v>0</v>
      </c>
      <c r="L47" s="76">
        <f t="shared" si="7"/>
        <v>0</v>
      </c>
      <c r="M47" s="197">
        <f>M28-M3</f>
        <v>0</v>
      </c>
      <c r="N47" s="471">
        <f t="shared" si="7"/>
        <v>0</v>
      </c>
      <c r="O47" s="78"/>
      <c r="P47" s="78" t="e">
        <f>P28-P3</f>
        <v>#DIV/0!</v>
      </c>
      <c r="Q47" s="588">
        <f>Q28-Q3</f>
        <v>9855</v>
      </c>
    </row>
    <row r="48" spans="1:14" ht="12.75">
      <c r="A48" s="47" t="s">
        <v>230</v>
      </c>
      <c r="B48" s="47"/>
      <c r="C48" s="47"/>
      <c r="D48" s="122"/>
      <c r="E48" s="48"/>
      <c r="N48" s="518"/>
    </row>
    <row r="49" spans="4:19" s="47" customFormat="1" ht="12.75" customHeight="1">
      <c r="D49" s="51"/>
      <c r="E49" s="48"/>
      <c r="G49" s="59"/>
      <c r="H49" s="59"/>
      <c r="I49" s="59"/>
      <c r="J49" s="1058"/>
      <c r="K49" s="1058"/>
      <c r="L49" s="1058"/>
      <c r="M49" s="240"/>
      <c r="N49" s="874"/>
      <c r="O49" s="239"/>
      <c r="P49" s="239"/>
      <c r="Q49" s="255"/>
      <c r="R49" s="252"/>
      <c r="S49" s="252"/>
    </row>
    <row r="50" spans="1:19" s="47" customFormat="1" ht="11.25">
      <c r="A50" s="51" t="s">
        <v>90</v>
      </c>
      <c r="D50" s="51"/>
      <c r="E50" s="48"/>
      <c r="F50" s="202"/>
      <c r="G50" s="59"/>
      <c r="I50" s="337"/>
      <c r="L50" s="59"/>
      <c r="M50" s="59"/>
      <c r="N50" s="59"/>
      <c r="O50" s="401"/>
      <c r="P50" s="405"/>
      <c r="Q50" s="72"/>
      <c r="R50" s="252"/>
      <c r="S50" s="252"/>
    </row>
    <row r="51" spans="5:19" s="51" customFormat="1" ht="11.25">
      <c r="E51" s="53"/>
      <c r="G51" s="72"/>
      <c r="H51" s="72"/>
      <c r="I51" s="72"/>
      <c r="J51" s="72"/>
      <c r="K51" s="72"/>
      <c r="L51" s="72"/>
      <c r="M51" s="72"/>
      <c r="N51" s="72"/>
      <c r="O51" s="401"/>
      <c r="P51" s="405"/>
      <c r="Q51" s="72"/>
      <c r="R51" s="252"/>
      <c r="S51" s="252"/>
    </row>
    <row r="52" spans="5:19" s="51" customFormat="1" ht="11.25">
      <c r="E52" s="53"/>
      <c r="G52" s="72"/>
      <c r="H52" s="72"/>
      <c r="I52" s="72"/>
      <c r="J52" s="72"/>
      <c r="K52" s="72"/>
      <c r="L52" s="72"/>
      <c r="M52" s="72"/>
      <c r="N52" s="72"/>
      <c r="O52" s="401"/>
      <c r="P52" s="405"/>
      <c r="Q52" s="72"/>
      <c r="R52" s="252"/>
      <c r="S52" s="252"/>
    </row>
    <row r="53" spans="5:19" s="51" customFormat="1" ht="11.25">
      <c r="E53" s="53"/>
      <c r="G53" s="72"/>
      <c r="H53" s="72"/>
      <c r="I53" s="72"/>
      <c r="J53" s="72"/>
      <c r="K53" s="72"/>
      <c r="L53" s="72"/>
      <c r="M53" s="72"/>
      <c r="N53" s="72"/>
      <c r="O53" s="401"/>
      <c r="P53" s="405"/>
      <c r="Q53" s="72"/>
      <c r="R53" s="252"/>
      <c r="S53" s="252"/>
    </row>
    <row r="54" spans="1:19" s="47" customFormat="1" ht="11.25">
      <c r="A54" s="51"/>
      <c r="B54" s="51"/>
      <c r="C54" s="51"/>
      <c r="D54" s="51"/>
      <c r="E54" s="48"/>
      <c r="G54" s="59"/>
      <c r="H54" s="59"/>
      <c r="I54" s="59"/>
      <c r="J54" s="59"/>
      <c r="K54" s="59"/>
      <c r="L54" s="59"/>
      <c r="M54" s="59"/>
      <c r="N54" s="59"/>
      <c r="O54" s="401"/>
      <c r="P54" s="405"/>
      <c r="Q54" s="72"/>
      <c r="R54" s="252"/>
      <c r="S54" s="252"/>
    </row>
    <row r="55" spans="1:19" s="59" customFormat="1" ht="11.25">
      <c r="A55" s="51"/>
      <c r="B55" s="51"/>
      <c r="C55" s="51"/>
      <c r="D55" s="51"/>
      <c r="E55" s="57"/>
      <c r="F55" s="47"/>
      <c r="O55" s="401"/>
      <c r="P55" s="405"/>
      <c r="Q55" s="72"/>
      <c r="R55" s="255"/>
      <c r="S55" s="255"/>
    </row>
    <row r="56" spans="1:19" s="59" customFormat="1" ht="11.25">
      <c r="A56" s="51"/>
      <c r="B56" s="51"/>
      <c r="C56" s="51"/>
      <c r="D56" s="51"/>
      <c r="E56" s="57"/>
      <c r="F56" s="47"/>
      <c r="O56" s="401"/>
      <c r="P56" s="405"/>
      <c r="Q56" s="72"/>
      <c r="R56" s="255"/>
      <c r="S56" s="255"/>
    </row>
    <row r="57" spans="1:19" s="59" customFormat="1" ht="11.25">
      <c r="A57" s="51"/>
      <c r="B57" s="51"/>
      <c r="C57" s="51"/>
      <c r="D57" s="51"/>
      <c r="E57" s="57"/>
      <c r="F57" s="47"/>
      <c r="O57" s="401"/>
      <c r="P57" s="405"/>
      <c r="Q57" s="72"/>
      <c r="R57" s="255"/>
      <c r="S57" s="255"/>
    </row>
  </sheetData>
  <mergeCells count="6">
    <mergeCell ref="J49:L49"/>
    <mergeCell ref="R1:R2"/>
    <mergeCell ref="S1:S2"/>
    <mergeCell ref="A1:D1"/>
    <mergeCell ref="H1:L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fitToHeight="1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workbookViewId="0" topLeftCell="A1">
      <pane ySplit="3" topLeftCell="BM47" activePane="bottomLeft" state="frozen"/>
      <selection pane="topLeft" activeCell="A34" sqref="A34"/>
      <selection pane="bottomLeft" activeCell="A34" sqref="A34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60" bestFit="1" customWidth="1"/>
    <col min="6" max="6" width="9.625" style="47" bestFit="1" customWidth="1"/>
    <col min="7" max="7" width="9.625" style="59" bestFit="1" customWidth="1"/>
    <col min="8" max="11" width="8.00390625" style="59" customWidth="1"/>
    <col min="12" max="12" width="8.125" style="59" customWidth="1"/>
    <col min="13" max="13" width="9.625" style="59" hidden="1" customWidth="1"/>
    <col min="14" max="14" width="10.375" style="59" hidden="1" customWidth="1" collapsed="1"/>
    <col min="15" max="15" width="8.25390625" style="401" hidden="1" customWidth="1"/>
    <col min="16" max="16" width="11.25390625" style="402" hidden="1" customWidth="1"/>
    <col min="17" max="17" width="11.875" style="402" customWidth="1" collapsed="1"/>
    <col min="18" max="18" width="7.375" style="255" customWidth="1"/>
    <col min="19" max="19" width="5.75390625" style="255" customWidth="1"/>
  </cols>
  <sheetData>
    <row r="1" spans="1:19" ht="15.75" customHeight="1">
      <c r="A1" s="1046" t="s">
        <v>236</v>
      </c>
      <c r="B1" s="1047"/>
      <c r="C1" s="1047"/>
      <c r="D1" s="1048"/>
      <c r="E1" s="1"/>
      <c r="F1" s="543" t="s">
        <v>0</v>
      </c>
      <c r="G1" s="606" t="s">
        <v>2</v>
      </c>
      <c r="H1" s="1050" t="s">
        <v>3</v>
      </c>
      <c r="I1" s="1050"/>
      <c r="J1" s="1050"/>
      <c r="K1" s="1050"/>
      <c r="L1" s="1051"/>
      <c r="M1" s="181" t="s">
        <v>1</v>
      </c>
      <c r="N1" s="538" t="s">
        <v>4</v>
      </c>
      <c r="O1" s="67" t="s">
        <v>144</v>
      </c>
      <c r="P1" s="67" t="s">
        <v>145</v>
      </c>
      <c r="Q1" s="67" t="s">
        <v>4</v>
      </c>
      <c r="R1" s="1056" t="s">
        <v>190</v>
      </c>
      <c r="S1" s="1057" t="s">
        <v>188</v>
      </c>
    </row>
    <row r="2" spans="1:19" s="16" customFormat="1" ht="13.5" thickBot="1">
      <c r="A2" s="298" t="s">
        <v>127</v>
      </c>
      <c r="B2" s="7"/>
      <c r="C2" s="1052" t="s">
        <v>75</v>
      </c>
      <c r="D2" s="1053"/>
      <c r="E2" s="9" t="s">
        <v>5</v>
      </c>
      <c r="F2" s="544">
        <v>2011</v>
      </c>
      <c r="G2" s="607" t="s">
        <v>8</v>
      </c>
      <c r="H2" s="69" t="s">
        <v>9</v>
      </c>
      <c r="I2" s="70" t="s">
        <v>10</v>
      </c>
      <c r="J2" s="303" t="s">
        <v>11</v>
      </c>
      <c r="K2" s="248" t="s">
        <v>126</v>
      </c>
      <c r="L2" s="68" t="s">
        <v>12</v>
      </c>
      <c r="M2" s="544" t="s">
        <v>7</v>
      </c>
      <c r="N2" s="539">
        <v>2011</v>
      </c>
      <c r="O2" s="71"/>
      <c r="P2" s="71"/>
      <c r="Q2" s="71">
        <v>2010</v>
      </c>
      <c r="R2" s="1056"/>
      <c r="S2" s="1057"/>
    </row>
    <row r="3" spans="1:17" ht="13.5" thickBot="1">
      <c r="A3" s="17" t="s">
        <v>13</v>
      </c>
      <c r="B3" s="18"/>
      <c r="C3" s="18"/>
      <c r="D3" s="18"/>
      <c r="E3" s="19">
        <v>1</v>
      </c>
      <c r="F3" s="197">
        <f>SUM(F5:F27)</f>
        <v>167627</v>
      </c>
      <c r="G3" s="597">
        <f aca="true" t="shared" si="0" ref="G3:N3">SUM(G5:G27)</f>
        <v>156215</v>
      </c>
      <c r="H3" s="125">
        <f t="shared" si="0"/>
        <v>4541</v>
      </c>
      <c r="I3" s="77">
        <f t="shared" si="0"/>
        <v>2231</v>
      </c>
      <c r="J3" s="304">
        <f t="shared" si="0"/>
        <v>0</v>
      </c>
      <c r="K3" s="77">
        <f t="shared" si="0"/>
        <v>640</v>
      </c>
      <c r="L3" s="76">
        <f t="shared" si="0"/>
        <v>4000</v>
      </c>
      <c r="M3" s="197">
        <f>SUM(M5:M27)</f>
        <v>0</v>
      </c>
      <c r="N3" s="471">
        <f t="shared" si="0"/>
        <v>0</v>
      </c>
      <c r="O3" s="413">
        <f aca="true" t="shared" si="1" ref="O3:O19">IF(F3=0,0,N3/F3)</f>
        <v>0</v>
      </c>
      <c r="P3" s="78" t="e">
        <f>SUM(P5:P27)</f>
        <v>#DIV/0!</v>
      </c>
      <c r="Q3" s="78">
        <f>SUM(Q5:Q27)</f>
        <v>158952</v>
      </c>
    </row>
    <row r="4" spans="1:19" s="25" customFormat="1" ht="12">
      <c r="A4" s="21" t="s">
        <v>14</v>
      </c>
      <c r="B4" s="22" t="s">
        <v>15</v>
      </c>
      <c r="C4" s="22"/>
      <c r="D4" s="22"/>
      <c r="E4" s="23">
        <v>2</v>
      </c>
      <c r="F4" s="198">
        <f aca="true" t="shared" si="2" ref="F4:L4">SUM(F5:F15)</f>
        <v>136843</v>
      </c>
      <c r="G4" s="594">
        <f t="shared" si="2"/>
        <v>128103</v>
      </c>
      <c r="H4" s="112">
        <f t="shared" si="2"/>
        <v>4100</v>
      </c>
      <c r="I4" s="81">
        <f t="shared" si="2"/>
        <v>0</v>
      </c>
      <c r="J4" s="305">
        <f t="shared" si="2"/>
        <v>0</v>
      </c>
      <c r="K4" s="81">
        <f t="shared" si="2"/>
        <v>640</v>
      </c>
      <c r="L4" s="80">
        <f t="shared" si="2"/>
        <v>4000</v>
      </c>
      <c r="M4" s="198">
        <f>SUM(M5:M15)</f>
        <v>0</v>
      </c>
      <c r="N4" s="417"/>
      <c r="O4" s="410">
        <f t="shared" si="1"/>
        <v>0</v>
      </c>
      <c r="P4" s="82" t="e">
        <f>SUM(P5:P15)</f>
        <v>#DIV/0!</v>
      </c>
      <c r="Q4" s="564">
        <f>SUM(Q5:Q15)</f>
        <v>135106</v>
      </c>
      <c r="R4" s="252"/>
      <c r="S4" s="252"/>
    </row>
    <row r="5" spans="1:19" s="65" customFormat="1" ht="12">
      <c r="A5" s="61"/>
      <c r="B5" s="62"/>
      <c r="C5" s="62" t="s">
        <v>16</v>
      </c>
      <c r="D5" s="63" t="s">
        <v>17</v>
      </c>
      <c r="E5" s="64">
        <v>3</v>
      </c>
      <c r="F5" s="199">
        <f>SUM(G5:L5)</f>
        <v>66000</v>
      </c>
      <c r="G5" s="609">
        <v>66000</v>
      </c>
      <c r="H5" s="84"/>
      <c r="I5" s="85"/>
      <c r="J5" s="306"/>
      <c r="K5" s="85"/>
      <c r="L5" s="86"/>
      <c r="M5" s="199"/>
      <c r="N5" s="418"/>
      <c r="O5" s="428">
        <f t="shared" si="1"/>
        <v>0</v>
      </c>
      <c r="P5" s="850">
        <f>N5</f>
        <v>0</v>
      </c>
      <c r="Q5" s="323">
        <v>61084</v>
      </c>
      <c r="R5" s="546"/>
      <c r="S5" s="546"/>
    </row>
    <row r="6" spans="1:19" s="65" customFormat="1" ht="12">
      <c r="A6" s="61"/>
      <c r="B6" s="62"/>
      <c r="C6" s="62"/>
      <c r="D6" s="63" t="s">
        <v>18</v>
      </c>
      <c r="E6" s="64">
        <v>4</v>
      </c>
      <c r="F6" s="199">
        <f aca="true" t="shared" si="3" ref="F6:F45">SUM(G6:L6)</f>
        <v>2100</v>
      </c>
      <c r="G6" s="609">
        <v>2100</v>
      </c>
      <c r="H6" s="84"/>
      <c r="I6" s="85"/>
      <c r="J6" s="306"/>
      <c r="K6" s="85"/>
      <c r="L6" s="86"/>
      <c r="M6" s="199"/>
      <c r="N6" s="418"/>
      <c r="O6" s="428">
        <f t="shared" si="1"/>
        <v>0</v>
      </c>
      <c r="P6" s="850">
        <f>N6</f>
        <v>0</v>
      </c>
      <c r="Q6" s="323">
        <v>1960</v>
      </c>
      <c r="R6" s="546"/>
      <c r="S6" s="546"/>
    </row>
    <row r="7" spans="1:19" s="65" customFormat="1" ht="12">
      <c r="A7" s="61"/>
      <c r="B7" s="62"/>
      <c r="C7" s="62"/>
      <c r="D7" s="63" t="s">
        <v>19</v>
      </c>
      <c r="E7" s="64">
        <v>5</v>
      </c>
      <c r="F7" s="199">
        <f t="shared" si="3"/>
        <v>22460</v>
      </c>
      <c r="G7" s="609">
        <v>22460</v>
      </c>
      <c r="H7" s="84"/>
      <c r="I7" s="85"/>
      <c r="J7" s="306"/>
      <c r="K7" s="85"/>
      <c r="L7" s="86"/>
      <c r="M7" s="199"/>
      <c r="N7" s="418"/>
      <c r="O7" s="428">
        <f t="shared" si="1"/>
        <v>0</v>
      </c>
      <c r="P7" s="850">
        <f>N7</f>
        <v>0</v>
      </c>
      <c r="Q7" s="323">
        <v>22219</v>
      </c>
      <c r="R7" s="546"/>
      <c r="S7" s="546"/>
    </row>
    <row r="8" spans="1:19" s="65" customFormat="1" ht="12">
      <c r="A8" s="61"/>
      <c r="B8" s="62"/>
      <c r="C8" s="62"/>
      <c r="D8" s="63" t="s">
        <v>20</v>
      </c>
      <c r="E8" s="64">
        <v>6</v>
      </c>
      <c r="F8" s="199">
        <f t="shared" si="3"/>
        <v>4500</v>
      </c>
      <c r="G8" s="609">
        <v>4000</v>
      </c>
      <c r="H8" s="84">
        <v>500</v>
      </c>
      <c r="I8" s="85"/>
      <c r="J8" s="306"/>
      <c r="K8" s="85"/>
      <c r="L8" s="86"/>
      <c r="M8" s="199"/>
      <c r="N8" s="418"/>
      <c r="O8" s="428">
        <f t="shared" si="1"/>
        <v>0</v>
      </c>
      <c r="P8" s="87" t="e">
        <f>N8/titl!$H$17*12</f>
        <v>#DIV/0!</v>
      </c>
      <c r="Q8" s="323">
        <v>4064</v>
      </c>
      <c r="R8" s="546"/>
      <c r="S8" s="546"/>
    </row>
    <row r="9" spans="1:19" s="65" customFormat="1" ht="12">
      <c r="A9" s="61"/>
      <c r="B9" s="62"/>
      <c r="C9" s="62"/>
      <c r="D9" s="63" t="s">
        <v>21</v>
      </c>
      <c r="E9" s="64">
        <v>7</v>
      </c>
      <c r="F9" s="199">
        <f t="shared" si="3"/>
        <v>1500</v>
      </c>
      <c r="G9" s="609">
        <v>600</v>
      </c>
      <c r="H9" s="84">
        <v>900</v>
      </c>
      <c r="I9" s="85"/>
      <c r="J9" s="306"/>
      <c r="K9" s="85"/>
      <c r="L9" s="86"/>
      <c r="M9" s="199"/>
      <c r="N9" s="418"/>
      <c r="O9" s="428">
        <f t="shared" si="1"/>
        <v>0</v>
      </c>
      <c r="P9" s="87" t="e">
        <f>N9/titl!$H$17*12</f>
        <v>#DIV/0!</v>
      </c>
      <c r="Q9" s="323">
        <v>1851</v>
      </c>
      <c r="R9" s="546"/>
      <c r="S9" s="546"/>
    </row>
    <row r="10" spans="1:19" s="65" customFormat="1" ht="12">
      <c r="A10" s="61"/>
      <c r="B10" s="62"/>
      <c r="C10" s="62"/>
      <c r="D10" s="63" t="s">
        <v>22</v>
      </c>
      <c r="E10" s="64">
        <v>8</v>
      </c>
      <c r="F10" s="199">
        <f t="shared" si="3"/>
        <v>7500</v>
      </c>
      <c r="G10" s="609">
        <v>5200</v>
      </c>
      <c r="H10" s="84">
        <v>2300</v>
      </c>
      <c r="I10" s="85"/>
      <c r="J10" s="306"/>
      <c r="K10" s="85"/>
      <c r="L10" s="86"/>
      <c r="M10" s="199"/>
      <c r="N10" s="418"/>
      <c r="O10" s="428">
        <f t="shared" si="1"/>
        <v>0</v>
      </c>
      <c r="P10" s="87" t="e">
        <f>N10/titl!$H$17*12</f>
        <v>#DIV/0!</v>
      </c>
      <c r="Q10" s="323">
        <v>5154</v>
      </c>
      <c r="R10" s="546"/>
      <c r="S10" s="546"/>
    </row>
    <row r="11" spans="1:19" s="65" customFormat="1" ht="12">
      <c r="A11" s="61"/>
      <c r="B11" s="62"/>
      <c r="C11" s="62"/>
      <c r="D11" s="63" t="s">
        <v>23</v>
      </c>
      <c r="E11" s="64">
        <v>9</v>
      </c>
      <c r="F11" s="199">
        <f t="shared" si="3"/>
        <v>8400</v>
      </c>
      <c r="G11" s="609">
        <v>8000</v>
      </c>
      <c r="H11" s="84">
        <v>400</v>
      </c>
      <c r="I11" s="85"/>
      <c r="J11" s="306"/>
      <c r="K11" s="85"/>
      <c r="L11" s="86"/>
      <c r="M11" s="199"/>
      <c r="N11" s="418"/>
      <c r="O11" s="428">
        <f t="shared" si="1"/>
        <v>0</v>
      </c>
      <c r="P11" s="87" t="e">
        <f>N11/titl!$H$17*12</f>
        <v>#DIV/0!</v>
      </c>
      <c r="Q11" s="323">
        <v>8171</v>
      </c>
      <c r="R11" s="546"/>
      <c r="S11" s="546"/>
    </row>
    <row r="12" spans="1:19" s="65" customFormat="1" ht="12">
      <c r="A12" s="61"/>
      <c r="B12" s="62"/>
      <c r="C12" s="62"/>
      <c r="D12" s="63" t="s">
        <v>24</v>
      </c>
      <c r="E12" s="64">
        <v>10</v>
      </c>
      <c r="F12" s="199">
        <f t="shared" si="3"/>
        <v>600</v>
      </c>
      <c r="G12" s="609">
        <v>600</v>
      </c>
      <c r="H12" s="84"/>
      <c r="I12" s="85"/>
      <c r="J12" s="306"/>
      <c r="K12" s="85"/>
      <c r="L12" s="86"/>
      <c r="M12" s="199"/>
      <c r="N12" s="418"/>
      <c r="O12" s="428">
        <f t="shared" si="1"/>
        <v>0</v>
      </c>
      <c r="P12" s="87" t="e">
        <f>N12/titl!$H$17*12</f>
        <v>#DIV/0!</v>
      </c>
      <c r="Q12" s="323">
        <v>442</v>
      </c>
      <c r="R12" s="546"/>
      <c r="S12" s="546"/>
    </row>
    <row r="13" spans="1:19" s="65" customFormat="1" ht="12">
      <c r="A13" s="61"/>
      <c r="B13" s="62"/>
      <c r="C13" s="62"/>
      <c r="D13" s="63" t="s">
        <v>25</v>
      </c>
      <c r="E13" s="64">
        <v>11</v>
      </c>
      <c r="F13" s="199">
        <f t="shared" si="3"/>
        <v>3143</v>
      </c>
      <c r="G13" s="609">
        <v>3143</v>
      </c>
      <c r="H13" s="84"/>
      <c r="I13" s="85"/>
      <c r="J13" s="306"/>
      <c r="K13" s="85"/>
      <c r="L13" s="86"/>
      <c r="M13" s="199"/>
      <c r="N13" s="418"/>
      <c r="O13" s="428">
        <f t="shared" si="1"/>
        <v>0</v>
      </c>
      <c r="P13" s="850">
        <f>N13</f>
        <v>0</v>
      </c>
      <c r="Q13" s="323">
        <v>3143</v>
      </c>
      <c r="R13" s="546"/>
      <c r="S13" s="546"/>
    </row>
    <row r="14" spans="1:19" s="65" customFormat="1" ht="12">
      <c r="A14" s="61"/>
      <c r="B14" s="62"/>
      <c r="C14" s="62"/>
      <c r="D14" s="63" t="s">
        <v>26</v>
      </c>
      <c r="E14" s="64">
        <v>12</v>
      </c>
      <c r="F14" s="199">
        <f t="shared" si="3"/>
        <v>4000</v>
      </c>
      <c r="G14" s="609"/>
      <c r="H14" s="84"/>
      <c r="I14" s="85"/>
      <c r="J14" s="306"/>
      <c r="K14" s="85"/>
      <c r="L14" s="86">
        <v>4000</v>
      </c>
      <c r="M14" s="199"/>
      <c r="N14" s="418"/>
      <c r="O14" s="428">
        <f t="shared" si="1"/>
        <v>0</v>
      </c>
      <c r="P14" s="87" t="e">
        <f>N14/titl!$H$17*12</f>
        <v>#DIV/0!</v>
      </c>
      <c r="Q14" s="323">
        <v>5000</v>
      </c>
      <c r="R14" s="546"/>
      <c r="S14" s="546"/>
    </row>
    <row r="15" spans="1:19" s="65" customFormat="1" ht="12">
      <c r="A15" s="61"/>
      <c r="B15" s="62"/>
      <c r="C15" s="63"/>
      <c r="D15" s="63" t="s">
        <v>27</v>
      </c>
      <c r="E15" s="64">
        <v>13</v>
      </c>
      <c r="F15" s="199">
        <f t="shared" si="3"/>
        <v>16640</v>
      </c>
      <c r="G15" s="609">
        <v>16000</v>
      </c>
      <c r="H15" s="84"/>
      <c r="I15" s="85"/>
      <c r="J15" s="306"/>
      <c r="K15" s="242">
        <v>640</v>
      </c>
      <c r="L15" s="86"/>
      <c r="M15" s="199"/>
      <c r="N15" s="418"/>
      <c r="O15" s="428">
        <f t="shared" si="1"/>
        <v>0</v>
      </c>
      <c r="P15" s="87" t="e">
        <f>N15/titl!$H$17*12</f>
        <v>#DIV/0!</v>
      </c>
      <c r="Q15" s="323">
        <v>22018</v>
      </c>
      <c r="R15" s="546"/>
      <c r="S15" s="546"/>
    </row>
    <row r="16" spans="1:19" s="25" customFormat="1" ht="12">
      <c r="A16" s="21"/>
      <c r="B16" s="30" t="s">
        <v>28</v>
      </c>
      <c r="C16" s="27"/>
      <c r="D16" s="27"/>
      <c r="E16" s="28">
        <v>14</v>
      </c>
      <c r="F16" s="119">
        <f t="shared" si="3"/>
        <v>6441</v>
      </c>
      <c r="G16" s="596">
        <v>6000</v>
      </c>
      <c r="H16" s="89">
        <v>441</v>
      </c>
      <c r="I16" s="90"/>
      <c r="J16" s="307"/>
      <c r="K16" s="90"/>
      <c r="L16" s="91"/>
      <c r="M16" s="119">
        <f>M30</f>
        <v>0</v>
      </c>
      <c r="N16" s="419"/>
      <c r="O16" s="412">
        <f t="shared" si="1"/>
        <v>0</v>
      </c>
      <c r="P16" s="92">
        <f>P30</f>
        <v>0</v>
      </c>
      <c r="Q16" s="157">
        <v>5439</v>
      </c>
      <c r="R16" s="252"/>
      <c r="S16" s="252"/>
    </row>
    <row r="17" spans="1:19" s="25" customFormat="1" ht="12">
      <c r="A17" s="21"/>
      <c r="B17" s="30" t="s">
        <v>30</v>
      </c>
      <c r="C17" s="27"/>
      <c r="D17" s="27"/>
      <c r="E17" s="28">
        <v>15</v>
      </c>
      <c r="F17" s="119">
        <f t="shared" si="3"/>
        <v>60</v>
      </c>
      <c r="G17" s="596">
        <v>60</v>
      </c>
      <c r="H17" s="89"/>
      <c r="I17" s="90"/>
      <c r="J17" s="307"/>
      <c r="K17" s="90"/>
      <c r="L17" s="91"/>
      <c r="M17" s="119">
        <f>M31</f>
        <v>0</v>
      </c>
      <c r="N17" s="419"/>
      <c r="O17" s="412">
        <f t="shared" si="1"/>
        <v>0</v>
      </c>
      <c r="P17" s="92">
        <f>P31</f>
        <v>0</v>
      </c>
      <c r="Q17" s="157">
        <v>60</v>
      </c>
      <c r="R17" s="252"/>
      <c r="S17" s="252"/>
    </row>
    <row r="18" spans="1:19" s="25" customFormat="1" ht="12">
      <c r="A18" s="21"/>
      <c r="B18" s="31" t="s">
        <v>32</v>
      </c>
      <c r="C18" s="32"/>
      <c r="D18" s="32"/>
      <c r="E18" s="33">
        <v>16</v>
      </c>
      <c r="F18" s="119">
        <f t="shared" si="3"/>
        <v>0</v>
      </c>
      <c r="G18" s="596"/>
      <c r="H18" s="89"/>
      <c r="I18" s="90"/>
      <c r="J18" s="307"/>
      <c r="K18" s="90"/>
      <c r="L18" s="91"/>
      <c r="M18" s="119">
        <f>M32</f>
        <v>0</v>
      </c>
      <c r="N18" s="419"/>
      <c r="O18" s="412">
        <f t="shared" si="1"/>
        <v>0</v>
      </c>
      <c r="P18" s="92">
        <f>P32</f>
        <v>0</v>
      </c>
      <c r="Q18" s="157">
        <v>1865</v>
      </c>
      <c r="R18" s="252"/>
      <c r="S18" s="252"/>
    </row>
    <row r="19" spans="1:19" s="25" customFormat="1" ht="12">
      <c r="A19" s="21"/>
      <c r="B19" s="31" t="s">
        <v>34</v>
      </c>
      <c r="C19" s="32"/>
      <c r="D19" s="32"/>
      <c r="E19" s="33">
        <v>17</v>
      </c>
      <c r="F19" s="119">
        <f t="shared" si="3"/>
        <v>0</v>
      </c>
      <c r="G19" s="596"/>
      <c r="H19" s="89"/>
      <c r="I19" s="90"/>
      <c r="J19" s="307"/>
      <c r="K19" s="90"/>
      <c r="L19" s="91"/>
      <c r="M19" s="119">
        <f>M33</f>
        <v>0</v>
      </c>
      <c r="N19" s="419"/>
      <c r="O19" s="412">
        <f t="shared" si="1"/>
        <v>0</v>
      </c>
      <c r="P19" s="92">
        <f>P33</f>
        <v>0</v>
      </c>
      <c r="Q19" s="157">
        <v>165</v>
      </c>
      <c r="R19" s="252"/>
      <c r="S19" s="252"/>
    </row>
    <row r="20" spans="1:19" s="25" customFormat="1" ht="12">
      <c r="A20" s="21"/>
      <c r="B20" s="31" t="s">
        <v>36</v>
      </c>
      <c r="C20" s="31"/>
      <c r="D20" s="31"/>
      <c r="E20" s="33">
        <v>18</v>
      </c>
      <c r="F20" s="119">
        <f t="shared" si="3"/>
        <v>0</v>
      </c>
      <c r="G20" s="596"/>
      <c r="H20" s="89"/>
      <c r="I20" s="90"/>
      <c r="J20" s="307"/>
      <c r="K20" s="90"/>
      <c r="L20" s="91"/>
      <c r="M20" s="119"/>
      <c r="N20" s="419"/>
      <c r="O20" s="412">
        <f aca="true" t="shared" si="4" ref="O20:O45">IF(F20=0,0,N20/F20)</f>
        <v>0</v>
      </c>
      <c r="P20" s="92">
        <f>P35</f>
        <v>0</v>
      </c>
      <c r="Q20" s="157"/>
      <c r="R20" s="252"/>
      <c r="S20" s="252"/>
    </row>
    <row r="21" spans="1:19" s="640" customFormat="1" ht="12">
      <c r="A21" s="628"/>
      <c r="B21" s="629" t="s">
        <v>175</v>
      </c>
      <c r="C21" s="629"/>
      <c r="D21" s="629"/>
      <c r="E21" s="630">
        <v>19</v>
      </c>
      <c r="F21" s="631">
        <f t="shared" si="3"/>
        <v>11400</v>
      </c>
      <c r="G21" s="986">
        <v>11400</v>
      </c>
      <c r="H21" s="672"/>
      <c r="I21" s="665"/>
      <c r="J21" s="673"/>
      <c r="K21" s="665"/>
      <c r="L21" s="674"/>
      <c r="M21" s="631"/>
      <c r="N21" s="675"/>
      <c r="O21" s="676">
        <f t="shared" si="4"/>
        <v>0</v>
      </c>
      <c r="P21" s="591">
        <f>N21</f>
        <v>0</v>
      </c>
      <c r="Q21" s="677">
        <v>3028</v>
      </c>
      <c r="R21" s="252"/>
      <c r="S21" s="252"/>
    </row>
    <row r="22" spans="1:19" s="25" customFormat="1" ht="12">
      <c r="A22" s="21"/>
      <c r="B22" s="31" t="s">
        <v>40</v>
      </c>
      <c r="C22" s="31"/>
      <c r="D22" s="31"/>
      <c r="E22" s="33">
        <v>20</v>
      </c>
      <c r="F22" s="119">
        <f t="shared" si="3"/>
        <v>588</v>
      </c>
      <c r="G22" s="596">
        <v>75</v>
      </c>
      <c r="H22" s="89"/>
      <c r="I22" s="90">
        <v>513</v>
      </c>
      <c r="J22" s="307"/>
      <c r="K22" s="90"/>
      <c r="L22" s="91"/>
      <c r="M22" s="119"/>
      <c r="N22" s="419"/>
      <c r="O22" s="412">
        <f t="shared" si="4"/>
        <v>0</v>
      </c>
      <c r="P22" s="92">
        <f>P37</f>
        <v>0</v>
      </c>
      <c r="Q22" s="157">
        <v>751</v>
      </c>
      <c r="R22" s="252"/>
      <c r="S22" s="252"/>
    </row>
    <row r="23" spans="1:19" s="25" customFormat="1" ht="12">
      <c r="A23" s="21"/>
      <c r="B23" s="31" t="s">
        <v>42</v>
      </c>
      <c r="C23" s="31"/>
      <c r="D23" s="31"/>
      <c r="E23" s="33">
        <v>21</v>
      </c>
      <c r="F23" s="119">
        <f t="shared" si="3"/>
        <v>2658</v>
      </c>
      <c r="G23" s="596">
        <v>2264</v>
      </c>
      <c r="H23" s="89"/>
      <c r="I23" s="90">
        <v>394</v>
      </c>
      <c r="J23" s="307"/>
      <c r="K23" s="90"/>
      <c r="L23" s="91"/>
      <c r="M23" s="119">
        <f>M39</f>
        <v>0</v>
      </c>
      <c r="N23" s="419"/>
      <c r="O23" s="412">
        <f t="shared" si="4"/>
        <v>0</v>
      </c>
      <c r="P23" s="92">
        <f>P39</f>
        <v>0</v>
      </c>
      <c r="Q23" s="157">
        <v>4743</v>
      </c>
      <c r="R23" s="252"/>
      <c r="S23" s="252"/>
    </row>
    <row r="24" spans="1:19" s="25" customFormat="1" ht="12">
      <c r="A24" s="21"/>
      <c r="B24" s="31" t="s">
        <v>43</v>
      </c>
      <c r="C24" s="31"/>
      <c r="D24" s="31"/>
      <c r="E24" s="33">
        <v>22</v>
      </c>
      <c r="F24" s="119">
        <f t="shared" si="3"/>
        <v>8019</v>
      </c>
      <c r="G24" s="596">
        <v>7997</v>
      </c>
      <c r="H24" s="89"/>
      <c r="I24" s="90">
        <v>22</v>
      </c>
      <c r="J24" s="307"/>
      <c r="K24" s="90"/>
      <c r="L24" s="91"/>
      <c r="M24" s="119">
        <f>M40</f>
        <v>0</v>
      </c>
      <c r="N24" s="419"/>
      <c r="O24" s="412">
        <f t="shared" si="4"/>
        <v>0</v>
      </c>
      <c r="P24" s="92">
        <f>P40</f>
        <v>0</v>
      </c>
      <c r="Q24" s="157">
        <v>5852</v>
      </c>
      <c r="R24" s="252"/>
      <c r="S24" s="252"/>
    </row>
    <row r="25" spans="1:19" s="640" customFormat="1" ht="12">
      <c r="A25" s="628"/>
      <c r="B25" s="629" t="s">
        <v>186</v>
      </c>
      <c r="C25" s="629"/>
      <c r="D25" s="629"/>
      <c r="E25" s="630">
        <v>23</v>
      </c>
      <c r="F25" s="631">
        <f t="shared" si="3"/>
        <v>1302</v>
      </c>
      <c r="G25" s="986"/>
      <c r="H25" s="672"/>
      <c r="I25" s="665">
        <v>1302</v>
      </c>
      <c r="J25" s="673"/>
      <c r="K25" s="665"/>
      <c r="L25" s="674"/>
      <c r="M25" s="631"/>
      <c r="N25" s="675"/>
      <c r="O25" s="676">
        <f t="shared" si="4"/>
        <v>0</v>
      </c>
      <c r="P25" s="591">
        <f>P41</f>
        <v>0</v>
      </c>
      <c r="Q25" s="677">
        <v>1634</v>
      </c>
      <c r="R25" s="252"/>
      <c r="S25" s="252"/>
    </row>
    <row r="26" spans="1:19" s="25" customFormat="1" ht="12">
      <c r="A26" s="21"/>
      <c r="B26" s="31" t="s">
        <v>45</v>
      </c>
      <c r="C26" s="31"/>
      <c r="D26" s="31"/>
      <c r="E26" s="33">
        <v>24</v>
      </c>
      <c r="F26" s="119">
        <f t="shared" si="3"/>
        <v>0</v>
      </c>
      <c r="G26" s="596"/>
      <c r="H26" s="89"/>
      <c r="I26" s="90"/>
      <c r="J26" s="307"/>
      <c r="K26" s="90"/>
      <c r="L26" s="91"/>
      <c r="M26" s="119"/>
      <c r="N26" s="419"/>
      <c r="O26" s="412">
        <f t="shared" si="4"/>
        <v>0</v>
      </c>
      <c r="P26" s="92">
        <f>P42</f>
        <v>0</v>
      </c>
      <c r="Q26" s="157"/>
      <c r="R26" s="252"/>
      <c r="S26" s="252"/>
    </row>
    <row r="27" spans="1:19" s="25" customFormat="1" ht="12.75" thickBot="1">
      <c r="A27" s="21"/>
      <c r="B27" s="30" t="s">
        <v>47</v>
      </c>
      <c r="C27" s="30"/>
      <c r="D27" s="30"/>
      <c r="E27" s="28">
        <v>25</v>
      </c>
      <c r="F27" s="119">
        <f t="shared" si="3"/>
        <v>316</v>
      </c>
      <c r="G27" s="596">
        <v>316</v>
      </c>
      <c r="H27" s="89"/>
      <c r="I27" s="90"/>
      <c r="J27" s="307"/>
      <c r="K27" s="90"/>
      <c r="L27" s="91"/>
      <c r="M27" s="119"/>
      <c r="N27" s="419"/>
      <c r="O27" s="412">
        <f t="shared" si="4"/>
        <v>0</v>
      </c>
      <c r="P27" s="100" t="e">
        <f>N27/titl!$H$17*12</f>
        <v>#DIV/0!</v>
      </c>
      <c r="Q27" s="157">
        <v>309</v>
      </c>
      <c r="R27" s="252"/>
      <c r="S27" s="252"/>
    </row>
    <row r="28" spans="1:17" ht="13.5" thickBot="1">
      <c r="A28" s="37" t="s">
        <v>49</v>
      </c>
      <c r="B28" s="38"/>
      <c r="C28" s="38"/>
      <c r="D28" s="38"/>
      <c r="E28" s="19">
        <v>26</v>
      </c>
      <c r="F28" s="197">
        <f>SUM(F29:F45)</f>
        <v>171124</v>
      </c>
      <c r="G28" s="597">
        <f aca="true" t="shared" si="5" ref="G28:L28">SUM(G29:G45)</f>
        <v>159712</v>
      </c>
      <c r="H28" s="125">
        <f t="shared" si="5"/>
        <v>4541</v>
      </c>
      <c r="I28" s="77">
        <f t="shared" si="5"/>
        <v>2231</v>
      </c>
      <c r="J28" s="304">
        <f t="shared" si="5"/>
        <v>0</v>
      </c>
      <c r="K28" s="77">
        <f t="shared" si="5"/>
        <v>640</v>
      </c>
      <c r="L28" s="76">
        <f t="shared" si="5"/>
        <v>4000</v>
      </c>
      <c r="M28" s="197">
        <f>SUM(M29:M45)</f>
        <v>0</v>
      </c>
      <c r="N28" s="471">
        <f>SUM(N29:N45)</f>
        <v>0</v>
      </c>
      <c r="O28" s="413">
        <f t="shared" si="4"/>
        <v>0</v>
      </c>
      <c r="P28" s="78" t="e">
        <f>SUM(P29:P45)</f>
        <v>#DIV/0!</v>
      </c>
      <c r="Q28" s="78">
        <f>SUM(Q29:Q45)</f>
        <v>165754</v>
      </c>
    </row>
    <row r="29" spans="1:19" s="25" customFormat="1" ht="12">
      <c r="A29" s="21" t="s">
        <v>14</v>
      </c>
      <c r="B29" s="27" t="s">
        <v>50</v>
      </c>
      <c r="C29" s="27"/>
      <c r="D29" s="27"/>
      <c r="E29" s="28">
        <v>27</v>
      </c>
      <c r="F29" s="119">
        <f t="shared" si="3"/>
        <v>85727</v>
      </c>
      <c r="G29" s="594">
        <v>85727</v>
      </c>
      <c r="H29" s="112"/>
      <c r="I29" s="81"/>
      <c r="J29" s="305"/>
      <c r="K29" s="81"/>
      <c r="L29" s="80"/>
      <c r="M29" s="198"/>
      <c r="N29" s="855"/>
      <c r="O29" s="412">
        <f t="shared" si="4"/>
        <v>0</v>
      </c>
      <c r="P29" s="92">
        <f>M29</f>
        <v>0</v>
      </c>
      <c r="Q29" s="564">
        <v>88730</v>
      </c>
      <c r="R29" s="252">
        <v>15812</v>
      </c>
      <c r="S29" s="252"/>
    </row>
    <row r="30" spans="1:19" s="25" customFormat="1" ht="12">
      <c r="A30" s="21"/>
      <c r="B30" s="30" t="s">
        <v>28</v>
      </c>
      <c r="C30" s="30"/>
      <c r="D30" s="30"/>
      <c r="E30" s="28">
        <v>28</v>
      </c>
      <c r="F30" s="119">
        <f t="shared" si="3"/>
        <v>6000</v>
      </c>
      <c r="G30" s="499">
        <f>G16</f>
        <v>6000</v>
      </c>
      <c r="H30" s="126"/>
      <c r="I30" s="95"/>
      <c r="J30" s="308"/>
      <c r="K30" s="95"/>
      <c r="L30" s="94"/>
      <c r="M30" s="472"/>
      <c r="N30" s="420"/>
      <c r="O30" s="412">
        <f t="shared" si="4"/>
        <v>0</v>
      </c>
      <c r="P30" s="92">
        <f>M30</f>
        <v>0</v>
      </c>
      <c r="Q30" s="230">
        <f>Q16</f>
        <v>5439</v>
      </c>
      <c r="R30" s="252"/>
      <c r="S30" s="252"/>
    </row>
    <row r="31" spans="1:19" s="25" customFormat="1" ht="12">
      <c r="A31" s="21"/>
      <c r="B31" s="30" t="s">
        <v>30</v>
      </c>
      <c r="C31" s="30"/>
      <c r="D31" s="30"/>
      <c r="E31" s="28">
        <v>29</v>
      </c>
      <c r="F31" s="119">
        <f t="shared" si="3"/>
        <v>60</v>
      </c>
      <c r="G31" s="499">
        <f>G17</f>
        <v>60</v>
      </c>
      <c r="H31" s="126"/>
      <c r="I31" s="95"/>
      <c r="J31" s="308"/>
      <c r="K31" s="95"/>
      <c r="L31" s="94"/>
      <c r="M31" s="472"/>
      <c r="N31" s="420"/>
      <c r="O31" s="412">
        <f t="shared" si="4"/>
        <v>0</v>
      </c>
      <c r="P31" s="92">
        <f>M31</f>
        <v>0</v>
      </c>
      <c r="Q31" s="230">
        <f>Q17</f>
        <v>60</v>
      </c>
      <c r="R31" s="252"/>
      <c r="S31" s="252"/>
    </row>
    <row r="32" spans="1:19" s="25" customFormat="1" ht="12">
      <c r="A32" s="21"/>
      <c r="B32" s="31" t="s">
        <v>32</v>
      </c>
      <c r="C32" s="32"/>
      <c r="D32" s="32"/>
      <c r="E32" s="33">
        <v>30</v>
      </c>
      <c r="F32" s="119">
        <f t="shared" si="3"/>
        <v>0</v>
      </c>
      <c r="G32" s="499">
        <f>G18</f>
        <v>0</v>
      </c>
      <c r="H32" s="126"/>
      <c r="I32" s="95"/>
      <c r="J32" s="308"/>
      <c r="K32" s="95"/>
      <c r="L32" s="94"/>
      <c r="M32" s="472"/>
      <c r="N32" s="420"/>
      <c r="O32" s="412">
        <f t="shared" si="4"/>
        <v>0</v>
      </c>
      <c r="P32" s="92">
        <f>M32</f>
        <v>0</v>
      </c>
      <c r="Q32" s="230">
        <f>Q18</f>
        <v>1865</v>
      </c>
      <c r="R32" s="252"/>
      <c r="S32" s="252"/>
    </row>
    <row r="33" spans="1:19" s="25" customFormat="1" ht="12">
      <c r="A33" s="21"/>
      <c r="B33" s="31" t="s">
        <v>34</v>
      </c>
      <c r="C33" s="31"/>
      <c r="D33" s="31"/>
      <c r="E33" s="33">
        <v>31</v>
      </c>
      <c r="F33" s="119">
        <f t="shared" si="3"/>
        <v>0</v>
      </c>
      <c r="G33" s="499">
        <f>G19</f>
        <v>0</v>
      </c>
      <c r="H33" s="126"/>
      <c r="I33" s="95"/>
      <c r="J33" s="308"/>
      <c r="K33" s="95"/>
      <c r="L33" s="94"/>
      <c r="M33" s="472"/>
      <c r="N33" s="420"/>
      <c r="O33" s="412">
        <f t="shared" si="4"/>
        <v>0</v>
      </c>
      <c r="P33" s="92">
        <f>M33</f>
        <v>0</v>
      </c>
      <c r="Q33" s="230">
        <f>Q19</f>
        <v>165</v>
      </c>
      <c r="R33" s="252"/>
      <c r="S33" s="252"/>
    </row>
    <row r="34" spans="1:19" s="25" customFormat="1" ht="12">
      <c r="A34" s="21"/>
      <c r="B34" s="31" t="s">
        <v>52</v>
      </c>
      <c r="C34" s="31"/>
      <c r="D34" s="31"/>
      <c r="E34" s="33">
        <v>32</v>
      </c>
      <c r="F34" s="119">
        <f t="shared" si="3"/>
        <v>0</v>
      </c>
      <c r="G34" s="499"/>
      <c r="H34" s="126"/>
      <c r="I34" s="95"/>
      <c r="J34" s="308"/>
      <c r="K34" s="95"/>
      <c r="L34" s="94"/>
      <c r="M34" s="472"/>
      <c r="N34" s="420"/>
      <c r="O34" s="412">
        <f t="shared" si="4"/>
        <v>0</v>
      </c>
      <c r="P34" s="92">
        <f>F34</f>
        <v>0</v>
      </c>
      <c r="Q34" s="230"/>
      <c r="R34" s="252"/>
      <c r="S34" s="252"/>
    </row>
    <row r="35" spans="1:19" s="25" customFormat="1" ht="12">
      <c r="A35" s="21"/>
      <c r="B35" s="31" t="s">
        <v>36</v>
      </c>
      <c r="C35" s="31"/>
      <c r="D35" s="31"/>
      <c r="E35" s="33">
        <v>33</v>
      </c>
      <c r="F35" s="119">
        <f t="shared" si="3"/>
        <v>0</v>
      </c>
      <c r="G35" s="499">
        <f>G20</f>
        <v>0</v>
      </c>
      <c r="H35" s="126"/>
      <c r="I35" s="95"/>
      <c r="J35" s="308"/>
      <c r="K35" s="95"/>
      <c r="L35" s="94"/>
      <c r="M35" s="472"/>
      <c r="N35" s="420"/>
      <c r="O35" s="412">
        <f t="shared" si="4"/>
        <v>0</v>
      </c>
      <c r="P35" s="92">
        <f>F35</f>
        <v>0</v>
      </c>
      <c r="Q35" s="230"/>
      <c r="R35" s="252"/>
      <c r="S35" s="252"/>
    </row>
    <row r="36" spans="1:19" s="640" customFormat="1" ht="12">
      <c r="A36" s="628"/>
      <c r="B36" s="629" t="s">
        <v>175</v>
      </c>
      <c r="C36" s="629"/>
      <c r="D36" s="629"/>
      <c r="E36" s="630">
        <v>34</v>
      </c>
      <c r="F36" s="631">
        <f t="shared" si="3"/>
        <v>11400</v>
      </c>
      <c r="G36" s="907">
        <f>G21</f>
        <v>11400</v>
      </c>
      <c r="H36" s="704"/>
      <c r="I36" s="695"/>
      <c r="J36" s="705"/>
      <c r="K36" s="695"/>
      <c r="L36" s="706"/>
      <c r="M36" s="632"/>
      <c r="N36" s="709"/>
      <c r="O36" s="676">
        <f t="shared" si="4"/>
        <v>0</v>
      </c>
      <c r="P36" s="591">
        <f>P21</f>
        <v>0</v>
      </c>
      <c r="Q36" s="710">
        <f>Q21</f>
        <v>3028</v>
      </c>
      <c r="R36" s="252"/>
      <c r="S36" s="252"/>
    </row>
    <row r="37" spans="1:19" s="25" customFormat="1" ht="12">
      <c r="A37" s="21"/>
      <c r="B37" s="31" t="s">
        <v>54</v>
      </c>
      <c r="C37" s="31"/>
      <c r="D37" s="31"/>
      <c r="E37" s="33">
        <v>35</v>
      </c>
      <c r="F37" s="119">
        <f t="shared" si="3"/>
        <v>588</v>
      </c>
      <c r="G37" s="499">
        <f>G22</f>
        <v>75</v>
      </c>
      <c r="H37" s="126"/>
      <c r="I37" s="95">
        <f>I22</f>
        <v>513</v>
      </c>
      <c r="J37" s="308"/>
      <c r="K37" s="95"/>
      <c r="L37" s="94"/>
      <c r="M37" s="472"/>
      <c r="N37" s="420"/>
      <c r="O37" s="412">
        <f t="shared" si="4"/>
        <v>0</v>
      </c>
      <c r="P37" s="92">
        <f>N37</f>
        <v>0</v>
      </c>
      <c r="Q37" s="230">
        <f>Q22</f>
        <v>751</v>
      </c>
      <c r="R37" s="252"/>
      <c r="S37" s="252"/>
    </row>
    <row r="38" spans="1:19" s="25" customFormat="1" ht="12">
      <c r="A38" s="21"/>
      <c r="B38" s="31" t="s">
        <v>170</v>
      </c>
      <c r="C38" s="31"/>
      <c r="D38" s="31"/>
      <c r="E38" s="33">
        <v>36</v>
      </c>
      <c r="F38" s="119">
        <f t="shared" si="3"/>
        <v>8873</v>
      </c>
      <c r="G38" s="499">
        <v>8873</v>
      </c>
      <c r="H38" s="126"/>
      <c r="I38" s="95"/>
      <c r="J38" s="308"/>
      <c r="K38" s="95"/>
      <c r="L38" s="94"/>
      <c r="M38" s="472"/>
      <c r="N38" s="420"/>
      <c r="O38" s="412">
        <f t="shared" si="4"/>
        <v>0</v>
      </c>
      <c r="P38" s="92">
        <f>N38</f>
        <v>0</v>
      </c>
      <c r="Q38" s="230">
        <v>3947</v>
      </c>
      <c r="R38" s="252"/>
      <c r="S38" s="252"/>
    </row>
    <row r="39" spans="1:19" s="25" customFormat="1" ht="12">
      <c r="A39" s="21"/>
      <c r="B39" s="31" t="s">
        <v>56</v>
      </c>
      <c r="C39" s="31"/>
      <c r="D39" s="31"/>
      <c r="E39" s="33">
        <v>37</v>
      </c>
      <c r="F39" s="119">
        <f t="shared" si="3"/>
        <v>2658</v>
      </c>
      <c r="G39" s="499">
        <f>G23</f>
        <v>2264</v>
      </c>
      <c r="H39" s="126"/>
      <c r="I39" s="95">
        <f>I23</f>
        <v>394</v>
      </c>
      <c r="J39" s="308"/>
      <c r="K39" s="95"/>
      <c r="L39" s="94"/>
      <c r="M39" s="472"/>
      <c r="N39" s="420"/>
      <c r="O39" s="412">
        <f t="shared" si="4"/>
        <v>0</v>
      </c>
      <c r="P39" s="92">
        <f>N39</f>
        <v>0</v>
      </c>
      <c r="Q39" s="230">
        <f>Q23</f>
        <v>4743</v>
      </c>
      <c r="R39" s="252"/>
      <c r="S39" s="252"/>
    </row>
    <row r="40" spans="1:19" s="25" customFormat="1" ht="12">
      <c r="A40" s="21"/>
      <c r="B40" s="31" t="s">
        <v>57</v>
      </c>
      <c r="C40" s="31"/>
      <c r="D40" s="31"/>
      <c r="E40" s="33">
        <v>38</v>
      </c>
      <c r="F40" s="119">
        <f t="shared" si="3"/>
        <v>8019</v>
      </c>
      <c r="G40" s="499">
        <f>G24</f>
        <v>7997</v>
      </c>
      <c r="H40" s="126"/>
      <c r="I40" s="95">
        <f>I24</f>
        <v>22</v>
      </c>
      <c r="J40" s="308"/>
      <c r="K40" s="95"/>
      <c r="L40" s="94"/>
      <c r="M40" s="472"/>
      <c r="N40" s="420"/>
      <c r="O40" s="412">
        <f t="shared" si="4"/>
        <v>0</v>
      </c>
      <c r="P40" s="92">
        <f>N40</f>
        <v>0</v>
      </c>
      <c r="Q40" s="230">
        <f>Q24</f>
        <v>5852</v>
      </c>
      <c r="R40" s="252"/>
      <c r="S40" s="252">
        <v>111</v>
      </c>
    </row>
    <row r="41" spans="1:19" s="640" customFormat="1" ht="12">
      <c r="A41" s="628"/>
      <c r="B41" s="629" t="s">
        <v>186</v>
      </c>
      <c r="C41" s="629"/>
      <c r="D41" s="629"/>
      <c r="E41" s="630">
        <v>39</v>
      </c>
      <c r="F41" s="631">
        <f t="shared" si="3"/>
        <v>1302</v>
      </c>
      <c r="G41" s="907">
        <f>G25</f>
        <v>0</v>
      </c>
      <c r="H41" s="704"/>
      <c r="I41" s="95">
        <f>I25</f>
        <v>1302</v>
      </c>
      <c r="J41" s="705"/>
      <c r="K41" s="695"/>
      <c r="L41" s="706"/>
      <c r="M41" s="632"/>
      <c r="N41" s="709"/>
      <c r="O41" s="721">
        <f t="shared" si="4"/>
        <v>0</v>
      </c>
      <c r="P41" s="591">
        <f>N41</f>
        <v>0</v>
      </c>
      <c r="Q41" s="710">
        <f>Q25</f>
        <v>1634</v>
      </c>
      <c r="R41" s="252"/>
      <c r="S41" s="252"/>
    </row>
    <row r="42" spans="1:19" s="25" customFormat="1" ht="12">
      <c r="A42" s="21"/>
      <c r="B42" s="31" t="s">
        <v>58</v>
      </c>
      <c r="C42" s="31"/>
      <c r="D42" s="31"/>
      <c r="E42" s="33">
        <v>40</v>
      </c>
      <c r="F42" s="119">
        <f t="shared" si="3"/>
        <v>0</v>
      </c>
      <c r="G42" s="499">
        <f>G26</f>
        <v>0</v>
      </c>
      <c r="H42" s="126"/>
      <c r="I42" s="95"/>
      <c r="J42" s="308"/>
      <c r="K42" s="95"/>
      <c r="L42" s="94"/>
      <c r="M42" s="472"/>
      <c r="N42" s="420"/>
      <c r="O42" s="414">
        <f t="shared" si="4"/>
        <v>0</v>
      </c>
      <c r="P42" s="92">
        <f>F42</f>
        <v>0</v>
      </c>
      <c r="Q42" s="230"/>
      <c r="R42" s="252"/>
      <c r="S42" s="252"/>
    </row>
    <row r="43" spans="1:19" s="25" customFormat="1" ht="12">
      <c r="A43" s="21"/>
      <c r="B43" s="31" t="s">
        <v>59</v>
      </c>
      <c r="C43" s="31"/>
      <c r="D43" s="31"/>
      <c r="E43" s="33">
        <v>41</v>
      </c>
      <c r="F43" s="119">
        <f t="shared" si="3"/>
        <v>37000</v>
      </c>
      <c r="G43" s="499">
        <v>37000</v>
      </c>
      <c r="H43" s="126"/>
      <c r="I43" s="159"/>
      <c r="J43" s="308"/>
      <c r="K43" s="95"/>
      <c r="L43" s="94"/>
      <c r="M43" s="472"/>
      <c r="N43" s="420"/>
      <c r="O43" s="414">
        <f t="shared" si="4"/>
        <v>0</v>
      </c>
      <c r="P43" s="92" t="e">
        <f>(N43-N49)/titl!H17*12+N49</f>
        <v>#DIV/0!</v>
      </c>
      <c r="Q43" s="230">
        <v>39793</v>
      </c>
      <c r="R43" s="252"/>
      <c r="S43" s="252"/>
    </row>
    <row r="44" spans="1:19" s="25" customFormat="1" ht="12">
      <c r="A44" s="21"/>
      <c r="B44" s="31" t="s">
        <v>60</v>
      </c>
      <c r="C44" s="31"/>
      <c r="D44" s="31"/>
      <c r="E44" s="33">
        <v>42</v>
      </c>
      <c r="F44" s="119">
        <f t="shared" si="3"/>
        <v>9181</v>
      </c>
      <c r="G44" s="612"/>
      <c r="H44" s="126">
        <v>4541</v>
      </c>
      <c r="I44" s="159"/>
      <c r="J44" s="308"/>
      <c r="K44" s="95">
        <f>K15</f>
        <v>640</v>
      </c>
      <c r="L44" s="94">
        <f>L3</f>
        <v>4000</v>
      </c>
      <c r="M44" s="472"/>
      <c r="N44" s="420"/>
      <c r="O44" s="414">
        <f t="shared" si="4"/>
        <v>0</v>
      </c>
      <c r="P44" s="92">
        <f>N44</f>
        <v>0</v>
      </c>
      <c r="Q44" s="230">
        <v>9438</v>
      </c>
      <c r="R44" s="252"/>
      <c r="S44" s="252">
        <v>0</v>
      </c>
    </row>
    <row r="45" spans="1:19" s="25" customFormat="1" ht="12.75" thickBot="1">
      <c r="A45" s="40"/>
      <c r="B45" s="41" t="s">
        <v>47</v>
      </c>
      <c r="C45" s="41"/>
      <c r="D45" s="41"/>
      <c r="E45" s="42">
        <v>43</v>
      </c>
      <c r="F45" s="200">
        <f t="shared" si="3"/>
        <v>316</v>
      </c>
      <c r="G45" s="500">
        <v>316</v>
      </c>
      <c r="H45" s="174"/>
      <c r="I45" s="99"/>
      <c r="J45" s="309"/>
      <c r="K45" s="99"/>
      <c r="L45" s="98"/>
      <c r="M45" s="200"/>
      <c r="N45" s="421"/>
      <c r="O45" s="415">
        <f t="shared" si="4"/>
        <v>0</v>
      </c>
      <c r="P45" s="100" t="e">
        <f>N45/titl!$H$17*12</f>
        <v>#DIV/0!</v>
      </c>
      <c r="Q45" s="565">
        <v>309</v>
      </c>
      <c r="R45" s="252"/>
      <c r="S45" s="252"/>
    </row>
    <row r="46" spans="1:19" s="25" customFormat="1" ht="12.75" hidden="1" thickBot="1">
      <c r="A46" s="44" t="s">
        <v>61</v>
      </c>
      <c r="B46" s="45"/>
      <c r="C46" s="45"/>
      <c r="D46" s="45"/>
      <c r="E46" s="28">
        <v>44</v>
      </c>
      <c r="F46" s="201">
        <f>F29+F34+F38+F43+F44+F45-F4-F27</f>
        <v>3938</v>
      </c>
      <c r="G46" s="613">
        <f>G29+G34+G38+G43+G45-G4-G27</f>
        <v>3497</v>
      </c>
      <c r="H46" s="102">
        <f>H29+H34+H38+H43+H44+H45-H4-H27</f>
        <v>441</v>
      </c>
      <c r="I46" s="102">
        <f>I29+I34+I38+I43+I44+I45-I4-I27</f>
        <v>0</v>
      </c>
      <c r="J46" s="102">
        <f>J29+J34+J38+J43+J44+J45-J4-J27</f>
        <v>0</v>
      </c>
      <c r="K46" s="320"/>
      <c r="L46" s="102">
        <f>L29+L34+L38+L43+L44+L45-L4-L27</f>
        <v>0</v>
      </c>
      <c r="M46" s="201">
        <f>M29+M34+M38+M43+M44+M45+-M4-M27</f>
        <v>0</v>
      </c>
      <c r="N46" s="422">
        <f>N29+N34+N38+N43+N44+N45-N4-N27</f>
        <v>0</v>
      </c>
      <c r="O46" s="416"/>
      <c r="P46" s="103" t="e">
        <f>P29+P34+P38+P43+P44+P45-P4-P27</f>
        <v>#DIV/0!</v>
      </c>
      <c r="Q46" s="103">
        <f>Q29+Q34+Q38+Q43+Q44+Q45-Q4-Q27</f>
        <v>6802</v>
      </c>
      <c r="R46" s="252"/>
      <c r="S46" s="252"/>
    </row>
    <row r="47" spans="1:17" ht="13.5" thickBot="1">
      <c r="A47" s="37" t="s">
        <v>62</v>
      </c>
      <c r="B47" s="38"/>
      <c r="C47" s="38"/>
      <c r="D47" s="38"/>
      <c r="E47" s="19">
        <v>45</v>
      </c>
      <c r="F47" s="197">
        <f>F28-F3</f>
        <v>3497</v>
      </c>
      <c r="G47" s="597">
        <f aca="true" t="shared" si="6" ref="G47:N47">G28-G3</f>
        <v>3497</v>
      </c>
      <c r="H47" s="125">
        <f t="shared" si="6"/>
        <v>0</v>
      </c>
      <c r="I47" s="77">
        <f t="shared" si="6"/>
        <v>0</v>
      </c>
      <c r="J47" s="304">
        <f t="shared" si="6"/>
        <v>0</v>
      </c>
      <c r="K47" s="77">
        <f t="shared" si="6"/>
        <v>0</v>
      </c>
      <c r="L47" s="76">
        <f t="shared" si="6"/>
        <v>0</v>
      </c>
      <c r="M47" s="197">
        <f>M28-M3</f>
        <v>0</v>
      </c>
      <c r="N47" s="471">
        <f t="shared" si="6"/>
        <v>0</v>
      </c>
      <c r="O47" s="78"/>
      <c r="P47" s="78" t="e">
        <f>P28-P3</f>
        <v>#DIV/0!</v>
      </c>
      <c r="Q47" s="78">
        <f>Q28-Q3</f>
        <v>6802</v>
      </c>
    </row>
    <row r="48" spans="1:5" ht="12.75">
      <c r="A48" s="47" t="s">
        <v>225</v>
      </c>
      <c r="B48" s="47"/>
      <c r="C48" s="47"/>
      <c r="D48" s="122"/>
      <c r="E48" s="48"/>
    </row>
    <row r="49" spans="5:19" s="47" customFormat="1" ht="13.5" customHeight="1">
      <c r="E49" s="48"/>
      <c r="G49" s="59"/>
      <c r="H49" s="59"/>
      <c r="I49" s="59"/>
      <c r="J49" s="1058"/>
      <c r="K49" s="1058"/>
      <c r="L49" s="1058"/>
      <c r="M49" s="240"/>
      <c r="N49" s="874"/>
      <c r="O49" s="401"/>
      <c r="P49" s="405"/>
      <c r="Q49" s="239"/>
      <c r="R49" s="252"/>
      <c r="S49" s="252"/>
    </row>
    <row r="50" spans="1:19" s="47" customFormat="1" ht="11.25">
      <c r="A50" s="51" t="s">
        <v>90</v>
      </c>
      <c r="D50" s="51"/>
      <c r="E50" s="48"/>
      <c r="F50" s="202"/>
      <c r="G50" s="59"/>
      <c r="I50" s="337">
        <v>0</v>
      </c>
      <c r="J50" s="59"/>
      <c r="K50" s="59"/>
      <c r="L50" s="59"/>
      <c r="M50" s="59"/>
      <c r="N50" s="59"/>
      <c r="O50" s="401"/>
      <c r="P50" s="405"/>
      <c r="Q50" s="405"/>
      <c r="R50" s="252"/>
      <c r="S50" s="252"/>
    </row>
    <row r="51" spans="1:19" s="47" customFormat="1" ht="11.25">
      <c r="A51" s="51"/>
      <c r="B51" s="51"/>
      <c r="C51" s="51"/>
      <c r="D51" s="51"/>
      <c r="E51" s="48"/>
      <c r="G51" s="59"/>
      <c r="H51" s="59"/>
      <c r="I51" s="59"/>
      <c r="J51" s="59"/>
      <c r="K51" s="59"/>
      <c r="L51" s="59"/>
      <c r="M51" s="59"/>
      <c r="N51" s="59"/>
      <c r="O51" s="401"/>
      <c r="P51" s="405"/>
      <c r="Q51" s="405"/>
      <c r="R51" s="252"/>
      <c r="S51" s="252"/>
    </row>
    <row r="52" spans="1:19" s="59" customFormat="1" ht="11.25">
      <c r="A52" s="51"/>
      <c r="B52" s="51"/>
      <c r="C52" s="51"/>
      <c r="D52" s="51"/>
      <c r="E52" s="57"/>
      <c r="F52" s="47"/>
      <c r="O52" s="401"/>
      <c r="P52" s="405"/>
      <c r="Q52" s="405"/>
      <c r="R52" s="255"/>
      <c r="S52" s="255"/>
    </row>
    <row r="53" spans="1:19" s="59" customFormat="1" ht="11.25">
      <c r="A53" s="51"/>
      <c r="C53" s="51"/>
      <c r="D53" s="51"/>
      <c r="E53" s="57"/>
      <c r="F53" s="47"/>
      <c r="O53" s="401"/>
      <c r="P53" s="405"/>
      <c r="Q53" s="405"/>
      <c r="R53" s="255"/>
      <c r="S53" s="255"/>
    </row>
    <row r="54" spans="1:19" s="59" customFormat="1" ht="11.25">
      <c r="A54" s="51"/>
      <c r="B54" s="51"/>
      <c r="C54" s="51"/>
      <c r="D54" s="51"/>
      <c r="E54" s="57"/>
      <c r="F54" s="47"/>
      <c r="O54" s="401"/>
      <c r="P54" s="405"/>
      <c r="Q54" s="405"/>
      <c r="R54" s="255"/>
      <c r="S54" s="255"/>
    </row>
  </sheetData>
  <mergeCells count="6">
    <mergeCell ref="J49:L49"/>
    <mergeCell ref="R1:R2"/>
    <mergeCell ref="S1:S2"/>
    <mergeCell ref="A1:D1"/>
    <mergeCell ref="H1:L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4"/>
  <sheetViews>
    <sheetView workbookViewId="0" topLeftCell="A1">
      <pane ySplit="3" topLeftCell="BM49" activePane="bottomLeft" state="frozen"/>
      <selection pane="topLeft" activeCell="A34" sqref="A34"/>
      <selection pane="bottomLeft" activeCell="A34" sqref="A34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60" bestFit="1" customWidth="1"/>
    <col min="6" max="6" width="9.625" style="47" bestFit="1" customWidth="1"/>
    <col min="7" max="7" width="9.625" style="59" bestFit="1" customWidth="1"/>
    <col min="8" max="11" width="8.00390625" style="59" customWidth="1"/>
    <col min="12" max="12" width="8.125" style="59" customWidth="1"/>
    <col min="13" max="13" width="9.75390625" style="59" hidden="1" customWidth="1"/>
    <col min="14" max="14" width="9.875" style="59" hidden="1" customWidth="1" collapsed="1"/>
    <col min="15" max="15" width="8.625" style="401" hidden="1" customWidth="1"/>
    <col min="16" max="16" width="11.25390625" style="405" hidden="1" customWidth="1"/>
    <col min="17" max="17" width="10.375" style="72" customWidth="1" collapsed="1"/>
    <col min="18" max="18" width="7.75390625" style="255" hidden="1" customWidth="1"/>
    <col min="19" max="19" width="5.875" style="255" customWidth="1"/>
  </cols>
  <sheetData>
    <row r="1" spans="1:19" ht="15.75" customHeight="1">
      <c r="A1" s="1046" t="s">
        <v>236</v>
      </c>
      <c r="B1" s="1047"/>
      <c r="C1" s="1047"/>
      <c r="D1" s="1048"/>
      <c r="E1" s="1"/>
      <c r="F1" s="543" t="s">
        <v>0</v>
      </c>
      <c r="G1" s="606" t="s">
        <v>2</v>
      </c>
      <c r="H1" s="1050" t="s">
        <v>3</v>
      </c>
      <c r="I1" s="1050"/>
      <c r="J1" s="1050"/>
      <c r="K1" s="1050"/>
      <c r="L1" s="1051"/>
      <c r="M1" s="181" t="s">
        <v>1</v>
      </c>
      <c r="N1" s="538" t="s">
        <v>4</v>
      </c>
      <c r="O1" s="67" t="s">
        <v>144</v>
      </c>
      <c r="P1" s="67" t="s">
        <v>145</v>
      </c>
      <c r="Q1" s="947" t="s">
        <v>4</v>
      </c>
      <c r="R1" s="1056" t="s">
        <v>190</v>
      </c>
      <c r="S1" s="1057" t="s">
        <v>188</v>
      </c>
    </row>
    <row r="2" spans="1:19" s="16" customFormat="1" ht="13.5" thickBot="1">
      <c r="A2" s="298" t="s">
        <v>127</v>
      </c>
      <c r="B2" s="7"/>
      <c r="C2" s="1052" t="s">
        <v>76</v>
      </c>
      <c r="D2" s="1053"/>
      <c r="E2" s="9" t="s">
        <v>5</v>
      </c>
      <c r="F2" s="544">
        <v>2011</v>
      </c>
      <c r="G2" s="607" t="s">
        <v>8</v>
      </c>
      <c r="H2" s="69" t="s">
        <v>9</v>
      </c>
      <c r="I2" s="70" t="s">
        <v>10</v>
      </c>
      <c r="J2" s="303" t="s">
        <v>11</v>
      </c>
      <c r="K2" s="248" t="s">
        <v>126</v>
      </c>
      <c r="L2" s="68" t="s">
        <v>12</v>
      </c>
      <c r="M2" s="544" t="s">
        <v>7</v>
      </c>
      <c r="N2" s="539">
        <v>2011</v>
      </c>
      <c r="O2" s="71"/>
      <c r="P2" s="71"/>
      <c r="Q2" s="948">
        <v>2010</v>
      </c>
      <c r="R2" s="1056"/>
      <c r="S2" s="1057"/>
    </row>
    <row r="3" spans="1:17" ht="13.5" thickBot="1">
      <c r="A3" s="17" t="s">
        <v>13</v>
      </c>
      <c r="B3" s="18"/>
      <c r="C3" s="18"/>
      <c r="D3" s="18"/>
      <c r="E3" s="19">
        <v>1</v>
      </c>
      <c r="F3" s="197">
        <f aca="true" t="shared" si="0" ref="F3:N3">SUM(F5:F27)</f>
        <v>229910</v>
      </c>
      <c r="G3" s="597">
        <f>SUM(G5:G27)</f>
        <v>203751</v>
      </c>
      <c r="H3" s="125">
        <f t="shared" si="0"/>
        <v>12082</v>
      </c>
      <c r="I3" s="77">
        <f t="shared" si="0"/>
        <v>1821</v>
      </c>
      <c r="J3" s="304">
        <f t="shared" si="0"/>
        <v>0</v>
      </c>
      <c r="K3" s="77">
        <f t="shared" si="0"/>
        <v>2636</v>
      </c>
      <c r="L3" s="76">
        <f t="shared" si="0"/>
        <v>9620</v>
      </c>
      <c r="M3" s="197">
        <f>SUM(M5:M27)</f>
        <v>0</v>
      </c>
      <c r="N3" s="471">
        <f t="shared" si="0"/>
        <v>0</v>
      </c>
      <c r="O3" s="413">
        <f aca="true" t="shared" si="1" ref="O3:O19">IF(F3=0,0,N3/F3)</f>
        <v>0</v>
      </c>
      <c r="P3" s="78" t="e">
        <f>SUM(P5:P27)</f>
        <v>#DIV/0!</v>
      </c>
      <c r="Q3" s="588">
        <f>SUM(Q5:Q27)</f>
        <v>206536</v>
      </c>
    </row>
    <row r="4" spans="1:19" s="25" customFormat="1" ht="12">
      <c r="A4" s="21" t="s">
        <v>14</v>
      </c>
      <c r="B4" s="22" t="s">
        <v>15</v>
      </c>
      <c r="C4" s="22"/>
      <c r="D4" s="22"/>
      <c r="E4" s="23">
        <v>2</v>
      </c>
      <c r="F4" s="198">
        <f aca="true" t="shared" si="2" ref="F4:N4">SUM(F5:F15)</f>
        <v>148885</v>
      </c>
      <c r="G4" s="608">
        <f>SUM(G5:G14)</f>
        <v>110215</v>
      </c>
      <c r="H4" s="112">
        <f t="shared" si="2"/>
        <v>12082</v>
      </c>
      <c r="I4" s="81">
        <f t="shared" si="2"/>
        <v>332</v>
      </c>
      <c r="J4" s="305">
        <f t="shared" si="2"/>
        <v>0</v>
      </c>
      <c r="K4" s="81">
        <f t="shared" si="2"/>
        <v>2636</v>
      </c>
      <c r="L4" s="80">
        <f t="shared" si="2"/>
        <v>9620</v>
      </c>
      <c r="M4" s="198">
        <f>SUM(M5:M15)</f>
        <v>0</v>
      </c>
      <c r="N4" s="417">
        <f t="shared" si="2"/>
        <v>0</v>
      </c>
      <c r="O4" s="410">
        <f t="shared" si="1"/>
        <v>0</v>
      </c>
      <c r="P4" s="82" t="e">
        <f>SUM(P5:P15)</f>
        <v>#DIV/0!</v>
      </c>
      <c r="Q4" s="589">
        <f>SUM(Q6:Q15)</f>
        <v>75746</v>
      </c>
      <c r="R4" s="252"/>
      <c r="S4" s="252"/>
    </row>
    <row r="5" spans="1:19" s="65" customFormat="1" ht="12">
      <c r="A5" s="61"/>
      <c r="B5" s="62"/>
      <c r="C5" s="62" t="s">
        <v>16</v>
      </c>
      <c r="D5" s="63" t="s">
        <v>17</v>
      </c>
      <c r="E5" s="64">
        <v>3</v>
      </c>
      <c r="F5" s="199">
        <f>SUM(G5:L5)</f>
        <v>75300</v>
      </c>
      <c r="G5" s="610">
        <v>66800</v>
      </c>
      <c r="H5" s="467">
        <v>8500</v>
      </c>
      <c r="I5" s="614"/>
      <c r="J5" s="618"/>
      <c r="K5" s="242"/>
      <c r="L5" s="262"/>
      <c r="M5" s="199"/>
      <c r="N5" s="419"/>
      <c r="O5" s="428">
        <f t="shared" si="1"/>
        <v>0</v>
      </c>
      <c r="P5" s="852">
        <f>N5</f>
        <v>0</v>
      </c>
      <c r="Q5" s="677">
        <v>59729</v>
      </c>
      <c r="R5" s="546"/>
      <c r="S5" s="546"/>
    </row>
    <row r="6" spans="1:19" s="65" customFormat="1" ht="12">
      <c r="A6" s="61"/>
      <c r="B6" s="62"/>
      <c r="C6" s="62"/>
      <c r="D6" s="63" t="s">
        <v>18</v>
      </c>
      <c r="E6" s="64">
        <v>4</v>
      </c>
      <c r="F6" s="199">
        <f aca="true" t="shared" si="3" ref="F6:F45">SUM(G6:L6)</f>
        <v>2850</v>
      </c>
      <c r="G6" s="610">
        <v>2800</v>
      </c>
      <c r="H6" s="241">
        <v>50</v>
      </c>
      <c r="I6" s="242"/>
      <c r="J6" s="313"/>
      <c r="K6" s="242"/>
      <c r="L6" s="262"/>
      <c r="M6" s="199"/>
      <c r="N6" s="419"/>
      <c r="O6" s="428">
        <f t="shared" si="1"/>
        <v>0</v>
      </c>
      <c r="P6" s="852">
        <f>N6</f>
        <v>0</v>
      </c>
      <c r="Q6" s="677">
        <v>2810</v>
      </c>
      <c r="R6" s="546"/>
      <c r="S6" s="546"/>
    </row>
    <row r="7" spans="1:19" s="65" customFormat="1" ht="12">
      <c r="A7" s="61"/>
      <c r="B7" s="62"/>
      <c r="C7" s="62"/>
      <c r="D7" s="63" t="s">
        <v>19</v>
      </c>
      <c r="E7" s="64">
        <v>5</v>
      </c>
      <c r="F7" s="199">
        <f t="shared" si="3"/>
        <v>26355</v>
      </c>
      <c r="G7" s="610">
        <v>23380</v>
      </c>
      <c r="H7" s="241">
        <v>2975</v>
      </c>
      <c r="I7" s="242"/>
      <c r="J7" s="313"/>
      <c r="K7" s="242"/>
      <c r="L7" s="262"/>
      <c r="M7" s="199"/>
      <c r="N7" s="419"/>
      <c r="O7" s="428">
        <f t="shared" si="1"/>
        <v>0</v>
      </c>
      <c r="P7" s="852">
        <f>N7</f>
        <v>0</v>
      </c>
      <c r="Q7" s="677">
        <v>21656</v>
      </c>
      <c r="R7" s="546"/>
      <c r="S7" s="546"/>
    </row>
    <row r="8" spans="1:19" s="65" customFormat="1" ht="12">
      <c r="A8" s="61"/>
      <c r="B8" s="62"/>
      <c r="C8" s="62"/>
      <c r="D8" s="63" t="s">
        <v>20</v>
      </c>
      <c r="E8" s="64">
        <v>6</v>
      </c>
      <c r="F8" s="199">
        <f t="shared" si="3"/>
        <v>2800</v>
      </c>
      <c r="G8" s="610">
        <v>2800</v>
      </c>
      <c r="H8" s="241"/>
      <c r="I8" s="242"/>
      <c r="J8" s="313"/>
      <c r="K8" s="242"/>
      <c r="L8" s="262"/>
      <c r="M8" s="199"/>
      <c r="N8" s="419"/>
      <c r="O8" s="428">
        <f t="shared" si="1"/>
        <v>0</v>
      </c>
      <c r="P8" s="92" t="e">
        <f>N8/titl!$H$17*12</f>
        <v>#DIV/0!</v>
      </c>
      <c r="Q8" s="677">
        <v>2683</v>
      </c>
      <c r="R8" s="546"/>
      <c r="S8" s="546"/>
    </row>
    <row r="9" spans="1:19" s="65" customFormat="1" ht="12">
      <c r="A9" s="61"/>
      <c r="B9" s="62"/>
      <c r="C9" s="62"/>
      <c r="D9" s="63" t="s">
        <v>21</v>
      </c>
      <c r="E9" s="64">
        <v>7</v>
      </c>
      <c r="F9" s="199">
        <f t="shared" si="3"/>
        <v>810</v>
      </c>
      <c r="G9" s="610">
        <v>800</v>
      </c>
      <c r="H9" s="241">
        <v>10</v>
      </c>
      <c r="I9" s="242"/>
      <c r="J9" s="313"/>
      <c r="K9" s="242"/>
      <c r="L9" s="262"/>
      <c r="M9" s="199"/>
      <c r="N9" s="419"/>
      <c r="O9" s="428">
        <f t="shared" si="1"/>
        <v>0</v>
      </c>
      <c r="P9" s="92" t="e">
        <f>N9/titl!$H$17*12</f>
        <v>#DIV/0!</v>
      </c>
      <c r="Q9" s="677">
        <v>712</v>
      </c>
      <c r="R9" s="546"/>
      <c r="S9" s="546"/>
    </row>
    <row r="10" spans="1:19" s="65" customFormat="1" ht="12">
      <c r="A10" s="61"/>
      <c r="B10" s="62"/>
      <c r="C10" s="62"/>
      <c r="D10" s="63" t="s">
        <v>22</v>
      </c>
      <c r="E10" s="64">
        <v>8</v>
      </c>
      <c r="F10" s="199">
        <f t="shared" si="3"/>
        <v>3300</v>
      </c>
      <c r="G10" s="610">
        <v>2900</v>
      </c>
      <c r="H10" s="241">
        <v>300</v>
      </c>
      <c r="I10" s="242">
        <v>100</v>
      </c>
      <c r="J10" s="313"/>
      <c r="K10" s="242"/>
      <c r="L10" s="262"/>
      <c r="M10" s="199"/>
      <c r="N10" s="419"/>
      <c r="O10" s="428">
        <f t="shared" si="1"/>
        <v>0</v>
      </c>
      <c r="P10" s="92" t="e">
        <f>N10/titl!$H$17*12</f>
        <v>#DIV/0!</v>
      </c>
      <c r="Q10" s="677">
        <v>3322</v>
      </c>
      <c r="R10" s="546"/>
      <c r="S10" s="546"/>
    </row>
    <row r="11" spans="1:19" s="65" customFormat="1" ht="12">
      <c r="A11" s="61"/>
      <c r="B11" s="62"/>
      <c r="C11" s="62"/>
      <c r="D11" s="63" t="s">
        <v>23</v>
      </c>
      <c r="E11" s="64">
        <v>9</v>
      </c>
      <c r="F11" s="199">
        <f t="shared" si="3"/>
        <v>4447</v>
      </c>
      <c r="G11" s="610">
        <v>4000</v>
      </c>
      <c r="H11" s="241">
        <v>247</v>
      </c>
      <c r="I11" s="242">
        <v>200</v>
      </c>
      <c r="J11" s="313"/>
      <c r="K11" s="242"/>
      <c r="L11" s="262"/>
      <c r="M11" s="199"/>
      <c r="N11" s="419"/>
      <c r="O11" s="428">
        <f t="shared" si="1"/>
        <v>0</v>
      </c>
      <c r="P11" s="92" t="e">
        <f>N11/titl!$H$17*12</f>
        <v>#DIV/0!</v>
      </c>
      <c r="Q11" s="677">
        <v>3843</v>
      </c>
      <c r="R11" s="546"/>
      <c r="S11" s="546"/>
    </row>
    <row r="12" spans="1:19" s="65" customFormat="1" ht="12">
      <c r="A12" s="61"/>
      <c r="B12" s="62"/>
      <c r="C12" s="62"/>
      <c r="D12" s="63" t="s">
        <v>24</v>
      </c>
      <c r="E12" s="64">
        <v>10</v>
      </c>
      <c r="F12" s="199">
        <f t="shared" si="3"/>
        <v>532</v>
      </c>
      <c r="G12" s="610">
        <v>500</v>
      </c>
      <c r="H12" s="241"/>
      <c r="I12" s="242">
        <v>32</v>
      </c>
      <c r="J12" s="313"/>
      <c r="K12" s="242"/>
      <c r="L12" s="262"/>
      <c r="M12" s="199"/>
      <c r="N12" s="419"/>
      <c r="O12" s="428">
        <f t="shared" si="1"/>
        <v>0</v>
      </c>
      <c r="P12" s="92" t="e">
        <f>N12/titl!$H$17*12</f>
        <v>#DIV/0!</v>
      </c>
      <c r="Q12" s="677">
        <v>493</v>
      </c>
      <c r="R12" s="546"/>
      <c r="S12" s="546"/>
    </row>
    <row r="13" spans="1:19" s="65" customFormat="1" ht="12">
      <c r="A13" s="61"/>
      <c r="B13" s="62"/>
      <c r="C13" s="62"/>
      <c r="D13" s="63" t="s">
        <v>25</v>
      </c>
      <c r="E13" s="64">
        <v>11</v>
      </c>
      <c r="F13" s="199">
        <f t="shared" si="3"/>
        <v>6200</v>
      </c>
      <c r="G13" s="610">
        <v>6200</v>
      </c>
      <c r="H13" s="241"/>
      <c r="I13" s="242"/>
      <c r="J13" s="313"/>
      <c r="K13" s="242"/>
      <c r="L13" s="262"/>
      <c r="M13" s="199"/>
      <c r="N13" s="419"/>
      <c r="O13" s="428">
        <f t="shared" si="1"/>
        <v>0</v>
      </c>
      <c r="P13" s="852">
        <f>N13</f>
        <v>0</v>
      </c>
      <c r="Q13" s="677">
        <v>6153</v>
      </c>
      <c r="R13" s="546"/>
      <c r="S13" s="546"/>
    </row>
    <row r="14" spans="1:19" s="65" customFormat="1" ht="12">
      <c r="A14" s="61"/>
      <c r="B14" s="62"/>
      <c r="C14" s="62"/>
      <c r="D14" s="63" t="s">
        <v>26</v>
      </c>
      <c r="E14" s="64">
        <v>12</v>
      </c>
      <c r="F14" s="199">
        <f t="shared" si="3"/>
        <v>9655</v>
      </c>
      <c r="G14" s="610">
        <v>35</v>
      </c>
      <c r="H14" s="241"/>
      <c r="I14" s="242"/>
      <c r="J14" s="313"/>
      <c r="K14" s="242"/>
      <c r="L14" s="262">
        <v>9620</v>
      </c>
      <c r="M14" s="199"/>
      <c r="N14" s="419"/>
      <c r="O14" s="428">
        <f t="shared" si="1"/>
        <v>0</v>
      </c>
      <c r="P14" s="92" t="e">
        <f>N14/titl!$H$17*12</f>
        <v>#DIV/0!</v>
      </c>
      <c r="Q14" s="677">
        <v>7601</v>
      </c>
      <c r="R14" s="546"/>
      <c r="S14" s="546"/>
    </row>
    <row r="15" spans="1:19" s="65" customFormat="1" ht="12">
      <c r="A15" s="61"/>
      <c r="B15" s="62"/>
      <c r="C15" s="63"/>
      <c r="D15" s="63" t="s">
        <v>27</v>
      </c>
      <c r="E15" s="64">
        <v>13</v>
      </c>
      <c r="F15" s="199">
        <f t="shared" si="3"/>
        <v>16636</v>
      </c>
      <c r="G15" s="610">
        <v>14000</v>
      </c>
      <c r="H15" s="241"/>
      <c r="I15" s="242"/>
      <c r="J15" s="313"/>
      <c r="K15" s="242">
        <v>2636</v>
      </c>
      <c r="L15" s="262"/>
      <c r="M15" s="199"/>
      <c r="N15" s="419"/>
      <c r="O15" s="428">
        <f t="shared" si="1"/>
        <v>0</v>
      </c>
      <c r="P15" s="92" t="e">
        <f>N15/titl!$H$17*12</f>
        <v>#DIV/0!</v>
      </c>
      <c r="Q15" s="677">
        <v>26473</v>
      </c>
      <c r="R15" s="546"/>
      <c r="S15" s="546"/>
    </row>
    <row r="16" spans="1:19" s="25" customFormat="1" ht="12">
      <c r="A16" s="21"/>
      <c r="B16" s="30" t="s">
        <v>28</v>
      </c>
      <c r="C16" s="27"/>
      <c r="D16" s="27"/>
      <c r="E16" s="28">
        <v>14</v>
      </c>
      <c r="F16" s="119">
        <f t="shared" si="3"/>
        <v>14000</v>
      </c>
      <c r="G16" s="611">
        <v>14000</v>
      </c>
      <c r="H16" s="328"/>
      <c r="I16" s="160"/>
      <c r="J16" s="315"/>
      <c r="K16" s="160"/>
      <c r="L16" s="156"/>
      <c r="M16" s="119">
        <f>M30</f>
        <v>0</v>
      </c>
      <c r="N16" s="419"/>
      <c r="O16" s="424">
        <f t="shared" si="1"/>
        <v>0</v>
      </c>
      <c r="P16" s="157">
        <f>P30</f>
        <v>0</v>
      </c>
      <c r="Q16" s="677">
        <v>14450</v>
      </c>
      <c r="R16" s="252"/>
      <c r="S16" s="252"/>
    </row>
    <row r="17" spans="1:19" s="25" customFormat="1" ht="12">
      <c r="A17" s="21"/>
      <c r="B17" s="30" t="s">
        <v>30</v>
      </c>
      <c r="C17" s="27"/>
      <c r="D17" s="27"/>
      <c r="E17" s="28">
        <v>15</v>
      </c>
      <c r="F17" s="119">
        <f t="shared" si="3"/>
        <v>126</v>
      </c>
      <c r="G17" s="611">
        <v>126</v>
      </c>
      <c r="H17" s="328"/>
      <c r="I17" s="160"/>
      <c r="J17" s="315"/>
      <c r="K17" s="160"/>
      <c r="L17" s="156"/>
      <c r="M17" s="119">
        <f>M31</f>
        <v>0</v>
      </c>
      <c r="N17" s="419"/>
      <c r="O17" s="424">
        <f t="shared" si="1"/>
        <v>0</v>
      </c>
      <c r="P17" s="92">
        <f>P31</f>
        <v>0</v>
      </c>
      <c r="Q17" s="677">
        <v>1206</v>
      </c>
      <c r="R17" s="252"/>
      <c r="S17" s="252"/>
    </row>
    <row r="18" spans="1:19" s="25" customFormat="1" ht="12">
      <c r="A18" s="21"/>
      <c r="B18" s="31" t="s">
        <v>32</v>
      </c>
      <c r="C18" s="32"/>
      <c r="D18" s="32"/>
      <c r="E18" s="33">
        <v>16</v>
      </c>
      <c r="F18" s="119">
        <f t="shared" si="3"/>
        <v>4625</v>
      </c>
      <c r="G18" s="611">
        <v>4625</v>
      </c>
      <c r="H18" s="328"/>
      <c r="I18" s="160"/>
      <c r="J18" s="315"/>
      <c r="K18" s="160"/>
      <c r="L18" s="156"/>
      <c r="M18" s="119">
        <f>M32</f>
        <v>0</v>
      </c>
      <c r="N18" s="419"/>
      <c r="O18" s="424">
        <f t="shared" si="1"/>
        <v>0</v>
      </c>
      <c r="P18" s="92">
        <f>P32</f>
        <v>0</v>
      </c>
      <c r="Q18" s="677">
        <v>3046</v>
      </c>
      <c r="R18" s="252"/>
      <c r="S18" s="252"/>
    </row>
    <row r="19" spans="1:19" s="25" customFormat="1" ht="12">
      <c r="A19" s="21"/>
      <c r="B19" s="31" t="s">
        <v>34</v>
      </c>
      <c r="C19" s="32"/>
      <c r="D19" s="32"/>
      <c r="E19" s="33">
        <v>17</v>
      </c>
      <c r="F19" s="119">
        <f t="shared" si="3"/>
        <v>454</v>
      </c>
      <c r="G19" s="611">
        <v>454</v>
      </c>
      <c r="H19" s="328"/>
      <c r="I19" s="160"/>
      <c r="J19" s="315"/>
      <c r="K19" s="160"/>
      <c r="L19" s="156"/>
      <c r="M19" s="119">
        <f>M33</f>
        <v>0</v>
      </c>
      <c r="N19" s="419"/>
      <c r="O19" s="424">
        <f t="shared" si="1"/>
        <v>0</v>
      </c>
      <c r="P19" s="92">
        <f>P33</f>
        <v>0</v>
      </c>
      <c r="Q19" s="677">
        <v>219</v>
      </c>
      <c r="R19" s="252"/>
      <c r="S19" s="252"/>
    </row>
    <row r="20" spans="1:19" s="25" customFormat="1" ht="12">
      <c r="A20" s="21"/>
      <c r="B20" s="31" t="s">
        <v>36</v>
      </c>
      <c r="C20" s="31"/>
      <c r="D20" s="31"/>
      <c r="E20" s="33">
        <v>18</v>
      </c>
      <c r="F20" s="119">
        <f t="shared" si="3"/>
        <v>0</v>
      </c>
      <c r="G20" s="611"/>
      <c r="H20" s="328"/>
      <c r="I20" s="160"/>
      <c r="J20" s="315"/>
      <c r="K20" s="160"/>
      <c r="L20" s="156"/>
      <c r="M20" s="119"/>
      <c r="N20" s="419"/>
      <c r="O20" s="424">
        <f aca="true" t="shared" si="4" ref="O20:O45">IF(F20=0,0,N20/F20)</f>
        <v>0</v>
      </c>
      <c r="P20" s="92">
        <f>P35</f>
        <v>0</v>
      </c>
      <c r="Q20" s="677"/>
      <c r="R20" s="252"/>
      <c r="S20" s="252"/>
    </row>
    <row r="21" spans="1:19" s="640" customFormat="1" ht="12">
      <c r="A21" s="628"/>
      <c r="B21" s="629" t="s">
        <v>175</v>
      </c>
      <c r="C21" s="629"/>
      <c r="D21" s="629"/>
      <c r="E21" s="630">
        <v>19</v>
      </c>
      <c r="F21" s="639">
        <f t="shared" si="3"/>
        <v>17096</v>
      </c>
      <c r="G21" s="989">
        <v>17096</v>
      </c>
      <c r="H21" s="678"/>
      <c r="I21" s="679"/>
      <c r="J21" s="693"/>
      <c r="K21" s="679"/>
      <c r="L21" s="692"/>
      <c r="M21" s="631"/>
      <c r="N21" s="675"/>
      <c r="O21" s="694">
        <f t="shared" si="4"/>
        <v>0</v>
      </c>
      <c r="P21" s="677">
        <f>N21</f>
        <v>0</v>
      </c>
      <c r="Q21" s="677">
        <v>9613</v>
      </c>
      <c r="R21" s="252"/>
      <c r="S21" s="252"/>
    </row>
    <row r="22" spans="1:19" s="25" customFormat="1" ht="12">
      <c r="A22" s="21"/>
      <c r="B22" s="31" t="s">
        <v>40</v>
      </c>
      <c r="C22" s="31"/>
      <c r="D22" s="31"/>
      <c r="E22" s="33">
        <v>20</v>
      </c>
      <c r="F22" s="531">
        <f t="shared" si="3"/>
        <v>888</v>
      </c>
      <c r="G22" s="886">
        <v>780</v>
      </c>
      <c r="H22" s="470"/>
      <c r="I22" s="159">
        <v>108</v>
      </c>
      <c r="J22" s="314"/>
      <c r="K22" s="159"/>
      <c r="L22" s="229"/>
      <c r="M22" s="119"/>
      <c r="N22" s="419"/>
      <c r="O22" s="424">
        <f t="shared" si="4"/>
        <v>0</v>
      </c>
      <c r="P22" s="92">
        <f>P37</f>
        <v>0</v>
      </c>
      <c r="Q22" s="677">
        <v>797</v>
      </c>
      <c r="R22" s="252"/>
      <c r="S22" s="252"/>
    </row>
    <row r="23" spans="1:19" s="25" customFormat="1" ht="12">
      <c r="A23" s="21"/>
      <c r="B23" s="31" t="s">
        <v>42</v>
      </c>
      <c r="C23" s="31"/>
      <c r="D23" s="31"/>
      <c r="E23" s="33">
        <v>21</v>
      </c>
      <c r="F23" s="531">
        <f t="shared" si="3"/>
        <v>11185</v>
      </c>
      <c r="G23" s="611">
        <v>10428</v>
      </c>
      <c r="H23" s="328"/>
      <c r="I23" s="160">
        <v>757</v>
      </c>
      <c r="J23" s="315"/>
      <c r="K23" s="160"/>
      <c r="L23" s="156"/>
      <c r="M23" s="119">
        <f>M39</f>
        <v>0</v>
      </c>
      <c r="N23" s="419"/>
      <c r="O23" s="424">
        <f t="shared" si="4"/>
        <v>0</v>
      </c>
      <c r="P23" s="157">
        <f>P39</f>
        <v>0</v>
      </c>
      <c r="Q23" s="677">
        <v>22070</v>
      </c>
      <c r="R23" s="252"/>
      <c r="S23" s="252"/>
    </row>
    <row r="24" spans="1:19" s="25" customFormat="1" ht="12">
      <c r="A24" s="21"/>
      <c r="B24" s="31" t="s">
        <v>43</v>
      </c>
      <c r="C24" s="31"/>
      <c r="D24" s="31"/>
      <c r="E24" s="33">
        <v>22</v>
      </c>
      <c r="F24" s="531">
        <f t="shared" si="3"/>
        <v>28630</v>
      </c>
      <c r="G24" s="611">
        <v>28219</v>
      </c>
      <c r="H24" s="328"/>
      <c r="I24" s="160">
        <v>411</v>
      </c>
      <c r="J24" s="315"/>
      <c r="K24" s="160"/>
      <c r="L24" s="156"/>
      <c r="M24" s="119">
        <f>M40</f>
        <v>0</v>
      </c>
      <c r="N24" s="419"/>
      <c r="O24" s="424">
        <f t="shared" si="4"/>
        <v>0</v>
      </c>
      <c r="P24" s="157">
        <f>P40</f>
        <v>0</v>
      </c>
      <c r="Q24" s="677">
        <v>17019</v>
      </c>
      <c r="R24" s="252"/>
      <c r="S24" s="252"/>
    </row>
    <row r="25" spans="1:19" s="640" customFormat="1" ht="12">
      <c r="A25" s="628"/>
      <c r="B25" s="629" t="s">
        <v>186</v>
      </c>
      <c r="C25" s="629"/>
      <c r="D25" s="629"/>
      <c r="E25" s="630">
        <v>23</v>
      </c>
      <c r="F25" s="639">
        <f t="shared" si="3"/>
        <v>3411</v>
      </c>
      <c r="G25" s="989">
        <v>3198</v>
      </c>
      <c r="H25" s="678"/>
      <c r="I25" s="679">
        <v>213</v>
      </c>
      <c r="J25" s="693"/>
      <c r="K25" s="679"/>
      <c r="L25" s="692"/>
      <c r="M25" s="639"/>
      <c r="N25" s="675"/>
      <c r="O25" s="694">
        <f t="shared" si="4"/>
        <v>0</v>
      </c>
      <c r="P25" s="677">
        <f>P41</f>
        <v>0</v>
      </c>
      <c r="Q25" s="677">
        <v>1558</v>
      </c>
      <c r="R25" s="252"/>
      <c r="S25" s="252"/>
    </row>
    <row r="26" spans="1:19" s="25" customFormat="1" ht="12">
      <c r="A26" s="21"/>
      <c r="B26" s="31" t="s">
        <v>45</v>
      </c>
      <c r="C26" s="31"/>
      <c r="D26" s="31"/>
      <c r="E26" s="33">
        <v>24</v>
      </c>
      <c r="F26" s="531">
        <f t="shared" si="3"/>
        <v>430</v>
      </c>
      <c r="G26" s="886">
        <v>430</v>
      </c>
      <c r="H26" s="470"/>
      <c r="I26" s="159"/>
      <c r="J26" s="314"/>
      <c r="K26" s="159"/>
      <c r="L26" s="229"/>
      <c r="M26" s="531"/>
      <c r="N26" s="419"/>
      <c r="O26" s="424">
        <f t="shared" si="4"/>
        <v>0</v>
      </c>
      <c r="P26" s="157">
        <f>P42</f>
        <v>0</v>
      </c>
      <c r="Q26" s="677">
        <v>847</v>
      </c>
      <c r="R26" s="252"/>
      <c r="S26" s="252"/>
    </row>
    <row r="27" spans="1:19" s="25" customFormat="1" ht="12.75" thickBot="1">
      <c r="A27" s="21"/>
      <c r="B27" s="30" t="s">
        <v>47</v>
      </c>
      <c r="C27" s="30"/>
      <c r="D27" s="30"/>
      <c r="E27" s="28">
        <v>25</v>
      </c>
      <c r="F27" s="119">
        <f t="shared" si="3"/>
        <v>180</v>
      </c>
      <c r="G27" s="990">
        <v>180</v>
      </c>
      <c r="H27" s="987"/>
      <c r="I27" s="161"/>
      <c r="J27" s="316"/>
      <c r="K27" s="161"/>
      <c r="L27" s="158"/>
      <c r="M27" s="119"/>
      <c r="N27" s="422"/>
      <c r="O27" s="416">
        <f t="shared" si="4"/>
        <v>0</v>
      </c>
      <c r="P27" s="100" t="e">
        <f>N27/titl!$H$17*12</f>
        <v>#DIV/0!</v>
      </c>
      <c r="Q27" s="963">
        <v>236</v>
      </c>
      <c r="R27" s="252"/>
      <c r="S27" s="252"/>
    </row>
    <row r="28" spans="1:17" ht="13.5" thickBot="1">
      <c r="A28" s="37" t="s">
        <v>49</v>
      </c>
      <c r="B28" s="38"/>
      <c r="C28" s="38"/>
      <c r="D28" s="38"/>
      <c r="E28" s="19">
        <v>26</v>
      </c>
      <c r="F28" s="197">
        <f>SUM(F29:F45)</f>
        <v>230392</v>
      </c>
      <c r="G28" s="597">
        <f aca="true" t="shared" si="5" ref="G28:L28">SUM(G29:G45)</f>
        <v>204233</v>
      </c>
      <c r="H28" s="125">
        <f t="shared" si="5"/>
        <v>12082</v>
      </c>
      <c r="I28" s="77">
        <f t="shared" si="5"/>
        <v>1821</v>
      </c>
      <c r="J28" s="304">
        <f t="shared" si="5"/>
        <v>0</v>
      </c>
      <c r="K28" s="77">
        <f t="shared" si="5"/>
        <v>2636</v>
      </c>
      <c r="L28" s="76">
        <f t="shared" si="5"/>
        <v>9620</v>
      </c>
      <c r="M28" s="197">
        <f>SUM(M29:M45)</f>
        <v>0</v>
      </c>
      <c r="N28" s="471">
        <f>SUM(N29:N45)</f>
        <v>0</v>
      </c>
      <c r="O28" s="413">
        <f t="shared" si="4"/>
        <v>0</v>
      </c>
      <c r="P28" s="78" t="e">
        <f>SUM(P29:P45)</f>
        <v>#DIV/0!</v>
      </c>
      <c r="Q28" s="588">
        <f>SUM(Q29:Q45)</f>
        <v>208650</v>
      </c>
    </row>
    <row r="29" spans="1:19" s="25" customFormat="1" ht="12">
      <c r="A29" s="21" t="s">
        <v>14</v>
      </c>
      <c r="B29" s="27" t="s">
        <v>50</v>
      </c>
      <c r="C29" s="27"/>
      <c r="D29" s="27"/>
      <c r="E29" s="28">
        <v>27</v>
      </c>
      <c r="F29" s="119">
        <f t="shared" si="3"/>
        <v>90398</v>
      </c>
      <c r="G29" s="608">
        <v>90398</v>
      </c>
      <c r="H29" s="112"/>
      <c r="I29" s="81"/>
      <c r="J29" s="305"/>
      <c r="K29" s="81"/>
      <c r="L29" s="80"/>
      <c r="M29" s="198"/>
      <c r="N29" s="417"/>
      <c r="O29" s="424">
        <f t="shared" si="4"/>
        <v>0</v>
      </c>
      <c r="P29" s="92">
        <f>M29</f>
        <v>0</v>
      </c>
      <c r="Q29" s="964">
        <v>95080</v>
      </c>
      <c r="R29" s="252">
        <v>15511</v>
      </c>
      <c r="S29" s="252"/>
    </row>
    <row r="30" spans="1:19" s="25" customFormat="1" ht="12">
      <c r="A30" s="21"/>
      <c r="B30" s="30" t="s">
        <v>28</v>
      </c>
      <c r="C30" s="30"/>
      <c r="D30" s="30"/>
      <c r="E30" s="28">
        <v>28</v>
      </c>
      <c r="F30" s="119">
        <f t="shared" si="3"/>
        <v>14000</v>
      </c>
      <c r="G30" s="499">
        <f>G15</f>
        <v>14000</v>
      </c>
      <c r="H30" s="126"/>
      <c r="I30" s="95"/>
      <c r="J30" s="308"/>
      <c r="K30" s="95"/>
      <c r="L30" s="94"/>
      <c r="M30" s="472"/>
      <c r="N30" s="420"/>
      <c r="O30" s="424">
        <f t="shared" si="4"/>
        <v>0</v>
      </c>
      <c r="P30" s="92">
        <f>M30</f>
        <v>0</v>
      </c>
      <c r="Q30" s="710">
        <f>Q16</f>
        <v>14450</v>
      </c>
      <c r="R30" s="252"/>
      <c r="S30" s="252"/>
    </row>
    <row r="31" spans="1:19" s="25" customFormat="1" ht="12">
      <c r="A31" s="21"/>
      <c r="B31" s="30" t="s">
        <v>30</v>
      </c>
      <c r="C31" s="30"/>
      <c r="D31" s="30"/>
      <c r="E31" s="28">
        <v>29</v>
      </c>
      <c r="F31" s="119">
        <f t="shared" si="3"/>
        <v>126</v>
      </c>
      <c r="G31" s="499">
        <f>G17</f>
        <v>126</v>
      </c>
      <c r="H31" s="126"/>
      <c r="I31" s="95"/>
      <c r="J31" s="308"/>
      <c r="K31" s="95"/>
      <c r="L31" s="94"/>
      <c r="M31" s="472"/>
      <c r="N31" s="420"/>
      <c r="O31" s="424">
        <f t="shared" si="4"/>
        <v>0</v>
      </c>
      <c r="P31" s="92">
        <f>M31</f>
        <v>0</v>
      </c>
      <c r="Q31" s="710">
        <f>Q17</f>
        <v>1206</v>
      </c>
      <c r="R31" s="252"/>
      <c r="S31" s="252"/>
    </row>
    <row r="32" spans="1:19" s="25" customFormat="1" ht="12">
      <c r="A32" s="21"/>
      <c r="B32" s="31" t="s">
        <v>32</v>
      </c>
      <c r="C32" s="32"/>
      <c r="D32" s="32"/>
      <c r="E32" s="33">
        <v>30</v>
      </c>
      <c r="F32" s="119">
        <f t="shared" si="3"/>
        <v>4625</v>
      </c>
      <c r="G32" s="499">
        <f>G18</f>
        <v>4625</v>
      </c>
      <c r="H32" s="126"/>
      <c r="I32" s="95"/>
      <c r="J32" s="308"/>
      <c r="K32" s="95"/>
      <c r="L32" s="94"/>
      <c r="M32" s="472"/>
      <c r="N32" s="420"/>
      <c r="O32" s="424">
        <f t="shared" si="4"/>
        <v>0</v>
      </c>
      <c r="P32" s="92">
        <f>M32</f>
        <v>0</v>
      </c>
      <c r="Q32" s="710">
        <f>Q18</f>
        <v>3046</v>
      </c>
      <c r="R32" s="252"/>
      <c r="S32" s="252"/>
    </row>
    <row r="33" spans="1:19" s="25" customFormat="1" ht="12">
      <c r="A33" s="21"/>
      <c r="B33" s="31" t="s">
        <v>34</v>
      </c>
      <c r="C33" s="31"/>
      <c r="D33" s="31"/>
      <c r="E33" s="33">
        <v>31</v>
      </c>
      <c r="F33" s="119">
        <f t="shared" si="3"/>
        <v>454</v>
      </c>
      <c r="G33" s="499">
        <f>G19</f>
        <v>454</v>
      </c>
      <c r="H33" s="126"/>
      <c r="I33" s="95"/>
      <c r="J33" s="308"/>
      <c r="K33" s="95"/>
      <c r="L33" s="94"/>
      <c r="M33" s="472"/>
      <c r="N33" s="420"/>
      <c r="O33" s="424">
        <f t="shared" si="4"/>
        <v>0</v>
      </c>
      <c r="P33" s="92">
        <f>M33</f>
        <v>0</v>
      </c>
      <c r="Q33" s="710">
        <f>Q19</f>
        <v>219</v>
      </c>
      <c r="R33" s="252"/>
      <c r="S33" s="252"/>
    </row>
    <row r="34" spans="1:19" s="25" customFormat="1" ht="12">
      <c r="A34" s="21"/>
      <c r="B34" s="31" t="s">
        <v>52</v>
      </c>
      <c r="C34" s="31"/>
      <c r="D34" s="31"/>
      <c r="E34" s="33">
        <v>32</v>
      </c>
      <c r="F34" s="119">
        <f t="shared" si="3"/>
        <v>0</v>
      </c>
      <c r="G34" s="499"/>
      <c r="H34" s="126"/>
      <c r="I34" s="95"/>
      <c r="J34" s="308"/>
      <c r="K34" s="95"/>
      <c r="L34" s="94"/>
      <c r="M34" s="472"/>
      <c r="N34" s="420"/>
      <c r="O34" s="424">
        <f t="shared" si="4"/>
        <v>0</v>
      </c>
      <c r="P34" s="92">
        <f>F34</f>
        <v>0</v>
      </c>
      <c r="Q34" s="710"/>
      <c r="R34" s="252"/>
      <c r="S34" s="252"/>
    </row>
    <row r="35" spans="1:19" s="25" customFormat="1" ht="12">
      <c r="A35" s="21"/>
      <c r="B35" s="31" t="s">
        <v>36</v>
      </c>
      <c r="C35" s="31"/>
      <c r="D35" s="31"/>
      <c r="E35" s="33">
        <v>33</v>
      </c>
      <c r="F35" s="119">
        <f t="shared" si="3"/>
        <v>0</v>
      </c>
      <c r="G35" s="499"/>
      <c r="H35" s="126"/>
      <c r="I35" s="95"/>
      <c r="J35" s="308"/>
      <c r="K35" s="95"/>
      <c r="L35" s="94"/>
      <c r="M35" s="472"/>
      <c r="N35" s="420"/>
      <c r="O35" s="424">
        <f t="shared" si="4"/>
        <v>0</v>
      </c>
      <c r="P35" s="92">
        <f>F35</f>
        <v>0</v>
      </c>
      <c r="Q35" s="710"/>
      <c r="R35" s="252"/>
      <c r="S35" s="252"/>
    </row>
    <row r="36" spans="1:19" s="640" customFormat="1" ht="12">
      <c r="A36" s="628"/>
      <c r="B36" s="629" t="s">
        <v>175</v>
      </c>
      <c r="C36" s="629"/>
      <c r="D36" s="629"/>
      <c r="E36" s="630">
        <v>34</v>
      </c>
      <c r="F36" s="639">
        <f t="shared" si="3"/>
        <v>17096</v>
      </c>
      <c r="G36" s="991">
        <f>G21</f>
        <v>17096</v>
      </c>
      <c r="H36" s="988"/>
      <c r="I36" s="718"/>
      <c r="J36" s="719"/>
      <c r="K36" s="718"/>
      <c r="L36" s="717"/>
      <c r="M36" s="642"/>
      <c r="N36" s="709"/>
      <c r="O36" s="694">
        <f t="shared" si="4"/>
        <v>0</v>
      </c>
      <c r="P36" s="591">
        <f>P21</f>
        <v>0</v>
      </c>
      <c r="Q36" s="710">
        <f>Q21</f>
        <v>9613</v>
      </c>
      <c r="R36" s="252"/>
      <c r="S36" s="252"/>
    </row>
    <row r="37" spans="1:19" s="25" customFormat="1" ht="12">
      <c r="A37" s="21"/>
      <c r="B37" s="31" t="s">
        <v>54</v>
      </c>
      <c r="C37" s="31"/>
      <c r="D37" s="31"/>
      <c r="E37" s="33">
        <v>35</v>
      </c>
      <c r="F37" s="531">
        <f t="shared" si="3"/>
        <v>888</v>
      </c>
      <c r="G37" s="886">
        <f>G22</f>
        <v>780</v>
      </c>
      <c r="H37" s="470"/>
      <c r="I37" s="159">
        <v>108</v>
      </c>
      <c r="J37" s="314"/>
      <c r="K37" s="159"/>
      <c r="L37" s="229"/>
      <c r="M37" s="532"/>
      <c r="N37" s="420"/>
      <c r="O37" s="424">
        <f t="shared" si="4"/>
        <v>0</v>
      </c>
      <c r="P37" s="92">
        <f aca="true" t="shared" si="6" ref="P37:P42">N37</f>
        <v>0</v>
      </c>
      <c r="Q37" s="710">
        <f>Q22</f>
        <v>797</v>
      </c>
      <c r="R37" s="252"/>
      <c r="S37" s="252"/>
    </row>
    <row r="38" spans="1:19" s="25" customFormat="1" ht="12">
      <c r="A38" s="21"/>
      <c r="B38" s="31" t="s">
        <v>170</v>
      </c>
      <c r="C38" s="31"/>
      <c r="D38" s="31"/>
      <c r="E38" s="33">
        <v>36</v>
      </c>
      <c r="F38" s="119">
        <f t="shared" si="3"/>
        <v>14311</v>
      </c>
      <c r="G38" s="886">
        <v>14079</v>
      </c>
      <c r="H38" s="126"/>
      <c r="I38" s="95">
        <v>232</v>
      </c>
      <c r="J38" s="308"/>
      <c r="K38" s="95"/>
      <c r="L38" s="94"/>
      <c r="M38" s="472"/>
      <c r="N38" s="420"/>
      <c r="O38" s="424">
        <f t="shared" si="4"/>
        <v>0</v>
      </c>
      <c r="P38" s="92">
        <f t="shared" si="6"/>
        <v>0</v>
      </c>
      <c r="Q38" s="710">
        <v>10832</v>
      </c>
      <c r="R38" s="252"/>
      <c r="S38" s="252"/>
    </row>
    <row r="39" spans="1:19" s="25" customFormat="1" ht="12">
      <c r="A39" s="21"/>
      <c r="B39" s="31" t="s">
        <v>56</v>
      </c>
      <c r="C39" s="31"/>
      <c r="D39" s="31"/>
      <c r="E39" s="33">
        <v>37</v>
      </c>
      <c r="F39" s="119">
        <f t="shared" si="3"/>
        <v>11185</v>
      </c>
      <c r="G39" s="886">
        <f>G23</f>
        <v>10428</v>
      </c>
      <c r="H39" s="126"/>
      <c r="I39" s="95">
        <v>757</v>
      </c>
      <c r="J39" s="308"/>
      <c r="K39" s="95"/>
      <c r="L39" s="94"/>
      <c r="M39" s="472"/>
      <c r="N39" s="420"/>
      <c r="O39" s="424">
        <f t="shared" si="4"/>
        <v>0</v>
      </c>
      <c r="P39" s="92">
        <f t="shared" si="6"/>
        <v>0</v>
      </c>
      <c r="Q39" s="710">
        <f>Q23</f>
        <v>22070</v>
      </c>
      <c r="R39" s="252"/>
      <c r="S39" s="252"/>
    </row>
    <row r="40" spans="1:19" s="25" customFormat="1" ht="12">
      <c r="A40" s="21"/>
      <c r="B40" s="31" t="s">
        <v>57</v>
      </c>
      <c r="C40" s="31"/>
      <c r="D40" s="31"/>
      <c r="E40" s="33">
        <v>38</v>
      </c>
      <c r="F40" s="119">
        <f t="shared" si="3"/>
        <v>28630</v>
      </c>
      <c r="G40" s="886">
        <f>G24</f>
        <v>28219</v>
      </c>
      <c r="H40" s="126"/>
      <c r="I40" s="95">
        <v>411</v>
      </c>
      <c r="J40" s="308"/>
      <c r="K40" s="95"/>
      <c r="L40" s="94"/>
      <c r="M40" s="472"/>
      <c r="N40" s="420"/>
      <c r="O40" s="424">
        <f t="shared" si="4"/>
        <v>0</v>
      </c>
      <c r="P40" s="92">
        <f t="shared" si="6"/>
        <v>0</v>
      </c>
      <c r="Q40" s="710">
        <f>Q24</f>
        <v>17019</v>
      </c>
      <c r="R40" s="252"/>
      <c r="S40" s="252">
        <v>89</v>
      </c>
    </row>
    <row r="41" spans="1:19" s="640" customFormat="1" ht="12">
      <c r="A41" s="628"/>
      <c r="B41" s="629" t="s">
        <v>186</v>
      </c>
      <c r="C41" s="629"/>
      <c r="D41" s="629"/>
      <c r="E41" s="630">
        <v>39</v>
      </c>
      <c r="F41" s="639">
        <f t="shared" si="3"/>
        <v>3411</v>
      </c>
      <c r="G41" s="991">
        <f>G25</f>
        <v>3198</v>
      </c>
      <c r="H41" s="988"/>
      <c r="I41" s="695">
        <v>213</v>
      </c>
      <c r="J41" s="719"/>
      <c r="K41" s="718"/>
      <c r="L41" s="717"/>
      <c r="M41" s="642"/>
      <c r="N41" s="709"/>
      <c r="O41" s="723">
        <f t="shared" si="4"/>
        <v>0</v>
      </c>
      <c r="P41" s="591">
        <f t="shared" si="6"/>
        <v>0</v>
      </c>
      <c r="Q41" s="710">
        <f>Q25</f>
        <v>1558</v>
      </c>
      <c r="R41" s="252"/>
      <c r="S41" s="252"/>
    </row>
    <row r="42" spans="1:19" s="25" customFormat="1" ht="12">
      <c r="A42" s="21"/>
      <c r="B42" s="31" t="s">
        <v>58</v>
      </c>
      <c r="C42" s="31"/>
      <c r="D42" s="31"/>
      <c r="E42" s="33">
        <v>40</v>
      </c>
      <c r="F42" s="531">
        <f t="shared" si="3"/>
        <v>430</v>
      </c>
      <c r="G42" s="886">
        <f>G26</f>
        <v>430</v>
      </c>
      <c r="H42" s="470"/>
      <c r="I42" s="159"/>
      <c r="J42" s="314"/>
      <c r="K42" s="159"/>
      <c r="L42" s="229"/>
      <c r="M42" s="532"/>
      <c r="N42" s="420"/>
      <c r="O42" s="444">
        <f t="shared" si="4"/>
        <v>0</v>
      </c>
      <c r="P42" s="92">
        <f t="shared" si="6"/>
        <v>0</v>
      </c>
      <c r="Q42" s="710">
        <f>Q26</f>
        <v>847</v>
      </c>
      <c r="R42" s="252"/>
      <c r="S42" s="252"/>
    </row>
    <row r="43" spans="1:19" s="25" customFormat="1" ht="12">
      <c r="A43" s="21"/>
      <c r="B43" s="31" t="s">
        <v>59</v>
      </c>
      <c r="C43" s="31"/>
      <c r="D43" s="31"/>
      <c r="E43" s="33">
        <v>41</v>
      </c>
      <c r="F43" s="119">
        <f t="shared" si="3"/>
        <v>20200</v>
      </c>
      <c r="G43" s="499">
        <v>20200</v>
      </c>
      <c r="H43" s="126"/>
      <c r="I43" s="159"/>
      <c r="J43" s="308"/>
      <c r="K43" s="95"/>
      <c r="L43" s="94"/>
      <c r="M43" s="472"/>
      <c r="N43" s="420"/>
      <c r="O43" s="414">
        <f t="shared" si="4"/>
        <v>0</v>
      </c>
      <c r="P43" s="92" t="e">
        <f>(N43-N49)/titl!H17*12+N49</f>
        <v>#DIV/0!</v>
      </c>
      <c r="Q43" s="710">
        <v>22889</v>
      </c>
      <c r="R43" s="252"/>
      <c r="S43" s="252"/>
    </row>
    <row r="44" spans="1:19" s="25" customFormat="1" ht="12">
      <c r="A44" s="21"/>
      <c r="B44" s="31" t="s">
        <v>60</v>
      </c>
      <c r="C44" s="31"/>
      <c r="D44" s="31"/>
      <c r="E44" s="33">
        <v>42</v>
      </c>
      <c r="F44" s="119">
        <f t="shared" si="3"/>
        <v>24438</v>
      </c>
      <c r="G44" s="612"/>
      <c r="H44" s="126">
        <v>12082</v>
      </c>
      <c r="I44" s="159">
        <v>100</v>
      </c>
      <c r="J44" s="308"/>
      <c r="K44" s="95">
        <f>K3</f>
        <v>2636</v>
      </c>
      <c r="L44" s="94">
        <f>L14</f>
        <v>9620</v>
      </c>
      <c r="M44" s="472"/>
      <c r="N44" s="420"/>
      <c r="O44" s="414">
        <f t="shared" si="4"/>
        <v>0</v>
      </c>
      <c r="P44" s="92">
        <f>N44</f>
        <v>0</v>
      </c>
      <c r="Q44" s="710">
        <v>8774</v>
      </c>
      <c r="R44" s="252"/>
      <c r="S44" s="252">
        <f>486-S40</f>
        <v>397</v>
      </c>
    </row>
    <row r="45" spans="1:19" s="25" customFormat="1" ht="12">
      <c r="A45" s="40"/>
      <c r="B45" s="41" t="s">
        <v>47</v>
      </c>
      <c r="C45" s="41"/>
      <c r="D45" s="41"/>
      <c r="E45" s="42">
        <v>43</v>
      </c>
      <c r="F45" s="200">
        <f t="shared" si="3"/>
        <v>200</v>
      </c>
      <c r="G45" s="500">
        <v>200</v>
      </c>
      <c r="H45" s="174"/>
      <c r="I45" s="99"/>
      <c r="J45" s="309"/>
      <c r="K45" s="99"/>
      <c r="L45" s="98"/>
      <c r="M45" s="200"/>
      <c r="N45" s="421"/>
      <c r="O45" s="415">
        <f t="shared" si="4"/>
        <v>0</v>
      </c>
      <c r="P45" s="100" t="e">
        <f>N45/titl!$H$17*12</f>
        <v>#DIV/0!</v>
      </c>
      <c r="Q45" s="965">
        <v>250</v>
      </c>
      <c r="R45" s="252"/>
      <c r="S45" s="252"/>
    </row>
    <row r="46" spans="1:19" s="25" customFormat="1" ht="12.75" thickBot="1">
      <c r="A46" s="44" t="s">
        <v>61</v>
      </c>
      <c r="B46" s="45"/>
      <c r="C46" s="45"/>
      <c r="D46" s="45"/>
      <c r="E46" s="28">
        <v>44</v>
      </c>
      <c r="F46" s="201">
        <f>F29+F34+F38+F43+F44+F45-F4-F27</f>
        <v>482</v>
      </c>
      <c r="G46" s="613">
        <f>G29+G34+G38+G43+G45-G4-G27</f>
        <v>14482</v>
      </c>
      <c r="H46" s="102">
        <f>H29+H34+H38+H43+H44+H45-H4-H27</f>
        <v>0</v>
      </c>
      <c r="I46" s="102">
        <f>I29+I34+I38+I43+I44+I45-I4-I27</f>
        <v>0</v>
      </c>
      <c r="J46" s="102">
        <f>J29+J34+J38+J43+J44+J45-J4-J27</f>
        <v>0</v>
      </c>
      <c r="K46" s="320"/>
      <c r="L46" s="102">
        <f>L29+L34+L38+L43+L44+L45-L4-L27</f>
        <v>0</v>
      </c>
      <c r="M46" s="201">
        <f>M29+M34+M38+M43+M44+M45+-M4-M27</f>
        <v>0</v>
      </c>
      <c r="N46" s="422">
        <f>N29+N34+N38+N43+N44+N45-N4-N27</f>
        <v>0</v>
      </c>
      <c r="O46" s="416"/>
      <c r="P46" s="103" t="e">
        <f>P29+P34+P38+P43+P44+P45-P4-P27</f>
        <v>#DIV/0!</v>
      </c>
      <c r="Q46" s="593">
        <f>Q29+Q34+Q38+Q43+Q44+Q45-Q4-Q27</f>
        <v>61843</v>
      </c>
      <c r="R46" s="252"/>
      <c r="S46" s="252"/>
    </row>
    <row r="47" spans="1:17" ht="13.5" thickBot="1">
      <c r="A47" s="37" t="s">
        <v>62</v>
      </c>
      <c r="B47" s="38"/>
      <c r="C47" s="38"/>
      <c r="D47" s="38"/>
      <c r="E47" s="19">
        <v>45</v>
      </c>
      <c r="F47" s="197">
        <f>F28-F3</f>
        <v>482</v>
      </c>
      <c r="G47" s="597">
        <f aca="true" t="shared" si="7" ref="G47:N47">G28-G3</f>
        <v>482</v>
      </c>
      <c r="H47" s="125">
        <f t="shared" si="7"/>
        <v>0</v>
      </c>
      <c r="I47" s="77">
        <f t="shared" si="7"/>
        <v>0</v>
      </c>
      <c r="J47" s="304">
        <f t="shared" si="7"/>
        <v>0</v>
      </c>
      <c r="K47" s="77">
        <f t="shared" si="7"/>
        <v>0</v>
      </c>
      <c r="L47" s="76">
        <f t="shared" si="7"/>
        <v>0</v>
      </c>
      <c r="M47" s="197">
        <f>M28-M3</f>
        <v>0</v>
      </c>
      <c r="N47" s="471">
        <f t="shared" si="7"/>
        <v>0</v>
      </c>
      <c r="O47" s="78"/>
      <c r="P47" s="78" t="e">
        <f>P28-P3</f>
        <v>#DIV/0!</v>
      </c>
      <c r="Q47" s="588">
        <f>Q28-Q3</f>
        <v>2114</v>
      </c>
    </row>
    <row r="48" spans="1:5" ht="12.75">
      <c r="A48" s="47" t="s">
        <v>228</v>
      </c>
      <c r="B48" s="47"/>
      <c r="C48" s="47"/>
      <c r="D48" s="231"/>
      <c r="E48" s="48"/>
    </row>
    <row r="49" spans="5:19" s="47" customFormat="1" ht="11.25">
      <c r="E49" s="48"/>
      <c r="G49" s="59"/>
      <c r="H49" s="59"/>
      <c r="I49" s="59"/>
      <c r="J49" s="1058"/>
      <c r="K49" s="1058"/>
      <c r="L49" s="1058"/>
      <c r="M49" s="240"/>
      <c r="N49" s="874"/>
      <c r="O49" s="239"/>
      <c r="P49" s="239"/>
      <c r="Q49" s="255"/>
      <c r="R49" s="252"/>
      <c r="S49" s="252"/>
    </row>
    <row r="50" spans="1:19" s="47" customFormat="1" ht="11.25">
      <c r="A50" s="51" t="s">
        <v>90</v>
      </c>
      <c r="E50" s="48"/>
      <c r="F50" s="202"/>
      <c r="G50" s="59"/>
      <c r="H50" s="59"/>
      <c r="I50" s="337"/>
      <c r="J50" s="59"/>
      <c r="K50" s="59"/>
      <c r="L50" s="59"/>
      <c r="M50" s="59"/>
      <c r="N50" s="59"/>
      <c r="O50" s="401"/>
      <c r="P50" s="405"/>
      <c r="Q50" s="72"/>
      <c r="R50" s="252"/>
      <c r="S50" s="252"/>
    </row>
    <row r="51" spans="1:19" s="47" customFormat="1" ht="11.25">
      <c r="A51" s="51"/>
      <c r="B51" s="51"/>
      <c r="C51" s="51"/>
      <c r="D51" s="51"/>
      <c r="E51" s="48"/>
      <c r="G51" s="59"/>
      <c r="H51" s="59"/>
      <c r="I51" s="59"/>
      <c r="J51" s="59"/>
      <c r="K51" s="59"/>
      <c r="L51" s="59"/>
      <c r="M51" s="59"/>
      <c r="N51" s="59"/>
      <c r="O51" s="401"/>
      <c r="P51" s="405"/>
      <c r="Q51" s="72"/>
      <c r="R51" s="252"/>
      <c r="S51" s="252"/>
    </row>
    <row r="52" spans="1:19" s="59" customFormat="1" ht="11.25">
      <c r="A52" s="51"/>
      <c r="B52" s="51"/>
      <c r="C52" s="51"/>
      <c r="D52" s="51"/>
      <c r="E52" s="57"/>
      <c r="F52" s="47"/>
      <c r="O52" s="401"/>
      <c r="P52" s="405"/>
      <c r="Q52" s="72"/>
      <c r="R52" s="255"/>
      <c r="S52" s="255"/>
    </row>
    <row r="53" spans="1:19" s="59" customFormat="1" ht="11.25">
      <c r="A53" s="51"/>
      <c r="C53" s="51"/>
      <c r="D53" s="51"/>
      <c r="E53" s="57"/>
      <c r="F53" s="47"/>
      <c r="O53" s="401"/>
      <c r="P53" s="405"/>
      <c r="Q53" s="72"/>
      <c r="R53" s="255"/>
      <c r="S53" s="255"/>
    </row>
    <row r="54" spans="1:19" s="59" customFormat="1" ht="11.25">
      <c r="A54" s="51"/>
      <c r="B54" s="51"/>
      <c r="C54" s="51"/>
      <c r="D54" s="51"/>
      <c r="E54" s="57"/>
      <c r="F54" s="47"/>
      <c r="O54" s="401"/>
      <c r="P54" s="405"/>
      <c r="Q54" s="72"/>
      <c r="R54" s="255"/>
      <c r="S54" s="255"/>
    </row>
  </sheetData>
  <mergeCells count="6">
    <mergeCell ref="J49:L49"/>
    <mergeCell ref="R1:R2"/>
    <mergeCell ref="S1:S2"/>
    <mergeCell ref="A1:D1"/>
    <mergeCell ref="H1:L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A1">
      <pane ySplit="3" topLeftCell="BM14" activePane="bottomLeft" state="frozen"/>
      <selection pane="topLeft" activeCell="A34" sqref="A34"/>
      <selection pane="bottomLeft" activeCell="A34" sqref="A34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60" bestFit="1" customWidth="1"/>
    <col min="6" max="6" width="10.125" style="47" bestFit="1" customWidth="1"/>
    <col min="7" max="7" width="10.125" style="59" bestFit="1" customWidth="1"/>
    <col min="8" max="9" width="8.75390625" style="59" customWidth="1"/>
    <col min="10" max="10" width="6.125" style="59" customWidth="1"/>
    <col min="11" max="11" width="8.25390625" style="59" customWidth="1"/>
    <col min="12" max="12" width="8.375" style="59" customWidth="1"/>
    <col min="13" max="13" width="9.25390625" style="59" hidden="1" customWidth="1"/>
    <col min="14" max="14" width="11.00390625" style="59" hidden="1" customWidth="1" collapsed="1"/>
    <col min="15" max="15" width="8.375" style="401" hidden="1" customWidth="1"/>
    <col min="16" max="16" width="11.25390625" style="401" hidden="1" customWidth="1"/>
    <col min="17" max="17" width="9.875" style="255" customWidth="1" collapsed="1"/>
    <col min="18" max="18" width="7.375" style="255" customWidth="1"/>
    <col min="19" max="19" width="5.875" style="255" customWidth="1"/>
  </cols>
  <sheetData>
    <row r="1" spans="1:19" ht="15.75" customHeight="1">
      <c r="A1" s="1046" t="s">
        <v>236</v>
      </c>
      <c r="B1" s="1047"/>
      <c r="C1" s="1047"/>
      <c r="D1" s="1048"/>
      <c r="E1" s="1"/>
      <c r="F1" s="543" t="s">
        <v>0</v>
      </c>
      <c r="G1" s="606" t="s">
        <v>2</v>
      </c>
      <c r="H1" s="1050" t="s">
        <v>3</v>
      </c>
      <c r="I1" s="1050"/>
      <c r="J1" s="1050"/>
      <c r="K1" s="1050"/>
      <c r="L1" s="1051"/>
      <c r="M1" s="181" t="s">
        <v>1</v>
      </c>
      <c r="N1" s="538" t="s">
        <v>4</v>
      </c>
      <c r="O1" s="67" t="s">
        <v>144</v>
      </c>
      <c r="P1" s="67" t="s">
        <v>145</v>
      </c>
      <c r="Q1" s="947" t="s">
        <v>4</v>
      </c>
      <c r="R1" s="1056" t="s">
        <v>190</v>
      </c>
      <c r="S1" s="1057" t="s">
        <v>188</v>
      </c>
    </row>
    <row r="2" spans="1:19" s="16" customFormat="1" ht="13.5" thickBot="1">
      <c r="A2" s="298" t="s">
        <v>127</v>
      </c>
      <c r="B2" s="7"/>
      <c r="C2" s="1052" t="s">
        <v>77</v>
      </c>
      <c r="D2" s="1053"/>
      <c r="E2" s="9" t="s">
        <v>5</v>
      </c>
      <c r="F2" s="544">
        <v>2011</v>
      </c>
      <c r="G2" s="607" t="s">
        <v>8</v>
      </c>
      <c r="H2" s="69" t="s">
        <v>9</v>
      </c>
      <c r="I2" s="70" t="s">
        <v>10</v>
      </c>
      <c r="J2" s="303" t="s">
        <v>11</v>
      </c>
      <c r="K2" s="248" t="s">
        <v>126</v>
      </c>
      <c r="L2" s="68" t="s">
        <v>12</v>
      </c>
      <c r="M2" s="544" t="s">
        <v>7</v>
      </c>
      <c r="N2" s="539">
        <v>2011</v>
      </c>
      <c r="O2" s="71"/>
      <c r="P2" s="71"/>
      <c r="Q2" s="948">
        <v>2010</v>
      </c>
      <c r="R2" s="1056"/>
      <c r="S2" s="1057"/>
    </row>
    <row r="3" spans="1:17" ht="13.5" thickBot="1">
      <c r="A3" s="17" t="s">
        <v>13</v>
      </c>
      <c r="B3" s="18"/>
      <c r="C3" s="18"/>
      <c r="D3" s="18"/>
      <c r="E3" s="19">
        <v>1</v>
      </c>
      <c r="F3" s="197">
        <f>SUM(F5:F27)</f>
        <v>1071167</v>
      </c>
      <c r="G3" s="597">
        <f aca="true" t="shared" si="0" ref="G3:L3">SUM(G5:G27)</f>
        <v>1005282</v>
      </c>
      <c r="H3" s="125">
        <f t="shared" si="0"/>
        <v>48126</v>
      </c>
      <c r="I3" s="77">
        <f t="shared" si="0"/>
        <v>9759</v>
      </c>
      <c r="J3" s="304">
        <f t="shared" si="0"/>
        <v>0</v>
      </c>
      <c r="K3" s="77">
        <f t="shared" si="0"/>
        <v>3000</v>
      </c>
      <c r="L3" s="76">
        <f t="shared" si="0"/>
        <v>5000</v>
      </c>
      <c r="M3" s="197">
        <f>SUM(M5:M27)</f>
        <v>0</v>
      </c>
      <c r="N3" s="471">
        <f>SUM(N5:N27)</f>
        <v>0</v>
      </c>
      <c r="O3" s="413">
        <f aca="true" t="shared" si="1" ref="O3:O19">IF(F3=0,0,N3/F3)</f>
        <v>0</v>
      </c>
      <c r="P3" s="78" t="e">
        <f>SUM(P5:P27)</f>
        <v>#DIV/0!</v>
      </c>
      <c r="Q3" s="588">
        <f>SUM(Q5:Q27)</f>
        <v>929311</v>
      </c>
    </row>
    <row r="4" spans="1:19" s="25" customFormat="1" ht="12">
      <c r="A4" s="21" t="s">
        <v>14</v>
      </c>
      <c r="B4" s="22" t="s">
        <v>15</v>
      </c>
      <c r="C4" s="22"/>
      <c r="D4" s="22"/>
      <c r="E4" s="23">
        <v>2</v>
      </c>
      <c r="F4" s="198">
        <f aca="true" t="shared" si="2" ref="F4:L4">SUM(F5:F15)</f>
        <v>481878</v>
      </c>
      <c r="G4" s="594">
        <f t="shared" si="2"/>
        <v>425752</v>
      </c>
      <c r="H4" s="112">
        <f t="shared" si="2"/>
        <v>48126</v>
      </c>
      <c r="I4" s="81">
        <f t="shared" si="2"/>
        <v>0</v>
      </c>
      <c r="J4" s="305">
        <f t="shared" si="2"/>
        <v>0</v>
      </c>
      <c r="K4" s="81">
        <f t="shared" si="2"/>
        <v>3000</v>
      </c>
      <c r="L4" s="80">
        <f t="shared" si="2"/>
        <v>5000</v>
      </c>
      <c r="M4" s="198">
        <f>SUM(M5:M15)</f>
        <v>0</v>
      </c>
      <c r="N4" s="417">
        <f>SUM(N5:N15)</f>
        <v>0</v>
      </c>
      <c r="O4" s="410">
        <f t="shared" si="1"/>
        <v>0</v>
      </c>
      <c r="P4" s="82" t="e">
        <f>SUM(P5:P15)</f>
        <v>#DIV/0!</v>
      </c>
      <c r="Q4" s="589">
        <f>SUM(Q5:Q15)</f>
        <v>375009</v>
      </c>
      <c r="R4" s="252"/>
      <c r="S4" s="252"/>
    </row>
    <row r="5" spans="1:20" s="65" customFormat="1" ht="12">
      <c r="A5" s="61"/>
      <c r="B5" s="62"/>
      <c r="C5" s="62" t="s">
        <v>16</v>
      </c>
      <c r="D5" s="63" t="s">
        <v>17</v>
      </c>
      <c r="E5" s="64">
        <v>3</v>
      </c>
      <c r="F5" s="199">
        <f>SUM(G5:L5)</f>
        <v>193489</v>
      </c>
      <c r="G5" s="1018">
        <v>173489</v>
      </c>
      <c r="H5" s="163">
        <v>20000</v>
      </c>
      <c r="I5" s="121"/>
      <c r="J5" s="300"/>
      <c r="K5" s="121"/>
      <c r="L5" s="220"/>
      <c r="M5" s="199"/>
      <c r="N5" s="418"/>
      <c r="O5" s="428">
        <f t="shared" si="1"/>
        <v>0</v>
      </c>
      <c r="P5" s="850">
        <f>N5</f>
        <v>0</v>
      </c>
      <c r="Q5" s="966">
        <v>126692</v>
      </c>
      <c r="R5" s="546"/>
      <c r="S5" s="546"/>
      <c r="T5" s="1037"/>
    </row>
    <row r="6" spans="1:19" s="65" customFormat="1" ht="12">
      <c r="A6" s="61"/>
      <c r="B6" s="62"/>
      <c r="C6" s="62"/>
      <c r="D6" s="63" t="s">
        <v>18</v>
      </c>
      <c r="E6" s="64">
        <v>4</v>
      </c>
      <c r="F6" s="199">
        <f aca="true" t="shared" si="3" ref="F6:F45">SUM(G6:L6)</f>
        <v>3000</v>
      </c>
      <c r="G6" s="1038">
        <v>3000</v>
      </c>
      <c r="H6" s="163"/>
      <c r="I6" s="121"/>
      <c r="J6" s="300"/>
      <c r="K6" s="121"/>
      <c r="L6" s="220"/>
      <c r="M6" s="199"/>
      <c r="N6" s="418"/>
      <c r="O6" s="428">
        <f t="shared" si="1"/>
        <v>0</v>
      </c>
      <c r="P6" s="850">
        <f>N6</f>
        <v>0</v>
      </c>
      <c r="Q6" s="966">
        <v>3073</v>
      </c>
      <c r="R6" s="546"/>
      <c r="S6" s="546"/>
    </row>
    <row r="7" spans="1:19" s="65" customFormat="1" ht="12">
      <c r="A7" s="61"/>
      <c r="B7" s="62"/>
      <c r="C7" s="62"/>
      <c r="D7" s="63" t="s">
        <v>19</v>
      </c>
      <c r="E7" s="64">
        <v>5</v>
      </c>
      <c r="F7" s="199">
        <f t="shared" si="3"/>
        <v>67721</v>
      </c>
      <c r="G7" s="1018">
        <v>67721</v>
      </c>
      <c r="H7" s="467"/>
      <c r="I7" s="121"/>
      <c r="J7" s="300"/>
      <c r="K7" s="121"/>
      <c r="L7" s="220"/>
      <c r="M7" s="199"/>
      <c r="N7" s="418"/>
      <c r="O7" s="428">
        <f t="shared" si="1"/>
        <v>0</v>
      </c>
      <c r="P7" s="850">
        <f>N7</f>
        <v>0</v>
      </c>
      <c r="Q7" s="966">
        <v>45594</v>
      </c>
      <c r="R7" s="546"/>
      <c r="S7" s="546"/>
    </row>
    <row r="8" spans="1:19" s="65" customFormat="1" ht="12">
      <c r="A8" s="61"/>
      <c r="B8" s="62"/>
      <c r="C8" s="62"/>
      <c r="D8" s="63" t="s">
        <v>20</v>
      </c>
      <c r="E8" s="64">
        <v>6</v>
      </c>
      <c r="F8" s="199">
        <f t="shared" si="3"/>
        <v>36000</v>
      </c>
      <c r="G8" s="976">
        <v>22000</v>
      </c>
      <c r="H8" s="163">
        <v>14000</v>
      </c>
      <c r="I8" s="121"/>
      <c r="J8" s="300"/>
      <c r="K8" s="121"/>
      <c r="L8" s="220"/>
      <c r="M8" s="199"/>
      <c r="N8" s="418"/>
      <c r="O8" s="428">
        <f t="shared" si="1"/>
        <v>0</v>
      </c>
      <c r="P8" s="87" t="e">
        <f>N8/titl!$H$17*12</f>
        <v>#DIV/0!</v>
      </c>
      <c r="Q8" s="966">
        <v>30749</v>
      </c>
      <c r="R8" s="546"/>
      <c r="S8" s="546"/>
    </row>
    <row r="9" spans="1:19" s="65" customFormat="1" ht="12">
      <c r="A9" s="61"/>
      <c r="B9" s="62"/>
      <c r="C9" s="62"/>
      <c r="D9" s="63" t="s">
        <v>21</v>
      </c>
      <c r="E9" s="64">
        <v>7</v>
      </c>
      <c r="F9" s="199">
        <f t="shared" si="3"/>
        <v>6000</v>
      </c>
      <c r="G9" s="976">
        <v>6000</v>
      </c>
      <c r="H9" s="163"/>
      <c r="I9" s="121"/>
      <c r="J9" s="300"/>
      <c r="K9" s="121"/>
      <c r="L9" s="220"/>
      <c r="M9" s="199"/>
      <c r="N9" s="418"/>
      <c r="O9" s="428">
        <f t="shared" si="1"/>
        <v>0</v>
      </c>
      <c r="P9" s="87" t="e">
        <f>N9/titl!$H$17*12</f>
        <v>#DIV/0!</v>
      </c>
      <c r="Q9" s="966">
        <v>8272</v>
      </c>
      <c r="R9" s="546"/>
      <c r="S9" s="546"/>
    </row>
    <row r="10" spans="1:19" s="65" customFormat="1" ht="12">
      <c r="A10" s="61"/>
      <c r="B10" s="62"/>
      <c r="C10" s="62"/>
      <c r="D10" s="63" t="s">
        <v>22</v>
      </c>
      <c r="E10" s="64">
        <v>8</v>
      </c>
      <c r="F10" s="199">
        <f t="shared" si="3"/>
        <v>8000</v>
      </c>
      <c r="G10" s="976">
        <v>8000</v>
      </c>
      <c r="H10" s="163"/>
      <c r="I10" s="121"/>
      <c r="J10" s="300"/>
      <c r="K10" s="121"/>
      <c r="L10" s="220"/>
      <c r="M10" s="199"/>
      <c r="N10" s="418"/>
      <c r="O10" s="428">
        <f t="shared" si="1"/>
        <v>0</v>
      </c>
      <c r="P10" s="87" t="e">
        <f>N10/titl!$H$17*12</f>
        <v>#DIV/0!</v>
      </c>
      <c r="Q10" s="966">
        <v>10642</v>
      </c>
      <c r="R10" s="546"/>
      <c r="S10" s="546"/>
    </row>
    <row r="11" spans="1:19" s="65" customFormat="1" ht="12">
      <c r="A11" s="61"/>
      <c r="B11" s="62"/>
      <c r="C11" s="62"/>
      <c r="D11" s="63" t="s">
        <v>23</v>
      </c>
      <c r="E11" s="64">
        <v>9</v>
      </c>
      <c r="F11" s="199">
        <f t="shared" si="3"/>
        <v>15000</v>
      </c>
      <c r="G11" s="1020">
        <v>15000</v>
      </c>
      <c r="H11" s="163"/>
      <c r="I11" s="121"/>
      <c r="J11" s="300"/>
      <c r="K11" s="121"/>
      <c r="L11" s="220"/>
      <c r="M11" s="199"/>
      <c r="N11" s="418"/>
      <c r="O11" s="428">
        <f t="shared" si="1"/>
        <v>0</v>
      </c>
      <c r="P11" s="87" t="e">
        <f>N11/titl!$H$17*12</f>
        <v>#DIV/0!</v>
      </c>
      <c r="Q11" s="966">
        <v>17690</v>
      </c>
      <c r="R11" s="546"/>
      <c r="S11" s="546"/>
    </row>
    <row r="12" spans="1:19" s="65" customFormat="1" ht="12">
      <c r="A12" s="61"/>
      <c r="B12" s="62"/>
      <c r="C12" s="62"/>
      <c r="D12" s="63" t="s">
        <v>24</v>
      </c>
      <c r="E12" s="64">
        <v>10</v>
      </c>
      <c r="F12" s="199">
        <f t="shared" si="3"/>
        <v>1500</v>
      </c>
      <c r="G12" s="976">
        <v>1500</v>
      </c>
      <c r="H12" s="163"/>
      <c r="I12" s="121"/>
      <c r="J12" s="300"/>
      <c r="K12" s="121"/>
      <c r="L12" s="220"/>
      <c r="M12" s="199"/>
      <c r="N12" s="418"/>
      <c r="O12" s="428">
        <f t="shared" si="1"/>
        <v>0</v>
      </c>
      <c r="P12" s="87" t="e">
        <f>N12/titl!$H$17*12</f>
        <v>#DIV/0!</v>
      </c>
      <c r="Q12" s="966">
        <v>1761</v>
      </c>
      <c r="R12" s="546"/>
      <c r="S12" s="546"/>
    </row>
    <row r="13" spans="1:19" s="65" customFormat="1" ht="12">
      <c r="A13" s="61"/>
      <c r="B13" s="62"/>
      <c r="C13" s="62"/>
      <c r="D13" s="63" t="s">
        <v>25</v>
      </c>
      <c r="E13" s="64">
        <v>11</v>
      </c>
      <c r="F13" s="199">
        <f t="shared" si="3"/>
        <v>108000</v>
      </c>
      <c r="G13" s="976">
        <v>108000</v>
      </c>
      <c r="H13" s="163"/>
      <c r="I13" s="121"/>
      <c r="J13" s="333"/>
      <c r="K13" s="121"/>
      <c r="L13" s="220"/>
      <c r="M13" s="199"/>
      <c r="N13" s="418"/>
      <c r="O13" s="428">
        <f t="shared" si="1"/>
        <v>0</v>
      </c>
      <c r="P13" s="850">
        <f>N13</f>
        <v>0</v>
      </c>
      <c r="Q13" s="966">
        <v>103918</v>
      </c>
      <c r="R13" s="546"/>
      <c r="S13" s="546"/>
    </row>
    <row r="14" spans="1:19" s="65" customFormat="1" ht="12">
      <c r="A14" s="61"/>
      <c r="B14" s="62"/>
      <c r="C14" s="62"/>
      <c r="D14" s="63" t="s">
        <v>26</v>
      </c>
      <c r="E14" s="64">
        <v>12</v>
      </c>
      <c r="F14" s="199">
        <f t="shared" si="3"/>
        <v>5035</v>
      </c>
      <c r="G14" s="976"/>
      <c r="H14" s="467">
        <v>35</v>
      </c>
      <c r="I14" s="121"/>
      <c r="J14" s="300"/>
      <c r="K14" s="121"/>
      <c r="L14" s="220">
        <v>5000</v>
      </c>
      <c r="M14" s="199"/>
      <c r="N14" s="418"/>
      <c r="O14" s="428">
        <f t="shared" si="1"/>
        <v>0</v>
      </c>
      <c r="P14" s="87" t="e">
        <f>N14/titl!$H$17*12</f>
        <v>#DIV/0!</v>
      </c>
      <c r="Q14" s="966">
        <v>4501</v>
      </c>
      <c r="R14" s="546"/>
      <c r="S14" s="546"/>
    </row>
    <row r="15" spans="1:20" s="65" customFormat="1" ht="12">
      <c r="A15" s="61"/>
      <c r="B15" s="62"/>
      <c r="C15" s="63"/>
      <c r="D15" s="63" t="s">
        <v>27</v>
      </c>
      <c r="E15" s="64">
        <v>13</v>
      </c>
      <c r="F15" s="199">
        <f t="shared" si="3"/>
        <v>38133</v>
      </c>
      <c r="G15" s="1018">
        <v>21042</v>
      </c>
      <c r="H15" s="163">
        <v>14091</v>
      </c>
      <c r="I15" s="121"/>
      <c r="J15" s="300"/>
      <c r="K15" s="614">
        <v>3000</v>
      </c>
      <c r="L15" s="220"/>
      <c r="M15" s="199"/>
      <c r="N15" s="418"/>
      <c r="O15" s="428">
        <f t="shared" si="1"/>
        <v>0</v>
      </c>
      <c r="P15" s="87" t="e">
        <f>N15/titl!$H$17*12</f>
        <v>#DIV/0!</v>
      </c>
      <c r="Q15" s="966">
        <v>22117</v>
      </c>
      <c r="R15" s="546"/>
      <c r="S15" s="546"/>
      <c r="T15" s="1036"/>
    </row>
    <row r="16" spans="1:19" s="25" customFormat="1" ht="12">
      <c r="A16" s="21"/>
      <c r="B16" s="30" t="s">
        <v>28</v>
      </c>
      <c r="C16" s="27"/>
      <c r="D16" s="27"/>
      <c r="E16" s="28">
        <v>14</v>
      </c>
      <c r="F16" s="119">
        <f t="shared" si="3"/>
        <v>50000</v>
      </c>
      <c r="G16" s="895">
        <v>50000</v>
      </c>
      <c r="H16" s="1022"/>
      <c r="I16" s="118"/>
      <c r="J16" s="301"/>
      <c r="K16" s="118"/>
      <c r="L16" s="530"/>
      <c r="M16" s="119">
        <f>M30</f>
        <v>0</v>
      </c>
      <c r="N16" s="453"/>
      <c r="O16" s="443">
        <f t="shared" si="1"/>
        <v>0</v>
      </c>
      <c r="P16" s="92">
        <f>P30</f>
        <v>0</v>
      </c>
      <c r="Q16" s="677">
        <v>48744</v>
      </c>
      <c r="R16" s="252"/>
      <c r="S16" s="252"/>
    </row>
    <row r="17" spans="1:19" s="25" customFormat="1" ht="12">
      <c r="A17" s="21"/>
      <c r="B17" s="30" t="s">
        <v>30</v>
      </c>
      <c r="C17" s="27"/>
      <c r="D17" s="27"/>
      <c r="E17" s="28">
        <v>15</v>
      </c>
      <c r="F17" s="119">
        <f t="shared" si="3"/>
        <v>1200</v>
      </c>
      <c r="G17" s="895">
        <v>1200</v>
      </c>
      <c r="H17" s="468"/>
      <c r="I17" s="118"/>
      <c r="J17" s="301"/>
      <c r="K17" s="118"/>
      <c r="L17" s="530"/>
      <c r="M17" s="119">
        <f>M31</f>
        <v>0</v>
      </c>
      <c r="N17" s="453"/>
      <c r="O17" s="443">
        <f t="shared" si="1"/>
        <v>0</v>
      </c>
      <c r="P17" s="92">
        <f>P31</f>
        <v>0</v>
      </c>
      <c r="Q17" s="677">
        <v>1183</v>
      </c>
      <c r="R17" s="252"/>
      <c r="S17" s="252"/>
    </row>
    <row r="18" spans="1:19" s="25" customFormat="1" ht="12">
      <c r="A18" s="21"/>
      <c r="B18" s="31" t="s">
        <v>32</v>
      </c>
      <c r="C18" s="32"/>
      <c r="D18" s="32"/>
      <c r="E18" s="33">
        <v>16</v>
      </c>
      <c r="F18" s="119">
        <f t="shared" si="3"/>
        <v>5000</v>
      </c>
      <c r="G18" s="895">
        <v>5000</v>
      </c>
      <c r="H18" s="468"/>
      <c r="I18" s="118"/>
      <c r="J18" s="301"/>
      <c r="K18" s="118"/>
      <c r="L18" s="530"/>
      <c r="M18" s="119">
        <f>M32</f>
        <v>0</v>
      </c>
      <c r="N18" s="453"/>
      <c r="O18" s="443">
        <f t="shared" si="1"/>
        <v>0</v>
      </c>
      <c r="P18" s="92">
        <f>P32</f>
        <v>0</v>
      </c>
      <c r="Q18" s="677">
        <v>5472</v>
      </c>
      <c r="R18" s="252"/>
      <c r="S18" s="252"/>
    </row>
    <row r="19" spans="1:19" s="25" customFormat="1" ht="12">
      <c r="A19" s="21"/>
      <c r="B19" s="31" t="s">
        <v>34</v>
      </c>
      <c r="C19" s="32"/>
      <c r="D19" s="32"/>
      <c r="E19" s="33">
        <v>17</v>
      </c>
      <c r="F19" s="119">
        <f t="shared" si="3"/>
        <v>2721</v>
      </c>
      <c r="G19" s="895">
        <v>2721</v>
      </c>
      <c r="H19" s="468"/>
      <c r="I19" s="118"/>
      <c r="J19" s="301"/>
      <c r="K19" s="118"/>
      <c r="L19" s="530"/>
      <c r="M19" s="119">
        <f>M33</f>
        <v>0</v>
      </c>
      <c r="N19" s="453"/>
      <c r="O19" s="443">
        <f t="shared" si="1"/>
        <v>0</v>
      </c>
      <c r="P19" s="92">
        <f>P33</f>
        <v>0</v>
      </c>
      <c r="Q19" s="677">
        <v>2459</v>
      </c>
      <c r="R19" s="252"/>
      <c r="S19" s="252"/>
    </row>
    <row r="20" spans="1:19" s="25" customFormat="1" ht="12">
      <c r="A20" s="21"/>
      <c r="B20" s="31" t="s">
        <v>36</v>
      </c>
      <c r="C20" s="31"/>
      <c r="D20" s="31"/>
      <c r="E20" s="33">
        <v>18</v>
      </c>
      <c r="F20" s="119">
        <f t="shared" si="3"/>
        <v>10000</v>
      </c>
      <c r="G20" s="895">
        <v>10000</v>
      </c>
      <c r="H20" s="468"/>
      <c r="I20" s="118"/>
      <c r="J20" s="301"/>
      <c r="K20" s="118"/>
      <c r="L20" s="530"/>
      <c r="M20" s="119"/>
      <c r="N20" s="453"/>
      <c r="O20" s="443">
        <f aca="true" t="shared" si="4" ref="O20:O45">IF(F20=0,0,N20/F20)</f>
        <v>0</v>
      </c>
      <c r="P20" s="92">
        <f>P35</f>
        <v>0</v>
      </c>
      <c r="Q20" s="677">
        <v>9975</v>
      </c>
      <c r="R20" s="252"/>
      <c r="S20" s="252"/>
    </row>
    <row r="21" spans="1:19" s="640" customFormat="1" ht="12">
      <c r="A21" s="628"/>
      <c r="B21" s="629" t="s">
        <v>175</v>
      </c>
      <c r="C21" s="629"/>
      <c r="D21" s="629"/>
      <c r="E21" s="630">
        <v>19</v>
      </c>
      <c r="F21" s="631">
        <f t="shared" si="3"/>
        <v>72000</v>
      </c>
      <c r="G21" s="649">
        <v>72000</v>
      </c>
      <c r="H21" s="633"/>
      <c r="I21" s="634"/>
      <c r="J21" s="635"/>
      <c r="K21" s="634"/>
      <c r="L21" s="636"/>
      <c r="M21" s="631"/>
      <c r="N21" s="637"/>
      <c r="O21" s="638">
        <f t="shared" si="4"/>
        <v>0</v>
      </c>
      <c r="P21" s="631">
        <f>N21</f>
        <v>0</v>
      </c>
      <c r="Q21" s="677">
        <v>36365</v>
      </c>
      <c r="R21" s="252"/>
      <c r="S21" s="252"/>
    </row>
    <row r="22" spans="1:19" s="25" customFormat="1" ht="12">
      <c r="A22" s="21"/>
      <c r="B22" s="31" t="s">
        <v>40</v>
      </c>
      <c r="C22" s="31"/>
      <c r="D22" s="31"/>
      <c r="E22" s="33">
        <v>20</v>
      </c>
      <c r="F22" s="119">
        <f t="shared" si="3"/>
        <v>15000</v>
      </c>
      <c r="G22" s="895">
        <v>15000</v>
      </c>
      <c r="H22" s="468"/>
      <c r="I22" s="95"/>
      <c r="J22" s="301"/>
      <c r="K22" s="118"/>
      <c r="L22" s="530"/>
      <c r="M22" s="119"/>
      <c r="N22" s="453"/>
      <c r="O22" s="443">
        <f t="shared" si="4"/>
        <v>0</v>
      </c>
      <c r="P22" s="92">
        <f>P37</f>
        <v>0</v>
      </c>
      <c r="Q22" s="677">
        <v>15372</v>
      </c>
      <c r="R22" s="252"/>
      <c r="S22" s="252"/>
    </row>
    <row r="23" spans="1:19" s="25" customFormat="1" ht="12">
      <c r="A23" s="21"/>
      <c r="B23" s="31" t="s">
        <v>42</v>
      </c>
      <c r="C23" s="31"/>
      <c r="D23" s="31"/>
      <c r="E23" s="33">
        <v>21</v>
      </c>
      <c r="F23" s="119">
        <f t="shared" si="3"/>
        <v>54618</v>
      </c>
      <c r="G23" s="895">
        <v>54618</v>
      </c>
      <c r="H23" s="468"/>
      <c r="I23" s="95"/>
      <c r="J23" s="301"/>
      <c r="K23" s="118"/>
      <c r="L23" s="530"/>
      <c r="M23" s="119">
        <f>M39</f>
        <v>0</v>
      </c>
      <c r="N23" s="453"/>
      <c r="O23" s="443">
        <f t="shared" si="4"/>
        <v>0</v>
      </c>
      <c r="P23" s="92">
        <f>P39</f>
        <v>0</v>
      </c>
      <c r="Q23" s="677">
        <v>118916</v>
      </c>
      <c r="R23" s="252"/>
      <c r="S23" s="252"/>
    </row>
    <row r="24" spans="1:19" s="25" customFormat="1" ht="13.5">
      <c r="A24" s="21"/>
      <c r="B24" s="1035" t="s">
        <v>241</v>
      </c>
      <c r="C24" s="31"/>
      <c r="D24" s="31"/>
      <c r="E24" s="33">
        <v>22</v>
      </c>
      <c r="F24" s="119">
        <f t="shared" si="3"/>
        <v>250000</v>
      </c>
      <c r="G24" s="1021">
        <f>G40</f>
        <v>240577</v>
      </c>
      <c r="H24" s="468"/>
      <c r="I24" s="95">
        <v>9423</v>
      </c>
      <c r="J24" s="301"/>
      <c r="K24" s="118"/>
      <c r="L24" s="530"/>
      <c r="M24" s="119">
        <f>M40</f>
        <v>0</v>
      </c>
      <c r="N24" s="453"/>
      <c r="O24" s="443">
        <f t="shared" si="4"/>
        <v>0</v>
      </c>
      <c r="P24" s="92">
        <f>P40</f>
        <v>0</v>
      </c>
      <c r="Q24" s="677">
        <v>213410</v>
      </c>
      <c r="R24" s="252"/>
      <c r="S24" s="252"/>
    </row>
    <row r="25" spans="1:19" s="640" customFormat="1" ht="12">
      <c r="A25" s="628"/>
      <c r="B25" s="629" t="s">
        <v>186</v>
      </c>
      <c r="C25" s="629"/>
      <c r="D25" s="629"/>
      <c r="E25" s="630">
        <v>23</v>
      </c>
      <c r="F25" s="631">
        <f t="shared" si="3"/>
        <v>75000</v>
      </c>
      <c r="G25" s="649">
        <v>75000</v>
      </c>
      <c r="H25" s="633"/>
      <c r="I25" s="695"/>
      <c r="J25" s="635"/>
      <c r="K25" s="634"/>
      <c r="L25" s="636"/>
      <c r="M25" s="631"/>
      <c r="N25" s="637"/>
      <c r="O25" s="638">
        <f t="shared" si="4"/>
        <v>0</v>
      </c>
      <c r="P25" s="591">
        <f>P41</f>
        <v>0</v>
      </c>
      <c r="Q25" s="677">
        <v>51843</v>
      </c>
      <c r="R25" s="252"/>
      <c r="S25" s="252"/>
    </row>
    <row r="26" spans="1:19" s="25" customFormat="1" ht="12">
      <c r="A26" s="21"/>
      <c r="B26" s="31" t="s">
        <v>45</v>
      </c>
      <c r="C26" s="31"/>
      <c r="D26" s="31"/>
      <c r="E26" s="33">
        <v>24</v>
      </c>
      <c r="F26" s="119">
        <f t="shared" si="3"/>
        <v>30000</v>
      </c>
      <c r="G26" s="895">
        <v>29664</v>
      </c>
      <c r="H26" s="468"/>
      <c r="I26" s="95">
        <v>336</v>
      </c>
      <c r="J26" s="301"/>
      <c r="K26" s="118"/>
      <c r="L26" s="530"/>
      <c r="M26" s="119"/>
      <c r="N26" s="453"/>
      <c r="O26" s="443">
        <f t="shared" si="4"/>
        <v>0</v>
      </c>
      <c r="P26" s="92">
        <f>P42</f>
        <v>0</v>
      </c>
      <c r="Q26" s="677">
        <v>27449</v>
      </c>
      <c r="R26" s="252"/>
      <c r="S26" s="252"/>
    </row>
    <row r="27" spans="1:19" s="25" customFormat="1" ht="12.75" thickBot="1">
      <c r="A27" s="21"/>
      <c r="B27" s="30" t="s">
        <v>47</v>
      </c>
      <c r="C27" s="30"/>
      <c r="D27" s="30"/>
      <c r="E27" s="28">
        <v>25</v>
      </c>
      <c r="F27" s="119">
        <f t="shared" si="3"/>
        <v>23750</v>
      </c>
      <c r="G27" s="985">
        <v>23750</v>
      </c>
      <c r="H27" s="469"/>
      <c r="I27" s="120"/>
      <c r="J27" s="302"/>
      <c r="K27" s="120"/>
      <c r="L27" s="623"/>
      <c r="M27" s="119"/>
      <c r="N27" s="453"/>
      <c r="O27" s="443">
        <f t="shared" si="4"/>
        <v>0</v>
      </c>
      <c r="P27" s="100" t="e">
        <f>N27/titl!$H$17*12</f>
        <v>#DIV/0!</v>
      </c>
      <c r="Q27" s="677">
        <v>23114</v>
      </c>
      <c r="R27" s="252"/>
      <c r="S27" s="252"/>
    </row>
    <row r="28" spans="1:17" ht="13.5" thickBot="1">
      <c r="A28" s="37" t="s">
        <v>49</v>
      </c>
      <c r="B28" s="38"/>
      <c r="C28" s="38"/>
      <c r="D28" s="38"/>
      <c r="E28" s="19">
        <v>26</v>
      </c>
      <c r="F28" s="197">
        <f>SUM(F29:F45)</f>
        <v>1072417</v>
      </c>
      <c r="G28" s="597">
        <f aca="true" t="shared" si="5" ref="G28:N28">SUM(G29:G45)</f>
        <v>1006532</v>
      </c>
      <c r="H28" s="125">
        <f t="shared" si="5"/>
        <v>48126</v>
      </c>
      <c r="I28" s="77">
        <f t="shared" si="5"/>
        <v>9759</v>
      </c>
      <c r="J28" s="304">
        <f t="shared" si="5"/>
        <v>0</v>
      </c>
      <c r="K28" s="77">
        <f t="shared" si="5"/>
        <v>3000</v>
      </c>
      <c r="L28" s="76">
        <f t="shared" si="5"/>
        <v>5000</v>
      </c>
      <c r="M28" s="197">
        <f>SUM(M29:M45)</f>
        <v>0</v>
      </c>
      <c r="N28" s="471">
        <f t="shared" si="5"/>
        <v>0</v>
      </c>
      <c r="O28" s="413">
        <f t="shared" si="4"/>
        <v>0</v>
      </c>
      <c r="P28" s="78" t="e">
        <f>SUM(P29:P45)</f>
        <v>#DIV/0!</v>
      </c>
      <c r="Q28" s="588">
        <f>SUM(Q29:Q45)</f>
        <v>934625</v>
      </c>
    </row>
    <row r="29" spans="1:19" s="25" customFormat="1" ht="12">
      <c r="A29" s="21" t="s">
        <v>14</v>
      </c>
      <c r="B29" s="27" t="s">
        <v>50</v>
      </c>
      <c r="C29" s="27"/>
      <c r="D29" s="27"/>
      <c r="E29" s="28">
        <v>27</v>
      </c>
      <c r="F29" s="119">
        <f t="shared" si="3"/>
        <v>165239</v>
      </c>
      <c r="G29" s="594">
        <v>165239</v>
      </c>
      <c r="H29" s="112"/>
      <c r="I29" s="81"/>
      <c r="J29" s="305"/>
      <c r="K29" s="81"/>
      <c r="L29" s="80"/>
      <c r="M29" s="198"/>
      <c r="N29" s="855"/>
      <c r="O29" s="443">
        <f t="shared" si="4"/>
        <v>0</v>
      </c>
      <c r="P29" s="92">
        <f>M29</f>
        <v>0</v>
      </c>
      <c r="Q29" s="964">
        <v>168603</v>
      </c>
      <c r="R29" s="252">
        <v>36840</v>
      </c>
      <c r="S29" s="252"/>
    </row>
    <row r="30" spans="1:19" s="25" customFormat="1" ht="12">
      <c r="A30" s="21"/>
      <c r="B30" s="30" t="s">
        <v>28</v>
      </c>
      <c r="C30" s="30"/>
      <c r="D30" s="30"/>
      <c r="E30" s="28">
        <v>28</v>
      </c>
      <c r="F30" s="119">
        <f t="shared" si="3"/>
        <v>50000</v>
      </c>
      <c r="G30" s="499">
        <f>G16</f>
        <v>50000</v>
      </c>
      <c r="H30" s="470"/>
      <c r="I30" s="95"/>
      <c r="J30" s="308"/>
      <c r="K30" s="95"/>
      <c r="L30" s="94"/>
      <c r="M30" s="472"/>
      <c r="N30" s="420"/>
      <c r="O30" s="443">
        <f t="shared" si="4"/>
        <v>0</v>
      </c>
      <c r="P30" s="92">
        <f>M30</f>
        <v>0</v>
      </c>
      <c r="Q30" s="710">
        <f>Q16</f>
        <v>48744</v>
      </c>
      <c r="R30" s="252"/>
      <c r="S30" s="252"/>
    </row>
    <row r="31" spans="1:19" s="25" customFormat="1" ht="12">
      <c r="A31" s="21"/>
      <c r="B31" s="30" t="s">
        <v>30</v>
      </c>
      <c r="C31" s="30"/>
      <c r="D31" s="30"/>
      <c r="E31" s="28">
        <v>29</v>
      </c>
      <c r="F31" s="119">
        <f t="shared" si="3"/>
        <v>1200</v>
      </c>
      <c r="G31" s="499">
        <f>G17</f>
        <v>1200</v>
      </c>
      <c r="H31" s="126"/>
      <c r="I31" s="95"/>
      <c r="J31" s="308"/>
      <c r="K31" s="95"/>
      <c r="L31" s="94"/>
      <c r="M31" s="472"/>
      <c r="N31" s="420"/>
      <c r="O31" s="443">
        <f t="shared" si="4"/>
        <v>0</v>
      </c>
      <c r="P31" s="92">
        <f>M31</f>
        <v>0</v>
      </c>
      <c r="Q31" s="710">
        <f>Q17</f>
        <v>1183</v>
      </c>
      <c r="R31" s="252"/>
      <c r="S31" s="252"/>
    </row>
    <row r="32" spans="1:19" s="25" customFormat="1" ht="12">
      <c r="A32" s="21"/>
      <c r="B32" s="31" t="s">
        <v>32</v>
      </c>
      <c r="C32" s="32"/>
      <c r="D32" s="32"/>
      <c r="E32" s="33">
        <v>30</v>
      </c>
      <c r="F32" s="119">
        <f t="shared" si="3"/>
        <v>5000</v>
      </c>
      <c r="G32" s="499">
        <f>G18</f>
        <v>5000</v>
      </c>
      <c r="H32" s="126"/>
      <c r="I32" s="95"/>
      <c r="J32" s="308"/>
      <c r="K32" s="95"/>
      <c r="L32" s="94"/>
      <c r="M32" s="472"/>
      <c r="N32" s="420"/>
      <c r="O32" s="443">
        <f t="shared" si="4"/>
        <v>0</v>
      </c>
      <c r="P32" s="92">
        <f>M32</f>
        <v>0</v>
      </c>
      <c r="Q32" s="710">
        <f>Q18</f>
        <v>5472</v>
      </c>
      <c r="R32" s="252"/>
      <c r="S32" s="252"/>
    </row>
    <row r="33" spans="1:19" s="25" customFormat="1" ht="12">
      <c r="A33" s="21"/>
      <c r="B33" s="31" t="s">
        <v>34</v>
      </c>
      <c r="C33" s="31"/>
      <c r="D33" s="31"/>
      <c r="E33" s="33">
        <v>31</v>
      </c>
      <c r="F33" s="119">
        <f t="shared" si="3"/>
        <v>2721</v>
      </c>
      <c r="G33" s="499">
        <f>G19</f>
        <v>2721</v>
      </c>
      <c r="H33" s="126"/>
      <c r="I33" s="95"/>
      <c r="J33" s="308"/>
      <c r="K33" s="95"/>
      <c r="L33" s="94"/>
      <c r="M33" s="472"/>
      <c r="N33" s="420"/>
      <c r="O33" s="443">
        <f t="shared" si="4"/>
        <v>0</v>
      </c>
      <c r="P33" s="92">
        <f>M33</f>
        <v>0</v>
      </c>
      <c r="Q33" s="710">
        <f>Q19</f>
        <v>2459</v>
      </c>
      <c r="R33" s="252"/>
      <c r="S33" s="252"/>
    </row>
    <row r="34" spans="1:19" s="25" customFormat="1" ht="12">
      <c r="A34" s="21"/>
      <c r="B34" s="31" t="s">
        <v>52</v>
      </c>
      <c r="C34" s="31"/>
      <c r="D34" s="31"/>
      <c r="E34" s="33">
        <v>32</v>
      </c>
      <c r="F34" s="119">
        <f t="shared" si="3"/>
        <v>0</v>
      </c>
      <c r="G34" s="499"/>
      <c r="H34" s="126"/>
      <c r="I34" s="95"/>
      <c r="J34" s="308"/>
      <c r="K34" s="95"/>
      <c r="L34" s="94"/>
      <c r="M34" s="472"/>
      <c r="N34" s="420"/>
      <c r="O34" s="443">
        <f t="shared" si="4"/>
        <v>0</v>
      </c>
      <c r="P34" s="92">
        <f>F34</f>
        <v>0</v>
      </c>
      <c r="Q34" s="710"/>
      <c r="R34" s="252"/>
      <c r="S34" s="252"/>
    </row>
    <row r="35" spans="1:19" s="25" customFormat="1" ht="12">
      <c r="A35" s="21"/>
      <c r="B35" s="31" t="s">
        <v>36</v>
      </c>
      <c r="C35" s="31"/>
      <c r="D35" s="31"/>
      <c r="E35" s="33">
        <v>33</v>
      </c>
      <c r="F35" s="119">
        <f t="shared" si="3"/>
        <v>10000</v>
      </c>
      <c r="G35" s="499">
        <f>G20</f>
        <v>10000</v>
      </c>
      <c r="H35" s="126"/>
      <c r="I35" s="95"/>
      <c r="J35" s="308"/>
      <c r="K35" s="95"/>
      <c r="L35" s="94"/>
      <c r="M35" s="472"/>
      <c r="N35" s="420"/>
      <c r="O35" s="443">
        <f t="shared" si="4"/>
        <v>0</v>
      </c>
      <c r="P35" s="92">
        <f>N35</f>
        <v>0</v>
      </c>
      <c r="Q35" s="710">
        <f>Q20</f>
        <v>9975</v>
      </c>
      <c r="R35" s="252"/>
      <c r="S35" s="252"/>
    </row>
    <row r="36" spans="1:19" s="640" customFormat="1" ht="12">
      <c r="A36" s="628"/>
      <c r="B36" s="629" t="s">
        <v>175</v>
      </c>
      <c r="C36" s="629"/>
      <c r="D36" s="629"/>
      <c r="E36" s="630">
        <v>34</v>
      </c>
      <c r="F36" s="631">
        <f t="shared" si="3"/>
        <v>72000</v>
      </c>
      <c r="G36" s="649">
        <f>G21</f>
        <v>72000</v>
      </c>
      <c r="H36" s="633"/>
      <c r="I36" s="634"/>
      <c r="J36" s="635"/>
      <c r="K36" s="634"/>
      <c r="L36" s="636"/>
      <c r="M36" s="632"/>
      <c r="N36" s="641"/>
      <c r="O36" s="638">
        <f t="shared" si="4"/>
        <v>0</v>
      </c>
      <c r="P36" s="631">
        <f>P21</f>
        <v>0</v>
      </c>
      <c r="Q36" s="710">
        <f>Q21</f>
        <v>36365</v>
      </c>
      <c r="R36" s="252"/>
      <c r="S36" s="252"/>
    </row>
    <row r="37" spans="1:19" s="25" customFormat="1" ht="12">
      <c r="A37" s="21"/>
      <c r="B37" s="31" t="s">
        <v>54</v>
      </c>
      <c r="C37" s="31"/>
      <c r="D37" s="31"/>
      <c r="E37" s="33">
        <v>35</v>
      </c>
      <c r="F37" s="119">
        <f t="shared" si="3"/>
        <v>15000</v>
      </c>
      <c r="G37" s="499">
        <f>G22</f>
        <v>15000</v>
      </c>
      <c r="H37" s="126"/>
      <c r="I37" s="95"/>
      <c r="J37" s="308"/>
      <c r="K37" s="95"/>
      <c r="L37" s="94"/>
      <c r="M37" s="472"/>
      <c r="N37" s="420"/>
      <c r="O37" s="443">
        <f t="shared" si="4"/>
        <v>0</v>
      </c>
      <c r="P37" s="92">
        <f aca="true" t="shared" si="6" ref="P37:P42">N37</f>
        <v>0</v>
      </c>
      <c r="Q37" s="710">
        <v>15483</v>
      </c>
      <c r="R37" s="252"/>
      <c r="S37" s="252"/>
    </row>
    <row r="38" spans="1:19" s="25" customFormat="1" ht="12">
      <c r="A38" s="21"/>
      <c r="B38" s="31" t="s">
        <v>170</v>
      </c>
      <c r="C38" s="31"/>
      <c r="D38" s="31"/>
      <c r="E38" s="33">
        <v>36</v>
      </c>
      <c r="F38" s="119">
        <f t="shared" si="3"/>
        <v>140513</v>
      </c>
      <c r="G38" s="499">
        <v>140513</v>
      </c>
      <c r="H38" s="126"/>
      <c r="I38" s="95"/>
      <c r="J38" s="308"/>
      <c r="K38" s="95"/>
      <c r="L38" s="94"/>
      <c r="M38" s="472"/>
      <c r="N38" s="420"/>
      <c r="O38" s="443">
        <f t="shared" si="4"/>
        <v>0</v>
      </c>
      <c r="P38" s="92">
        <f t="shared" si="6"/>
        <v>0</v>
      </c>
      <c r="Q38" s="710">
        <v>56496</v>
      </c>
      <c r="R38" s="252"/>
      <c r="S38" s="252"/>
    </row>
    <row r="39" spans="1:19" s="25" customFormat="1" ht="12">
      <c r="A39" s="21"/>
      <c r="B39" s="31" t="s">
        <v>56</v>
      </c>
      <c r="C39" s="31"/>
      <c r="D39" s="31"/>
      <c r="E39" s="33">
        <v>37</v>
      </c>
      <c r="F39" s="119">
        <f t="shared" si="3"/>
        <v>54618</v>
      </c>
      <c r="G39" s="499">
        <f>G23</f>
        <v>54618</v>
      </c>
      <c r="H39" s="126"/>
      <c r="I39" s="95">
        <f>I23</f>
        <v>0</v>
      </c>
      <c r="J39" s="308"/>
      <c r="K39" s="95"/>
      <c r="L39" s="94"/>
      <c r="M39" s="472"/>
      <c r="N39" s="420"/>
      <c r="O39" s="443">
        <f t="shared" si="4"/>
        <v>0</v>
      </c>
      <c r="P39" s="92">
        <f>M39</f>
        <v>0</v>
      </c>
      <c r="Q39" s="710">
        <f>Q23</f>
        <v>118916</v>
      </c>
      <c r="R39" s="252"/>
      <c r="S39" s="252"/>
    </row>
    <row r="40" spans="1:19" s="25" customFormat="1" ht="12">
      <c r="A40" s="21"/>
      <c r="B40" s="31" t="s">
        <v>57</v>
      </c>
      <c r="C40" s="31"/>
      <c r="D40" s="31"/>
      <c r="E40" s="33">
        <v>38</v>
      </c>
      <c r="F40" s="119">
        <f t="shared" si="3"/>
        <v>250000</v>
      </c>
      <c r="G40" s="886">
        <v>240577</v>
      </c>
      <c r="H40" s="126"/>
      <c r="I40" s="159">
        <f>I24</f>
        <v>9423</v>
      </c>
      <c r="J40" s="308"/>
      <c r="K40" s="95"/>
      <c r="L40" s="94"/>
      <c r="M40" s="472"/>
      <c r="N40" s="420"/>
      <c r="O40" s="443">
        <f t="shared" si="4"/>
        <v>0</v>
      </c>
      <c r="P40" s="92">
        <f>M40</f>
        <v>0</v>
      </c>
      <c r="Q40" s="710">
        <f>Q24</f>
        <v>213410</v>
      </c>
      <c r="R40" s="252"/>
      <c r="S40" s="252">
        <v>9423</v>
      </c>
    </row>
    <row r="41" spans="1:19" s="640" customFormat="1" ht="13.5">
      <c r="A41" s="628"/>
      <c r="B41" s="1035" t="s">
        <v>241</v>
      </c>
      <c r="C41" s="629"/>
      <c r="D41" s="629"/>
      <c r="E41" s="630">
        <v>39</v>
      </c>
      <c r="F41" s="631">
        <f t="shared" si="3"/>
        <v>75000</v>
      </c>
      <c r="G41" s="907">
        <f>G25</f>
        <v>75000</v>
      </c>
      <c r="H41" s="704"/>
      <c r="I41" s="695">
        <f>I25</f>
        <v>0</v>
      </c>
      <c r="J41" s="705"/>
      <c r="K41" s="695"/>
      <c r="L41" s="706"/>
      <c r="M41" s="632"/>
      <c r="N41" s="709"/>
      <c r="O41" s="721">
        <f t="shared" si="4"/>
        <v>0</v>
      </c>
      <c r="P41" s="591">
        <f t="shared" si="6"/>
        <v>0</v>
      </c>
      <c r="Q41" s="710">
        <f>Q25</f>
        <v>51843</v>
      </c>
      <c r="R41" s="252"/>
      <c r="S41" s="252"/>
    </row>
    <row r="42" spans="1:19" s="25" customFormat="1" ht="12">
      <c r="A42" s="21"/>
      <c r="B42" s="31" t="s">
        <v>58</v>
      </c>
      <c r="C42" s="31"/>
      <c r="D42" s="31"/>
      <c r="E42" s="33">
        <v>40</v>
      </c>
      <c r="F42" s="119">
        <f t="shared" si="3"/>
        <v>30000</v>
      </c>
      <c r="G42" s="499">
        <f>G26</f>
        <v>29664</v>
      </c>
      <c r="H42" s="126"/>
      <c r="I42" s="95">
        <f>I26</f>
        <v>336</v>
      </c>
      <c r="J42" s="308"/>
      <c r="K42" s="95"/>
      <c r="L42" s="94"/>
      <c r="M42" s="472"/>
      <c r="N42" s="420"/>
      <c r="O42" s="414">
        <f t="shared" si="4"/>
        <v>0</v>
      </c>
      <c r="P42" s="92">
        <f t="shared" si="6"/>
        <v>0</v>
      </c>
      <c r="Q42" s="710">
        <f>Q26</f>
        <v>27449</v>
      </c>
      <c r="R42" s="252"/>
      <c r="S42" s="252"/>
    </row>
    <row r="43" spans="1:19" s="25" customFormat="1" ht="12">
      <c r="A43" s="21"/>
      <c r="B43" s="31" t="s">
        <v>59</v>
      </c>
      <c r="C43" s="31"/>
      <c r="D43" s="31"/>
      <c r="E43" s="33">
        <v>41</v>
      </c>
      <c r="F43" s="119">
        <f t="shared" si="3"/>
        <v>120000</v>
      </c>
      <c r="G43" s="499">
        <v>120000</v>
      </c>
      <c r="H43" s="126"/>
      <c r="I43" s="95"/>
      <c r="J43" s="308"/>
      <c r="K43" s="95"/>
      <c r="L43" s="94"/>
      <c r="M43" s="472"/>
      <c r="N43" s="420"/>
      <c r="O43" s="414">
        <f t="shared" si="4"/>
        <v>0</v>
      </c>
      <c r="P43" s="92" t="e">
        <f>(N43-N49)/titl!H17*12+N49</f>
        <v>#DIV/0!</v>
      </c>
      <c r="Q43" s="710">
        <v>98863</v>
      </c>
      <c r="R43" s="252"/>
      <c r="S43" s="252"/>
    </row>
    <row r="44" spans="1:19" s="25" customFormat="1" ht="12">
      <c r="A44" s="21"/>
      <c r="B44" s="31" t="s">
        <v>60</v>
      </c>
      <c r="C44" s="31"/>
      <c r="D44" s="31"/>
      <c r="E44" s="33">
        <v>42</v>
      </c>
      <c r="F44" s="119">
        <f t="shared" si="3"/>
        <v>56126</v>
      </c>
      <c r="G44" s="612"/>
      <c r="H44" s="470">
        <v>48126</v>
      </c>
      <c r="I44" s="95"/>
      <c r="J44" s="308"/>
      <c r="K44" s="159">
        <f>K3</f>
        <v>3000</v>
      </c>
      <c r="L44" s="94">
        <f>L3</f>
        <v>5000</v>
      </c>
      <c r="M44" s="472"/>
      <c r="N44" s="420"/>
      <c r="O44" s="414">
        <f t="shared" si="4"/>
        <v>0</v>
      </c>
      <c r="P44" s="92">
        <f>N44</f>
        <v>0</v>
      </c>
      <c r="Q44" s="710">
        <v>52713</v>
      </c>
      <c r="R44" s="252"/>
      <c r="S44" s="252"/>
    </row>
    <row r="45" spans="1:19" s="25" customFormat="1" ht="12.75" thickBot="1">
      <c r="A45" s="40"/>
      <c r="B45" s="41" t="s">
        <v>47</v>
      </c>
      <c r="C45" s="41"/>
      <c r="D45" s="41"/>
      <c r="E45" s="42">
        <v>43</v>
      </c>
      <c r="F45" s="200">
        <f t="shared" si="3"/>
        <v>25000</v>
      </c>
      <c r="G45" s="500">
        <v>25000</v>
      </c>
      <c r="H45" s="174"/>
      <c r="I45" s="99"/>
      <c r="J45" s="309"/>
      <c r="K45" s="99"/>
      <c r="L45" s="98"/>
      <c r="M45" s="200"/>
      <c r="N45" s="421"/>
      <c r="O45" s="415">
        <f t="shared" si="4"/>
        <v>0</v>
      </c>
      <c r="P45" s="100" t="e">
        <f>N45/titl!$H$17*12</f>
        <v>#DIV/0!</v>
      </c>
      <c r="Q45" s="965">
        <v>26651</v>
      </c>
      <c r="R45" s="252"/>
      <c r="S45" s="252"/>
    </row>
    <row r="46" spans="1:19" s="25" customFormat="1" ht="12.75" hidden="1" thickBot="1">
      <c r="A46" s="44" t="s">
        <v>61</v>
      </c>
      <c r="B46" s="45"/>
      <c r="C46" s="45"/>
      <c r="D46" s="45"/>
      <c r="E46" s="28">
        <v>44</v>
      </c>
      <c r="F46" s="201">
        <f>F29+F34+F38+F43+F44+F45-F4-F27</f>
        <v>1250</v>
      </c>
      <c r="G46" s="613">
        <f>G29+G34+G38+G43+G45-G4-G27</f>
        <v>1250</v>
      </c>
      <c r="H46" s="102">
        <f>H29+H34+H38+H43+H44+H45-H4-H27</f>
        <v>0</v>
      </c>
      <c r="I46" s="102">
        <f>I29+I34+I38+I43+I44+I45-I4-I27</f>
        <v>0</v>
      </c>
      <c r="J46" s="102">
        <f>J29+J34+J38+J43+J44+J45-J4-J27</f>
        <v>0</v>
      </c>
      <c r="K46" s="320"/>
      <c r="L46" s="102">
        <f>L29+L34+L38+L43+L44+L45-L4-L27</f>
        <v>0</v>
      </c>
      <c r="M46" s="201">
        <f>M29+M34+M38+M43+M44+M45+-M4-M27</f>
        <v>0</v>
      </c>
      <c r="N46" s="422">
        <f>N29+N34+N38+N43+N44+N45-N4-N27</f>
        <v>0</v>
      </c>
      <c r="O46" s="416"/>
      <c r="P46" s="103" t="e">
        <f>P29+P34+P38+P43+P44+P45-P4-P27</f>
        <v>#DIV/0!</v>
      </c>
      <c r="Q46" s="593">
        <f>Q29+Q34+Q38+Q43+Q44+Q45-Q4-Q27</f>
        <v>5203</v>
      </c>
      <c r="R46" s="252"/>
      <c r="S46" s="252"/>
    </row>
    <row r="47" spans="1:17" ht="13.5" thickBot="1">
      <c r="A47" s="37" t="s">
        <v>62</v>
      </c>
      <c r="B47" s="38"/>
      <c r="C47" s="38"/>
      <c r="D47" s="38"/>
      <c r="E47" s="19">
        <v>45</v>
      </c>
      <c r="F47" s="197">
        <f>F28-F3</f>
        <v>1250</v>
      </c>
      <c r="G47" s="597">
        <f aca="true" t="shared" si="7" ref="G47:N47">G28-G3</f>
        <v>1250</v>
      </c>
      <c r="H47" s="125">
        <f t="shared" si="7"/>
        <v>0</v>
      </c>
      <c r="I47" s="77">
        <f t="shared" si="7"/>
        <v>0</v>
      </c>
      <c r="J47" s="304">
        <f t="shared" si="7"/>
        <v>0</v>
      </c>
      <c r="K47" s="77">
        <f t="shared" si="7"/>
        <v>0</v>
      </c>
      <c r="L47" s="76">
        <f t="shared" si="7"/>
        <v>0</v>
      </c>
      <c r="M47" s="197">
        <f>M28-M3</f>
        <v>0</v>
      </c>
      <c r="N47" s="471">
        <f t="shared" si="7"/>
        <v>0</v>
      </c>
      <c r="O47" s="78"/>
      <c r="P47" s="78" t="e">
        <f>P28-P3</f>
        <v>#DIV/0!</v>
      </c>
      <c r="Q47" s="588">
        <f>Q28-Q3</f>
        <v>5314</v>
      </c>
    </row>
    <row r="48" spans="1:8" ht="12.75">
      <c r="A48" s="47" t="s">
        <v>231</v>
      </c>
      <c r="B48" s="47"/>
      <c r="C48" s="47"/>
      <c r="D48" s="122"/>
      <c r="E48" s="48"/>
      <c r="H48" s="336">
        <v>51895445</v>
      </c>
    </row>
    <row r="49" spans="1:19" s="47" customFormat="1" ht="11.25">
      <c r="A49" s="260" t="s">
        <v>242</v>
      </c>
      <c r="E49" s="48"/>
      <c r="G49" s="59"/>
      <c r="H49" s="59"/>
      <c r="I49" s="59"/>
      <c r="J49" s="1058"/>
      <c r="K49" s="1058"/>
      <c r="L49" s="1058"/>
      <c r="M49" s="240"/>
      <c r="N49" s="874"/>
      <c r="O49" s="401"/>
      <c r="P49" s="401"/>
      <c r="Q49" s="255"/>
      <c r="R49" s="252"/>
      <c r="S49" s="252"/>
    </row>
    <row r="50" spans="1:19" s="47" customFormat="1" ht="11.25">
      <c r="A50" s="51" t="s">
        <v>90</v>
      </c>
      <c r="E50" s="48"/>
      <c r="F50" s="202"/>
      <c r="G50" s="59"/>
      <c r="I50" s="155">
        <v>1000</v>
      </c>
      <c r="L50" s="59"/>
      <c r="M50" s="59"/>
      <c r="N50" s="59"/>
      <c r="O50" s="401"/>
      <c r="P50" s="401"/>
      <c r="Q50" s="255"/>
      <c r="R50" s="252"/>
      <c r="S50" s="252"/>
    </row>
    <row r="51" spans="1:19" s="47" customFormat="1" ht="11.25">
      <c r="A51" s="51"/>
      <c r="B51" s="51"/>
      <c r="C51" s="51"/>
      <c r="D51" s="51"/>
      <c r="E51" s="48"/>
      <c r="G51" s="59"/>
      <c r="H51" s="59"/>
      <c r="I51" s="59"/>
      <c r="J51" s="59"/>
      <c r="K51" s="59"/>
      <c r="L51" s="59"/>
      <c r="M51" s="59"/>
      <c r="N51" s="59"/>
      <c r="O51" s="401"/>
      <c r="P51" s="401"/>
      <c r="Q51" s="255"/>
      <c r="R51" s="252"/>
      <c r="S51" s="252"/>
    </row>
    <row r="52" spans="1:19" s="59" customFormat="1" ht="11.25">
      <c r="A52" s="51"/>
      <c r="B52" s="51"/>
      <c r="C52" s="51"/>
      <c r="D52" s="51"/>
      <c r="E52" s="57"/>
      <c r="F52" s="47"/>
      <c r="O52" s="401"/>
      <c r="P52" s="401"/>
      <c r="Q52" s="255"/>
      <c r="R52" s="255"/>
      <c r="S52" s="255"/>
    </row>
    <row r="53" spans="1:19" s="59" customFormat="1" ht="11.25">
      <c r="A53" s="51"/>
      <c r="C53" s="51"/>
      <c r="D53" s="51"/>
      <c r="E53" s="57"/>
      <c r="F53" s="47"/>
      <c r="O53" s="401"/>
      <c r="P53" s="401"/>
      <c r="Q53" s="255"/>
      <c r="R53" s="255"/>
      <c r="S53" s="255"/>
    </row>
    <row r="54" spans="1:19" s="59" customFormat="1" ht="11.25">
      <c r="A54" s="51"/>
      <c r="B54" s="51"/>
      <c r="C54" s="51"/>
      <c r="D54" s="51"/>
      <c r="E54" s="57"/>
      <c r="F54" s="47"/>
      <c r="O54" s="401"/>
      <c r="P54" s="401"/>
      <c r="Q54" s="255"/>
      <c r="R54" s="255"/>
      <c r="S54" s="255"/>
    </row>
  </sheetData>
  <mergeCells count="6">
    <mergeCell ref="J49:L49"/>
    <mergeCell ref="R1:R2"/>
    <mergeCell ref="S1:S2"/>
    <mergeCell ref="A1:D1"/>
    <mergeCell ref="H1:L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J.Tomanova</dc:creator>
  <cp:keywords/>
  <dc:description/>
  <cp:lastModifiedBy>Foukalova</cp:lastModifiedBy>
  <cp:lastPrinted>2011-03-21T15:53:50Z</cp:lastPrinted>
  <dcterms:created xsi:type="dcterms:W3CDTF">2007-02-17T11:42:05Z</dcterms:created>
  <dcterms:modified xsi:type="dcterms:W3CDTF">2011-03-21T15:53:59Z</dcterms:modified>
  <cp:category/>
  <cp:version/>
  <cp:contentType/>
  <cp:contentStatus/>
</cp:coreProperties>
</file>